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quilvestpartners.sharepoint.com/sites/QSCapitalStrategies/General/2. Fund II/!Deals/Empower Mental Health/Data Room/"/>
    </mc:Choice>
  </mc:AlternateContent>
  <xr:revisionPtr revIDLastSave="24" documentId="13_ncr:1_{B2369DEE-B307-44C7-A621-D0DA549AE37F}" xr6:coauthVersionLast="47" xr6:coauthVersionMax="47" xr10:uidLastSave="{C3EA4BAB-EF86-4E5B-89C7-7B0ABB2441C1}"/>
  <bookViews>
    <workbookView xWindow="-120" yWindow="-120" windowWidth="29040" windowHeight="15720" xr2:uid="{00000000-000D-0000-FFFF-FFFF00000000}"/>
  </bookViews>
  <sheets>
    <sheet name="Dashboard" sheetId="1" r:id="rId1"/>
    <sheet name="Monthly Financial Reports" sheetId="2" r:id="rId2"/>
    <sheet name="Assumptions" sheetId="3" r:id="rId3"/>
    <sheet name="Worksheet" sheetId="4" r:id="rId4"/>
    <sheet name="Staffing" sheetId="5" r:id="rId5"/>
    <sheet name="Product Rollout" sheetId="6" r:id="rId6"/>
    <sheet name="Charts" sheetId="7" r:id="rId7"/>
    <sheet name="P&amp;L Yearly" sheetId="8" state="hidden" r:id="rId8"/>
    <sheet name="Balance Sheet Yearly" sheetId="9" state="hidden" r:id="rId9"/>
    <sheet name="Profit and Loss" sheetId="10" state="hidden" r:id="rId10"/>
    <sheet name="HR Comp" sheetId="11" state="hidden" r:id="rId11"/>
    <sheet name="12 month" sheetId="12" state="hidden" r:id="rId12"/>
    <sheet name="Option 2" sheetId="13" state="hidden" r:id="rId13"/>
    <sheet name="Revenue 2024-2026" sheetId="14" state="hidden" r:id="rId1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1" i="4" l="1"/>
  <c r="V231" i="4"/>
  <c r="N3" i="1"/>
  <c r="N15" i="1"/>
  <c r="W23" i="14"/>
  <c r="Q23" i="14"/>
  <c r="P23" i="14"/>
  <c r="O23" i="14"/>
  <c r="N23" i="14"/>
  <c r="I23" i="14"/>
  <c r="H23" i="14"/>
  <c r="G23" i="14"/>
  <c r="F23" i="14"/>
  <c r="W22" i="14"/>
  <c r="V22" i="14"/>
  <c r="V23" i="14" s="1"/>
  <c r="U22" i="14"/>
  <c r="U23" i="14" s="1"/>
  <c r="T22" i="14"/>
  <c r="T23" i="14" s="1"/>
  <c r="S22" i="14"/>
  <c r="S23" i="14" s="1"/>
  <c r="R22" i="14"/>
  <c r="R23" i="14" s="1"/>
  <c r="Q22" i="14"/>
  <c r="P22" i="14"/>
  <c r="O22" i="14"/>
  <c r="N22" i="14"/>
  <c r="M22" i="14"/>
  <c r="M23" i="14" s="1"/>
  <c r="L22" i="14"/>
  <c r="L23" i="14" s="1"/>
  <c r="K22" i="14"/>
  <c r="K23" i="14" s="1"/>
  <c r="J22" i="14"/>
  <c r="J23" i="14" s="1"/>
  <c r="I22" i="14"/>
  <c r="H22" i="14"/>
  <c r="G22" i="14"/>
  <c r="F22" i="14"/>
  <c r="E22" i="14"/>
  <c r="E23" i="14" s="1"/>
  <c r="B23" i="13"/>
  <c r="B9" i="13"/>
  <c r="J62" i="12"/>
  <c r="G60" i="12"/>
  <c r="D60" i="12"/>
  <c r="C60" i="12"/>
  <c r="K59" i="12"/>
  <c r="E59" i="12"/>
  <c r="K58" i="12"/>
  <c r="E58" i="12"/>
  <c r="K57" i="12"/>
  <c r="K60" i="12" s="1"/>
  <c r="E57" i="12"/>
  <c r="E60" i="12" s="1"/>
  <c r="K56" i="12"/>
  <c r="E56" i="12"/>
  <c r="K55" i="12"/>
  <c r="G54" i="12"/>
  <c r="E54" i="12"/>
  <c r="D54" i="12"/>
  <c r="C54" i="12"/>
  <c r="K53" i="12"/>
  <c r="K54" i="12" s="1"/>
  <c r="E53" i="12"/>
  <c r="K52" i="12"/>
  <c r="K51" i="12"/>
  <c r="G50" i="12"/>
  <c r="D50" i="12"/>
  <c r="C50" i="12"/>
  <c r="K49" i="12"/>
  <c r="E49" i="12"/>
  <c r="K48" i="12"/>
  <c r="E48" i="12"/>
  <c r="K47" i="12"/>
  <c r="E47" i="12"/>
  <c r="E50" i="12" s="1"/>
  <c r="K46" i="12"/>
  <c r="K45" i="12"/>
  <c r="K50" i="12" s="1"/>
  <c r="E45" i="12"/>
  <c r="G43" i="12"/>
  <c r="D43" i="12"/>
  <c r="C43" i="12"/>
  <c r="K42" i="12"/>
  <c r="E42" i="12"/>
  <c r="K41" i="12"/>
  <c r="E41" i="12"/>
  <c r="K40" i="12"/>
  <c r="E40" i="12"/>
  <c r="K39" i="12"/>
  <c r="E39" i="12"/>
  <c r="K38" i="12"/>
  <c r="E38" i="12"/>
  <c r="K37" i="12"/>
  <c r="E37" i="12"/>
  <c r="F36" i="12"/>
  <c r="F35" i="12"/>
  <c r="F34" i="12"/>
  <c r="F33" i="12"/>
  <c r="F32" i="12"/>
  <c r="F43" i="12" s="1"/>
  <c r="E32" i="12"/>
  <c r="E43" i="12" s="1"/>
  <c r="G30" i="12"/>
  <c r="D30" i="12"/>
  <c r="C30" i="12"/>
  <c r="C62" i="12" s="1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E16" i="12"/>
  <c r="K15" i="12"/>
  <c r="E15" i="12"/>
  <c r="K14" i="12"/>
  <c r="E14" i="12"/>
  <c r="K13" i="12"/>
  <c r="E13" i="12"/>
  <c r="K12" i="12"/>
  <c r="E12" i="12"/>
  <c r="K11" i="12"/>
  <c r="E11" i="12"/>
  <c r="K10" i="12"/>
  <c r="K30" i="12" s="1"/>
  <c r="E10" i="12"/>
  <c r="E30" i="12" s="1"/>
  <c r="G8" i="12"/>
  <c r="D8" i="12"/>
  <c r="C8" i="12"/>
  <c r="L7" i="12"/>
  <c r="K7" i="12"/>
  <c r="E7" i="12"/>
  <c r="L6" i="12"/>
  <c r="E6" i="12"/>
  <c r="L5" i="12"/>
  <c r="K5" i="12" s="1"/>
  <c r="E5" i="12"/>
  <c r="L4" i="12"/>
  <c r="K4" i="12"/>
  <c r="E4" i="12"/>
  <c r="L3" i="12"/>
  <c r="K3" i="12" s="1"/>
  <c r="E3" i="12"/>
  <c r="U71" i="10"/>
  <c r="S71" i="10"/>
  <c r="O71" i="10"/>
  <c r="N71" i="10"/>
  <c r="M71" i="10"/>
  <c r="L71" i="10"/>
  <c r="K71" i="10"/>
  <c r="G71" i="10"/>
  <c r="E71" i="10"/>
  <c r="D71" i="10"/>
  <c r="C71" i="10"/>
  <c r="U70" i="10"/>
  <c r="S70" i="10"/>
  <c r="R70" i="10"/>
  <c r="R71" i="10" s="1"/>
  <c r="Q70" i="10"/>
  <c r="Q71" i="10" s="1"/>
  <c r="P70" i="10"/>
  <c r="P71" i="10" s="1"/>
  <c r="O70" i="10"/>
  <c r="N70" i="10"/>
  <c r="M70" i="10"/>
  <c r="L70" i="10"/>
  <c r="K70" i="10"/>
  <c r="J70" i="10"/>
  <c r="J71" i="10" s="1"/>
  <c r="I70" i="10"/>
  <c r="I71" i="10" s="1"/>
  <c r="H70" i="10"/>
  <c r="H71" i="10" s="1"/>
  <c r="G70" i="10"/>
  <c r="F70" i="10"/>
  <c r="F71" i="10" s="1"/>
  <c r="E70" i="10"/>
  <c r="D70" i="10"/>
  <c r="C70" i="10"/>
  <c r="B70" i="10"/>
  <c r="B71" i="10" s="1"/>
  <c r="T69" i="10"/>
  <c r="D65" i="10"/>
  <c r="V65" i="10" s="1"/>
  <c r="U64" i="10"/>
  <c r="T64" i="10"/>
  <c r="O64" i="10"/>
  <c r="M64" i="10"/>
  <c r="L64" i="10"/>
  <c r="K64" i="10"/>
  <c r="J64" i="10"/>
  <c r="H64" i="10"/>
  <c r="G64" i="10"/>
  <c r="E64" i="10"/>
  <c r="D64" i="10"/>
  <c r="C64" i="10"/>
  <c r="B64" i="10"/>
  <c r="U63" i="10"/>
  <c r="T63" i="10"/>
  <c r="S63" i="10"/>
  <c r="S64" i="10" s="1"/>
  <c r="R63" i="10"/>
  <c r="R64" i="10" s="1"/>
  <c r="Q63" i="10"/>
  <c r="Q64" i="10" s="1"/>
  <c r="P63" i="10"/>
  <c r="P64" i="10" s="1"/>
  <c r="O63" i="10"/>
  <c r="N63" i="10"/>
  <c r="N64" i="10" s="1"/>
  <c r="M63" i="10"/>
  <c r="L63" i="10"/>
  <c r="K63" i="10"/>
  <c r="I63" i="10"/>
  <c r="I64" i="10" s="1"/>
  <c r="F63" i="10"/>
  <c r="F64" i="10" s="1"/>
  <c r="E63" i="10"/>
  <c r="C63" i="10"/>
  <c r="V62" i="10"/>
  <c r="U61" i="10"/>
  <c r="T61" i="10"/>
  <c r="S61" i="10"/>
  <c r="R61" i="10"/>
  <c r="Q61" i="10"/>
  <c r="P61" i="10"/>
  <c r="O61" i="10"/>
  <c r="N61" i="10"/>
  <c r="M61" i="10"/>
  <c r="J61" i="10"/>
  <c r="E61" i="10"/>
  <c r="D61" i="10"/>
  <c r="C61" i="10"/>
  <c r="V61" i="10" s="1"/>
  <c r="B61" i="10"/>
  <c r="R60" i="10"/>
  <c r="Q60" i="10"/>
  <c r="F60" i="10"/>
  <c r="U59" i="10"/>
  <c r="T59" i="10"/>
  <c r="S59" i="10"/>
  <c r="Q59" i="10"/>
  <c r="O59" i="10"/>
  <c r="N59" i="10"/>
  <c r="M59" i="10"/>
  <c r="K59" i="10"/>
  <c r="I59" i="10"/>
  <c r="H59" i="10"/>
  <c r="G59" i="10"/>
  <c r="E59" i="10"/>
  <c r="C59" i="10"/>
  <c r="V58" i="10"/>
  <c r="O58" i="10"/>
  <c r="U57" i="10"/>
  <c r="T57" i="10"/>
  <c r="S57" i="10"/>
  <c r="R57" i="10"/>
  <c r="Q57" i="10"/>
  <c r="P57" i="10"/>
  <c r="O57" i="10"/>
  <c r="N57" i="10"/>
  <c r="M57" i="10"/>
  <c r="M60" i="10" s="1"/>
  <c r="L57" i="10"/>
  <c r="K57" i="10"/>
  <c r="J57" i="10"/>
  <c r="I57" i="10"/>
  <c r="H57" i="10"/>
  <c r="G57" i="10"/>
  <c r="F57" i="10"/>
  <c r="C57" i="10"/>
  <c r="V57" i="10" s="1"/>
  <c r="B57" i="10"/>
  <c r="U56" i="10"/>
  <c r="T56" i="10"/>
  <c r="S56" i="10"/>
  <c r="S60" i="10" s="1"/>
  <c r="R56" i="10"/>
  <c r="Q56" i="10"/>
  <c r="P56" i="10"/>
  <c r="O56" i="10"/>
  <c r="N56" i="10"/>
  <c r="M56" i="10"/>
  <c r="L56" i="10"/>
  <c r="L60" i="10" s="1"/>
  <c r="K56" i="10"/>
  <c r="K60" i="10" s="1"/>
  <c r="J56" i="10"/>
  <c r="I56" i="10"/>
  <c r="H56" i="10"/>
  <c r="H60" i="10" s="1"/>
  <c r="G56" i="10"/>
  <c r="F56" i="10"/>
  <c r="V56" i="10" s="1"/>
  <c r="E56" i="10"/>
  <c r="D56" i="10"/>
  <c r="D60" i="10" s="1"/>
  <c r="C56" i="10"/>
  <c r="B56" i="10"/>
  <c r="T55" i="10"/>
  <c r="T60" i="10" s="1"/>
  <c r="R55" i="10"/>
  <c r="P55" i="10"/>
  <c r="O55" i="10"/>
  <c r="N55" i="10"/>
  <c r="N60" i="10" s="1"/>
  <c r="M55" i="10"/>
  <c r="L55" i="10"/>
  <c r="J55" i="10"/>
  <c r="J60" i="10" s="1"/>
  <c r="I55" i="10"/>
  <c r="H55" i="10"/>
  <c r="G55" i="10"/>
  <c r="G60" i="10" s="1"/>
  <c r="F55" i="10"/>
  <c r="E55" i="10"/>
  <c r="E60" i="10" s="1"/>
  <c r="D55" i="10"/>
  <c r="C55" i="10"/>
  <c r="B55" i="10"/>
  <c r="B60" i="10" s="1"/>
  <c r="V54" i="10"/>
  <c r="L54" i="10"/>
  <c r="K54" i="10"/>
  <c r="F54" i="10"/>
  <c r="E54" i="10"/>
  <c r="T53" i="10"/>
  <c r="S53" i="10"/>
  <c r="R53" i="10"/>
  <c r="Q53" i="10"/>
  <c r="P53" i="10"/>
  <c r="M53" i="10"/>
  <c r="L53" i="10"/>
  <c r="K53" i="10"/>
  <c r="H53" i="10"/>
  <c r="G53" i="10"/>
  <c r="E53" i="10"/>
  <c r="D53" i="10"/>
  <c r="B53" i="10"/>
  <c r="R52" i="10"/>
  <c r="V52" i="10" s="1"/>
  <c r="V51" i="10"/>
  <c r="I51" i="10"/>
  <c r="O50" i="10"/>
  <c r="L50" i="10"/>
  <c r="J50" i="10"/>
  <c r="V50" i="10" s="1"/>
  <c r="P49" i="10"/>
  <c r="V49" i="10" s="1"/>
  <c r="U48" i="10"/>
  <c r="S48" i="10"/>
  <c r="R48" i="10"/>
  <c r="P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V48" i="10" s="1"/>
  <c r="B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V46" i="10" s="1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R44" i="10"/>
  <c r="Q44" i="10"/>
  <c r="P44" i="10"/>
  <c r="I44" i="10"/>
  <c r="H44" i="10"/>
  <c r="G44" i="10"/>
  <c r="U43" i="10"/>
  <c r="U44" i="10" s="1"/>
  <c r="T43" i="10"/>
  <c r="T44" i="10" s="1"/>
  <c r="S43" i="10"/>
  <c r="R43" i="10"/>
  <c r="Q43" i="10"/>
  <c r="P43" i="10"/>
  <c r="O43" i="10"/>
  <c r="N43" i="10"/>
  <c r="M43" i="10"/>
  <c r="M44" i="10" s="1"/>
  <c r="L43" i="10"/>
  <c r="K43" i="10"/>
  <c r="J43" i="10"/>
  <c r="I43" i="10"/>
  <c r="H43" i="10"/>
  <c r="G43" i="10"/>
  <c r="F43" i="10"/>
  <c r="E43" i="10"/>
  <c r="E44" i="10" s="1"/>
  <c r="D43" i="10"/>
  <c r="D44" i="10" s="1"/>
  <c r="C43" i="10"/>
  <c r="B43" i="10"/>
  <c r="V43" i="10" s="1"/>
  <c r="U42" i="10"/>
  <c r="T42" i="10"/>
  <c r="S42" i="10"/>
  <c r="R42" i="10"/>
  <c r="Q42" i="10"/>
  <c r="P42" i="10"/>
  <c r="O42" i="10"/>
  <c r="O44" i="10" s="1"/>
  <c r="N42" i="10"/>
  <c r="N44" i="10" s="1"/>
  <c r="M42" i="10"/>
  <c r="L42" i="10"/>
  <c r="L44" i="10" s="1"/>
  <c r="K42" i="10"/>
  <c r="J42" i="10"/>
  <c r="J44" i="10" s="1"/>
  <c r="I42" i="10"/>
  <c r="H42" i="10"/>
  <c r="G42" i="10"/>
  <c r="F42" i="10"/>
  <c r="F44" i="10" s="1"/>
  <c r="E42" i="10"/>
  <c r="D42" i="10"/>
  <c r="C42" i="10"/>
  <c r="B42" i="10"/>
  <c r="V41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V40" i="10" s="1"/>
  <c r="E40" i="10"/>
  <c r="D40" i="10"/>
  <c r="C40" i="10"/>
  <c r="B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U38" i="10"/>
  <c r="T38" i="10"/>
  <c r="S38" i="10"/>
  <c r="R38" i="10"/>
  <c r="Q38" i="10"/>
  <c r="P38" i="10"/>
  <c r="O38" i="10"/>
  <c r="G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U36" i="10"/>
  <c r="Q36" i="10"/>
  <c r="P36" i="10"/>
  <c r="O36" i="10"/>
  <c r="M36" i="10"/>
  <c r="I36" i="10"/>
  <c r="H36" i="10"/>
  <c r="G36" i="10"/>
  <c r="F36" i="10"/>
  <c r="E36" i="10"/>
  <c r="U35" i="10"/>
  <c r="T35" i="10"/>
  <c r="S35" i="10"/>
  <c r="R35" i="10"/>
  <c r="Q35" i="10"/>
  <c r="P35" i="10"/>
  <c r="O35" i="10"/>
  <c r="N35" i="10"/>
  <c r="M35" i="10"/>
  <c r="L35" i="10"/>
  <c r="L36" i="10" s="1"/>
  <c r="K35" i="10"/>
  <c r="K36" i="10" s="1"/>
  <c r="J35" i="10"/>
  <c r="I35" i="10"/>
  <c r="H35" i="10"/>
  <c r="G35" i="10"/>
  <c r="F35" i="10"/>
  <c r="E35" i="10"/>
  <c r="D35" i="10"/>
  <c r="D36" i="10" s="1"/>
  <c r="C35" i="10"/>
  <c r="B35" i="10"/>
  <c r="V35" i="10" s="1"/>
  <c r="T34" i="10"/>
  <c r="T36" i="10" s="1"/>
  <c r="S34" i="10"/>
  <c r="R34" i="10"/>
  <c r="Q34" i="10"/>
  <c r="P34" i="10"/>
  <c r="O34" i="10"/>
  <c r="N34" i="10"/>
  <c r="N36" i="10" s="1"/>
  <c r="M34" i="10"/>
  <c r="J34" i="10"/>
  <c r="C34" i="10"/>
  <c r="B34" i="10"/>
  <c r="U33" i="10"/>
  <c r="T33" i="10"/>
  <c r="S33" i="10"/>
  <c r="R33" i="10"/>
  <c r="Q33" i="10"/>
  <c r="P33" i="10"/>
  <c r="O33" i="10"/>
  <c r="N33" i="10"/>
  <c r="M33" i="10"/>
  <c r="L33" i="10"/>
  <c r="H33" i="10"/>
  <c r="G33" i="10"/>
  <c r="D33" i="10"/>
  <c r="V33" i="10" s="1"/>
  <c r="U32" i="10"/>
  <c r="T32" i="10"/>
  <c r="S32" i="10"/>
  <c r="R32" i="10"/>
  <c r="J32" i="10"/>
  <c r="I32" i="10"/>
  <c r="H32" i="10"/>
  <c r="G32" i="10"/>
  <c r="F32" i="10"/>
  <c r="E32" i="10"/>
  <c r="D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V31" i="10" s="1"/>
  <c r="B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V28" i="10" s="1"/>
  <c r="V27" i="10"/>
  <c r="U27" i="10"/>
  <c r="M27" i="10"/>
  <c r="I27" i="10"/>
  <c r="H27" i="10"/>
  <c r="G27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U25" i="10"/>
  <c r="O25" i="10"/>
  <c r="N25" i="10"/>
  <c r="L25" i="10"/>
  <c r="E25" i="10"/>
  <c r="U24" i="10"/>
  <c r="T24" i="10"/>
  <c r="T25" i="10" s="1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D25" i="10" s="1"/>
  <c r="C24" i="10"/>
  <c r="C25" i="10" s="1"/>
  <c r="B24" i="10"/>
  <c r="U23" i="10"/>
  <c r="T23" i="10"/>
  <c r="S23" i="10"/>
  <c r="R23" i="10"/>
  <c r="Q23" i="10"/>
  <c r="Q25" i="10" s="1"/>
  <c r="P23" i="10"/>
  <c r="P25" i="10" s="1"/>
  <c r="O23" i="10"/>
  <c r="N23" i="10"/>
  <c r="M23" i="10"/>
  <c r="M25" i="10" s="1"/>
  <c r="L23" i="10"/>
  <c r="K23" i="10"/>
  <c r="J23" i="10"/>
  <c r="I23" i="10"/>
  <c r="I25" i="10" s="1"/>
  <c r="H23" i="10"/>
  <c r="H25" i="10" s="1"/>
  <c r="G23" i="10"/>
  <c r="G25" i="10" s="1"/>
  <c r="F23" i="10"/>
  <c r="F25" i="10" s="1"/>
  <c r="E23" i="10"/>
  <c r="D23" i="10"/>
  <c r="C23" i="10"/>
  <c r="B23" i="10"/>
  <c r="V22" i="10"/>
  <c r="U21" i="10"/>
  <c r="T21" i="10"/>
  <c r="M21" i="10"/>
  <c r="E21" i="10"/>
  <c r="D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V20" i="10" s="1"/>
  <c r="E20" i="10"/>
  <c r="D20" i="10"/>
  <c r="C20" i="10"/>
  <c r="B20" i="10"/>
  <c r="P19" i="10"/>
  <c r="O19" i="10"/>
  <c r="N19" i="10"/>
  <c r="M19" i="10"/>
  <c r="I19" i="10"/>
  <c r="H19" i="10"/>
  <c r="G19" i="10"/>
  <c r="D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D18" i="10"/>
  <c r="C18" i="10"/>
  <c r="V18" i="10" s="1"/>
  <c r="B18" i="10"/>
  <c r="M17" i="10"/>
  <c r="K17" i="10"/>
  <c r="I17" i="10"/>
  <c r="G17" i="10"/>
  <c r="T16" i="10"/>
  <c r="S16" i="10"/>
  <c r="S21" i="10" s="1"/>
  <c r="R16" i="10"/>
  <c r="Q16" i="10"/>
  <c r="Q21" i="10" s="1"/>
  <c r="P16" i="10"/>
  <c r="P21" i="10" s="1"/>
  <c r="O16" i="10"/>
  <c r="O21" i="10" s="1"/>
  <c r="N16" i="10"/>
  <c r="M16" i="10"/>
  <c r="L16" i="10"/>
  <c r="L21" i="10" s="1"/>
  <c r="K16" i="10"/>
  <c r="K21" i="10" s="1"/>
  <c r="J16" i="10"/>
  <c r="I16" i="10"/>
  <c r="I21" i="10" s="1"/>
  <c r="H16" i="10"/>
  <c r="H21" i="10" s="1"/>
  <c r="G16" i="10"/>
  <c r="F16" i="10"/>
  <c r="E16" i="10"/>
  <c r="D16" i="10"/>
  <c r="C16" i="10"/>
  <c r="C21" i="10" s="1"/>
  <c r="B16" i="10"/>
  <c r="V15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O11" i="10"/>
  <c r="D11" i="10"/>
  <c r="Q10" i="10"/>
  <c r="P10" i="10"/>
  <c r="O10" i="10"/>
  <c r="I10" i="10"/>
  <c r="H10" i="10"/>
  <c r="G10" i="10"/>
  <c r="U9" i="10"/>
  <c r="T9" i="10"/>
  <c r="S9" i="10"/>
  <c r="R9" i="10"/>
  <c r="Q9" i="10"/>
  <c r="P9" i="10"/>
  <c r="O9" i="10"/>
  <c r="N9" i="10"/>
  <c r="M9" i="10"/>
  <c r="L9" i="10"/>
  <c r="L10" i="10" s="1"/>
  <c r="L11" i="10" s="1"/>
  <c r="K9" i="10"/>
  <c r="J9" i="10"/>
  <c r="I9" i="10"/>
  <c r="H9" i="10"/>
  <c r="G9" i="10"/>
  <c r="F9" i="10"/>
  <c r="E9" i="10"/>
  <c r="D9" i="10"/>
  <c r="D10" i="10" s="1"/>
  <c r="C9" i="10"/>
  <c r="V9" i="10" s="1"/>
  <c r="B9" i="10"/>
  <c r="U7" i="10"/>
  <c r="T7" i="10"/>
  <c r="T10" i="10" s="1"/>
  <c r="S7" i="10"/>
  <c r="S10" i="10" s="1"/>
  <c r="R7" i="10"/>
  <c r="R10" i="10" s="1"/>
  <c r="Q7" i="10"/>
  <c r="P7" i="10"/>
  <c r="O7" i="10"/>
  <c r="N7" i="10"/>
  <c r="N10" i="10" s="1"/>
  <c r="M7" i="10"/>
  <c r="L7" i="10"/>
  <c r="K7" i="10"/>
  <c r="K10" i="10" s="1"/>
  <c r="J7" i="10"/>
  <c r="J10" i="10" s="1"/>
  <c r="I7" i="10"/>
  <c r="H7" i="10"/>
  <c r="G7" i="10"/>
  <c r="F7" i="10"/>
  <c r="F10" i="10" s="1"/>
  <c r="F11" i="10" s="1"/>
  <c r="E7" i="10"/>
  <c r="D7" i="10"/>
  <c r="C7" i="10"/>
  <c r="C10" i="10" s="1"/>
  <c r="C11" i="10" s="1"/>
  <c r="B7" i="10"/>
  <c r="Z27" i="9"/>
  <c r="F40" i="8"/>
  <c r="E37" i="8"/>
  <c r="D37" i="8"/>
  <c r="C37" i="8"/>
  <c r="F31" i="8"/>
  <c r="E28" i="8"/>
  <c r="D28" i="8"/>
  <c r="C28" i="8"/>
  <c r="E9" i="8"/>
  <c r="E7" i="8"/>
  <c r="A88" i="7"/>
  <c r="H41" i="7" s="1"/>
  <c r="F87" i="7"/>
  <c r="E87" i="7"/>
  <c r="D87" i="7"/>
  <c r="C87" i="7"/>
  <c r="C86" i="7"/>
  <c r="B86" i="7"/>
  <c r="C85" i="7"/>
  <c r="B85" i="7"/>
  <c r="D84" i="7"/>
  <c r="C84" i="7"/>
  <c r="B84" i="7"/>
  <c r="B83" i="7"/>
  <c r="B82" i="7"/>
  <c r="C81" i="7"/>
  <c r="B81" i="7"/>
  <c r="A80" i="7"/>
  <c r="C79" i="7"/>
  <c r="C78" i="7"/>
  <c r="A78" i="7"/>
  <c r="B77" i="7"/>
  <c r="C76" i="7"/>
  <c r="B76" i="7"/>
  <c r="C75" i="7"/>
  <c r="B75" i="7"/>
  <c r="A74" i="7"/>
  <c r="A73" i="7"/>
  <c r="H36" i="7" s="1"/>
  <c r="C72" i="7"/>
  <c r="C71" i="7"/>
  <c r="J35" i="7" s="1"/>
  <c r="A71" i="7"/>
  <c r="B70" i="7"/>
  <c r="I34" i="7" s="1"/>
  <c r="C69" i="7"/>
  <c r="B69" i="7"/>
  <c r="A68" i="7"/>
  <c r="A67" i="7"/>
  <c r="AX66" i="7"/>
  <c r="AW66" i="7"/>
  <c r="AU66" i="7"/>
  <c r="AR66" i="7"/>
  <c r="AQ66" i="7"/>
  <c r="AP66" i="7"/>
  <c r="AM66" i="7"/>
  <c r="AJ66" i="7"/>
  <c r="AG66" i="7"/>
  <c r="AF66" i="7"/>
  <c r="AE66" i="7"/>
  <c r="AB66" i="7"/>
  <c r="X66" i="7"/>
  <c r="W66" i="7"/>
  <c r="F66" i="7"/>
  <c r="E66" i="7"/>
  <c r="D66" i="7"/>
  <c r="C66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F65" i="7"/>
  <c r="E65" i="7"/>
  <c r="D65" i="7"/>
  <c r="C65" i="7"/>
  <c r="A61" i="7"/>
  <c r="F60" i="7"/>
  <c r="E60" i="7"/>
  <c r="D60" i="7"/>
  <c r="C60" i="7"/>
  <c r="C59" i="7"/>
  <c r="B59" i="7"/>
  <c r="S58" i="7"/>
  <c r="R58" i="7"/>
  <c r="C58" i="7"/>
  <c r="B58" i="7"/>
  <c r="S57" i="7"/>
  <c r="R57" i="7"/>
  <c r="C57" i="7"/>
  <c r="B57" i="7"/>
  <c r="S56" i="7"/>
  <c r="R56" i="7"/>
  <c r="C56" i="7"/>
  <c r="B56" i="7"/>
  <c r="S55" i="7"/>
  <c r="R55" i="7"/>
  <c r="B55" i="7"/>
  <c r="S54" i="7"/>
  <c r="R54" i="7"/>
  <c r="B54" i="7"/>
  <c r="S53" i="7"/>
  <c r="R53" i="7"/>
  <c r="C53" i="7"/>
  <c r="B53" i="7"/>
  <c r="S52" i="7"/>
  <c r="R52" i="7"/>
  <c r="C52" i="7"/>
  <c r="B52" i="7"/>
  <c r="S51" i="7"/>
  <c r="R51" i="7"/>
  <c r="C51" i="7"/>
  <c r="B51" i="7"/>
  <c r="S50" i="7"/>
  <c r="R50" i="7"/>
  <c r="C50" i="7"/>
  <c r="B50" i="7"/>
  <c r="C49" i="7"/>
  <c r="B49" i="7"/>
  <c r="C48" i="7"/>
  <c r="B48" i="7"/>
  <c r="I47" i="7"/>
  <c r="C47" i="7"/>
  <c r="B47" i="7"/>
  <c r="B46" i="7"/>
  <c r="F45" i="7"/>
  <c r="E45" i="7"/>
  <c r="D45" i="7"/>
  <c r="C45" i="7"/>
  <c r="R44" i="7"/>
  <c r="C44" i="7"/>
  <c r="A44" i="7"/>
  <c r="R43" i="7"/>
  <c r="F43" i="7"/>
  <c r="E43" i="7"/>
  <c r="D43" i="7"/>
  <c r="C43" i="7"/>
  <c r="R42" i="7"/>
  <c r="F42" i="7"/>
  <c r="E42" i="7"/>
  <c r="D42" i="7"/>
  <c r="C42" i="7"/>
  <c r="BA41" i="7"/>
  <c r="AY41" i="7"/>
  <c r="AW41" i="7"/>
  <c r="AU41" i="7"/>
  <c r="AT41" i="7"/>
  <c r="AS41" i="7"/>
  <c r="AM41" i="7"/>
  <c r="AK41" i="7"/>
  <c r="AG41" i="7"/>
  <c r="AE41" i="7"/>
  <c r="AD41" i="7"/>
  <c r="AC41" i="7"/>
  <c r="AA41" i="7"/>
  <c r="W41" i="7"/>
  <c r="U41" i="7"/>
  <c r="S41" i="7"/>
  <c r="F41" i="7"/>
  <c r="E41" i="7"/>
  <c r="D41" i="7"/>
  <c r="C41" i="7"/>
  <c r="F40" i="7"/>
  <c r="E40" i="7"/>
  <c r="D40" i="7"/>
  <c r="C40" i="7"/>
  <c r="H39" i="7"/>
  <c r="F39" i="7"/>
  <c r="E39" i="7"/>
  <c r="D39" i="7"/>
  <c r="C39" i="7"/>
  <c r="J38" i="7"/>
  <c r="I38" i="7"/>
  <c r="B38" i="7"/>
  <c r="I37" i="7"/>
  <c r="A37" i="7"/>
  <c r="F36" i="7"/>
  <c r="E36" i="7"/>
  <c r="D36" i="7"/>
  <c r="C36" i="7"/>
  <c r="I35" i="7"/>
  <c r="C35" i="7"/>
  <c r="B35" i="7"/>
  <c r="C34" i="7"/>
  <c r="B34" i="7"/>
  <c r="J33" i="7"/>
  <c r="C33" i="7"/>
  <c r="B33" i="7"/>
  <c r="H32" i="7"/>
  <c r="C32" i="7"/>
  <c r="B32" i="7"/>
  <c r="F31" i="7"/>
  <c r="E31" i="7"/>
  <c r="D31" i="7"/>
  <c r="C31" i="7"/>
  <c r="B30" i="7"/>
  <c r="A29" i="7"/>
  <c r="F28" i="7"/>
  <c r="E28" i="7"/>
  <c r="D28" i="7"/>
  <c r="C28" i="7"/>
  <c r="B27" i="7"/>
  <c r="H26" i="7"/>
  <c r="B26" i="7"/>
  <c r="B25" i="7"/>
  <c r="I22" i="7" s="1"/>
  <c r="I24" i="7"/>
  <c r="B24" i="7"/>
  <c r="I23" i="7"/>
  <c r="A23" i="7"/>
  <c r="F22" i="7"/>
  <c r="E22" i="7"/>
  <c r="D22" i="7"/>
  <c r="C22" i="7"/>
  <c r="T21" i="7"/>
  <c r="R21" i="7"/>
  <c r="I21" i="7"/>
  <c r="B21" i="7"/>
  <c r="I19" i="7" s="1"/>
  <c r="R20" i="7"/>
  <c r="H20" i="7"/>
  <c r="A20" i="7"/>
  <c r="H18" i="7" s="1"/>
  <c r="BB19" i="7"/>
  <c r="BA19" i="7"/>
  <c r="AZ19" i="7"/>
  <c r="AT66" i="7" s="1"/>
  <c r="AY19" i="7"/>
  <c r="AS66" i="7" s="1"/>
  <c r="AX19" i="7"/>
  <c r="AX41" i="7" s="1"/>
  <c r="AW19" i="7"/>
  <c r="AV19" i="7"/>
  <c r="AV41" i="7" s="1"/>
  <c r="AU19" i="7"/>
  <c r="AO66" i="7" s="1"/>
  <c r="AT19" i="7"/>
  <c r="AN66" i="7" s="1"/>
  <c r="AS19" i="7"/>
  <c r="AR19" i="7"/>
  <c r="AQ19" i="7"/>
  <c r="AK66" i="7" s="1"/>
  <c r="AP19" i="7"/>
  <c r="AP41" i="7" s="1"/>
  <c r="AO19" i="7"/>
  <c r="AN19" i="7"/>
  <c r="AN41" i="7" s="1"/>
  <c r="AM19" i="7"/>
  <c r="AL19" i="7"/>
  <c r="AL41" i="7" s="1"/>
  <c r="AK19" i="7"/>
  <c r="AJ19" i="7"/>
  <c r="AD66" i="7" s="1"/>
  <c r="AI19" i="7"/>
  <c r="AH19" i="7"/>
  <c r="AH41" i="7" s="1"/>
  <c r="AG19" i="7"/>
  <c r="AA66" i="7" s="1"/>
  <c r="AF19" i="7"/>
  <c r="AE19" i="7"/>
  <c r="Y66" i="7" s="1"/>
  <c r="AD19" i="7"/>
  <c r="AC19" i="7"/>
  <c r="AB19" i="7"/>
  <c r="AA19" i="7"/>
  <c r="U66" i="7" s="1"/>
  <c r="Z19" i="7"/>
  <c r="Y19" i="7"/>
  <c r="X19" i="7"/>
  <c r="X41" i="7" s="1"/>
  <c r="W19" i="7"/>
  <c r="V19" i="7"/>
  <c r="V41" i="7" s="1"/>
  <c r="U19" i="7"/>
  <c r="T19" i="7"/>
  <c r="T41" i="7" s="1"/>
  <c r="S19" i="7"/>
  <c r="F19" i="7"/>
  <c r="E19" i="7"/>
  <c r="D19" i="7"/>
  <c r="C19" i="7"/>
  <c r="C18" i="7"/>
  <c r="J17" i="7" s="1"/>
  <c r="A18" i="7"/>
  <c r="H17" i="7" s="1"/>
  <c r="F17" i="7"/>
  <c r="E17" i="7"/>
  <c r="D17" i="7"/>
  <c r="C17" i="7"/>
  <c r="C16" i="7"/>
  <c r="B16" i="7"/>
  <c r="J15" i="7"/>
  <c r="C15" i="7"/>
  <c r="B15" i="7"/>
  <c r="I15" i="7" s="1"/>
  <c r="J14" i="7"/>
  <c r="C14" i="7"/>
  <c r="B14" i="7"/>
  <c r="I14" i="7" s="1"/>
  <c r="T13" i="7"/>
  <c r="T44" i="7" s="1"/>
  <c r="J13" i="7"/>
  <c r="C13" i="7"/>
  <c r="B13" i="7"/>
  <c r="I13" i="7" s="1"/>
  <c r="U12" i="7"/>
  <c r="T12" i="7"/>
  <c r="S12" i="7"/>
  <c r="I12" i="7"/>
  <c r="C12" i="7"/>
  <c r="J12" i="7" s="1"/>
  <c r="B12" i="7"/>
  <c r="C11" i="7"/>
  <c r="J11" i="7" s="1"/>
  <c r="B11" i="7"/>
  <c r="I11" i="7" s="1"/>
  <c r="I10" i="7"/>
  <c r="B10" i="7"/>
  <c r="I9" i="7"/>
  <c r="B9" i="7"/>
  <c r="U8" i="7"/>
  <c r="U13" i="7" s="1"/>
  <c r="T8" i="7"/>
  <c r="S8" i="7"/>
  <c r="A8" i="7"/>
  <c r="H8" i="7" s="1"/>
  <c r="I46" i="7" s="1"/>
  <c r="F6" i="7"/>
  <c r="E6" i="7"/>
  <c r="D6" i="7"/>
  <c r="C6" i="7"/>
  <c r="A6" i="7"/>
  <c r="L149" i="5"/>
  <c r="P146" i="5"/>
  <c r="M146" i="5"/>
  <c r="L146" i="5"/>
  <c r="L145" i="5"/>
  <c r="K145" i="5"/>
  <c r="P144" i="5"/>
  <c r="L144" i="5"/>
  <c r="K144" i="5"/>
  <c r="AR143" i="5"/>
  <c r="AO143" i="5"/>
  <c r="AG143" i="5"/>
  <c r="AB143" i="5"/>
  <c r="Z143" i="5"/>
  <c r="Y143" i="5"/>
  <c r="X143" i="5"/>
  <c r="T143" i="5"/>
  <c r="Q143" i="5"/>
  <c r="P142" i="5"/>
  <c r="N142" i="5"/>
  <c r="M142" i="5"/>
  <c r="M141" i="5"/>
  <c r="L141" i="5"/>
  <c r="V140" i="5"/>
  <c r="P140" i="5"/>
  <c r="M140" i="5"/>
  <c r="L139" i="5"/>
  <c r="P138" i="5"/>
  <c r="O138" i="5"/>
  <c r="P132" i="5"/>
  <c r="O132" i="5"/>
  <c r="O146" i="5" s="1"/>
  <c r="N132" i="5"/>
  <c r="N146" i="5" s="1"/>
  <c r="M132" i="5"/>
  <c r="L132" i="5"/>
  <c r="K132" i="5"/>
  <c r="K146" i="5" s="1"/>
  <c r="P131" i="5"/>
  <c r="P145" i="5" s="1"/>
  <c r="O131" i="5"/>
  <c r="O145" i="5" s="1"/>
  <c r="N131" i="5"/>
  <c r="N145" i="5" s="1"/>
  <c r="M131" i="5"/>
  <c r="M145" i="5" s="1"/>
  <c r="L131" i="5"/>
  <c r="K131" i="5"/>
  <c r="P130" i="5"/>
  <c r="O130" i="5"/>
  <c r="O144" i="5" s="1"/>
  <c r="N130" i="5"/>
  <c r="N144" i="5" s="1"/>
  <c r="M130" i="5"/>
  <c r="M144" i="5" s="1"/>
  <c r="L130" i="5"/>
  <c r="K130" i="5"/>
  <c r="AT129" i="5"/>
  <c r="AS129" i="5"/>
  <c r="AR129" i="5"/>
  <c r="AQ129" i="5"/>
  <c r="AP129" i="5"/>
  <c r="AP143" i="5" s="1"/>
  <c r="AO129" i="5"/>
  <c r="AN129" i="5"/>
  <c r="AM129" i="5"/>
  <c r="AL129" i="5"/>
  <c r="AK129" i="5"/>
  <c r="AK143" i="5" s="1"/>
  <c r="AJ129" i="5"/>
  <c r="AJ143" i="5" s="1"/>
  <c r="AI129" i="5"/>
  <c r="AH129" i="5"/>
  <c r="AH143" i="5" s="1"/>
  <c r="AG129" i="5"/>
  <c r="AF129" i="5"/>
  <c r="AE129" i="5"/>
  <c r="AD129" i="5"/>
  <c r="AC129" i="5"/>
  <c r="AC143" i="5" s="1"/>
  <c r="AB129" i="5"/>
  <c r="AA129" i="5"/>
  <c r="Z129" i="5"/>
  <c r="Y129" i="5"/>
  <c r="X129" i="5"/>
  <c r="W129" i="5"/>
  <c r="V129" i="5"/>
  <c r="U129" i="5"/>
  <c r="T129" i="5"/>
  <c r="S129" i="5"/>
  <c r="R129" i="5"/>
  <c r="R143" i="5" s="1"/>
  <c r="Q129" i="5"/>
  <c r="P129" i="5"/>
  <c r="P143" i="5" s="1"/>
  <c r="O129" i="5"/>
  <c r="O143" i="5" s="1"/>
  <c r="N129" i="5"/>
  <c r="N143" i="5" s="1"/>
  <c r="M129" i="5"/>
  <c r="M143" i="5" s="1"/>
  <c r="L129" i="5"/>
  <c r="L143" i="5" s="1"/>
  <c r="K129" i="5"/>
  <c r="K143" i="5" s="1"/>
  <c r="K149" i="5" s="1"/>
  <c r="P128" i="5"/>
  <c r="O128" i="5"/>
  <c r="O142" i="5" s="1"/>
  <c r="N128" i="5"/>
  <c r="M128" i="5"/>
  <c r="L128" i="5"/>
  <c r="L142" i="5" s="1"/>
  <c r="K128" i="5"/>
  <c r="K142" i="5" s="1"/>
  <c r="P127" i="5"/>
  <c r="P141" i="5" s="1"/>
  <c r="O127" i="5"/>
  <c r="O141" i="5" s="1"/>
  <c r="N127" i="5"/>
  <c r="N141" i="5" s="1"/>
  <c r="M127" i="5"/>
  <c r="L127" i="5"/>
  <c r="K127" i="5"/>
  <c r="K141" i="5" s="1"/>
  <c r="V126" i="5"/>
  <c r="P126" i="5"/>
  <c r="O126" i="5"/>
  <c r="O140" i="5" s="1"/>
  <c r="N126" i="5"/>
  <c r="N140" i="5" s="1"/>
  <c r="M126" i="5"/>
  <c r="L126" i="5"/>
  <c r="L140" i="5" s="1"/>
  <c r="K126" i="5"/>
  <c r="K140" i="5" s="1"/>
  <c r="P125" i="5"/>
  <c r="O125" i="5"/>
  <c r="O139" i="5" s="1"/>
  <c r="N125" i="5"/>
  <c r="N139" i="5" s="1"/>
  <c r="M125" i="5"/>
  <c r="M139" i="5" s="1"/>
  <c r="L125" i="5"/>
  <c r="K125" i="5"/>
  <c r="K139" i="5" s="1"/>
  <c r="P124" i="5"/>
  <c r="O124" i="5"/>
  <c r="N124" i="5"/>
  <c r="M124" i="5"/>
  <c r="M138" i="5" s="1"/>
  <c r="L124" i="5"/>
  <c r="L133" i="5" s="1"/>
  <c r="K124" i="5"/>
  <c r="K138" i="5" s="1"/>
  <c r="P120" i="5"/>
  <c r="K120" i="5"/>
  <c r="M118" i="5"/>
  <c r="L118" i="5"/>
  <c r="P117" i="5"/>
  <c r="L117" i="5"/>
  <c r="N116" i="5"/>
  <c r="M116" i="5"/>
  <c r="L116" i="5"/>
  <c r="P115" i="5"/>
  <c r="P116" i="5" s="1"/>
  <c r="O115" i="5"/>
  <c r="N115" i="5"/>
  <c r="M115" i="5"/>
  <c r="M117" i="5" s="1"/>
  <c r="L115" i="5"/>
  <c r="K115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AT100" i="5"/>
  <c r="AT120" i="5" s="1"/>
  <c r="AS100" i="5"/>
  <c r="AR100" i="5"/>
  <c r="AQ100" i="5"/>
  <c r="AP100" i="5"/>
  <c r="AO100" i="5"/>
  <c r="AO120" i="5" s="1"/>
  <c r="AN100" i="5"/>
  <c r="AN120" i="5" s="1"/>
  <c r="AM100" i="5"/>
  <c r="AM120" i="5" s="1"/>
  <c r="AL100" i="5"/>
  <c r="AK100" i="5"/>
  <c r="AJ100" i="5"/>
  <c r="AI100" i="5"/>
  <c r="AH100" i="5"/>
  <c r="AG100" i="5"/>
  <c r="AG120" i="5" s="1"/>
  <c r="AF100" i="5"/>
  <c r="AE100" i="5"/>
  <c r="AD100" i="5"/>
  <c r="AC100" i="5"/>
  <c r="AB100" i="5"/>
  <c r="AA100" i="5"/>
  <c r="Z100" i="5"/>
  <c r="Y100" i="5"/>
  <c r="Y120" i="5" s="1"/>
  <c r="X100" i="5"/>
  <c r="W100" i="5"/>
  <c r="V100" i="5"/>
  <c r="U100" i="5"/>
  <c r="T100" i="5"/>
  <c r="S100" i="5"/>
  <c r="R100" i="5"/>
  <c r="Q100" i="5"/>
  <c r="Q120" i="5" s="1"/>
  <c r="P100" i="5"/>
  <c r="O100" i="5"/>
  <c r="N100" i="5"/>
  <c r="M100" i="5"/>
  <c r="L100" i="5"/>
  <c r="K100" i="5"/>
  <c r="AT99" i="5"/>
  <c r="AS99" i="5"/>
  <c r="AS120" i="5" s="1"/>
  <c r="AR99" i="5"/>
  <c r="AR120" i="5" s="1"/>
  <c r="AQ99" i="5"/>
  <c r="AQ120" i="5" s="1"/>
  <c r="AP99" i="5"/>
  <c r="AP120" i="5" s="1"/>
  <c r="AO99" i="5"/>
  <c r="AN99" i="5"/>
  <c r="AM99" i="5"/>
  <c r="AL99" i="5"/>
  <c r="AK99" i="5"/>
  <c r="AK120" i="5" s="1"/>
  <c r="AJ99" i="5"/>
  <c r="AJ120" i="5" s="1"/>
  <c r="AI99" i="5"/>
  <c r="AI120" i="5" s="1"/>
  <c r="AH99" i="5"/>
  <c r="AH120" i="5" s="1"/>
  <c r="AG99" i="5"/>
  <c r="AF99" i="5"/>
  <c r="AE99" i="5"/>
  <c r="AD99" i="5"/>
  <c r="AC99" i="5"/>
  <c r="AC120" i="5" s="1"/>
  <c r="AB99" i="5"/>
  <c r="AB120" i="5" s="1"/>
  <c r="AA99" i="5"/>
  <c r="AA120" i="5" s="1"/>
  <c r="Z99" i="5"/>
  <c r="Z120" i="5" s="1"/>
  <c r="Y99" i="5"/>
  <c r="X99" i="5"/>
  <c r="W99" i="5"/>
  <c r="V99" i="5"/>
  <c r="U99" i="5"/>
  <c r="U120" i="5" s="1"/>
  <c r="T99" i="5"/>
  <c r="T120" i="5" s="1"/>
  <c r="S99" i="5"/>
  <c r="S120" i="5" s="1"/>
  <c r="R99" i="5"/>
  <c r="R120" i="5" s="1"/>
  <c r="Q99" i="5"/>
  <c r="P99" i="5"/>
  <c r="O99" i="5"/>
  <c r="N99" i="5"/>
  <c r="M99" i="5"/>
  <c r="M120" i="5" s="1"/>
  <c r="L99" i="5"/>
  <c r="L120" i="5" s="1"/>
  <c r="K99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AT93" i="5"/>
  <c r="AS93" i="5"/>
  <c r="AR93" i="5"/>
  <c r="AQ93" i="5"/>
  <c r="AP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H93" i="5"/>
  <c r="AO93" i="5" s="1"/>
  <c r="AQ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H92" i="5"/>
  <c r="AI91" i="5"/>
  <c r="X91" i="5"/>
  <c r="W91" i="5"/>
  <c r="V91" i="5"/>
  <c r="U91" i="5"/>
  <c r="T91" i="5"/>
  <c r="S91" i="5"/>
  <c r="R91" i="5"/>
  <c r="Q91" i="5"/>
  <c r="H91" i="5"/>
  <c r="AP91" i="5" s="1"/>
  <c r="AT90" i="5"/>
  <c r="AS90" i="5"/>
  <c r="AQ90" i="5"/>
  <c r="AO90" i="5"/>
  <c r="AN90" i="5"/>
  <c r="AL90" i="5"/>
  <c r="AK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H90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H89" i="5"/>
  <c r="AT89" i="5" s="1"/>
  <c r="AT88" i="5"/>
  <c r="AS88" i="5"/>
  <c r="AR88" i="5"/>
  <c r="AQ88" i="5"/>
  <c r="AN88" i="5"/>
  <c r="AM88" i="5"/>
  <c r="AL88" i="5"/>
  <c r="AK88" i="5"/>
  <c r="AJ88" i="5"/>
  <c r="AI88" i="5"/>
  <c r="AG88" i="5"/>
  <c r="AE88" i="5"/>
  <c r="AD88" i="5"/>
  <c r="AC88" i="5"/>
  <c r="AB88" i="5"/>
  <c r="AA88" i="5"/>
  <c r="Z88" i="5"/>
  <c r="Y88" i="5"/>
  <c r="X88" i="5"/>
  <c r="W88" i="5"/>
  <c r="V88" i="5"/>
  <c r="U88" i="5"/>
  <c r="U124" i="5" s="1"/>
  <c r="T88" i="5"/>
  <c r="S88" i="5"/>
  <c r="R88" i="5"/>
  <c r="Q88" i="5"/>
  <c r="H88" i="5"/>
  <c r="AP87" i="5"/>
  <c r="AN87" i="5"/>
  <c r="AM87" i="5"/>
  <c r="AK87" i="5"/>
  <c r="AH87" i="5"/>
  <c r="AA87" i="5"/>
  <c r="W87" i="5"/>
  <c r="T87" i="5"/>
  <c r="S87" i="5"/>
  <c r="R87" i="5"/>
  <c r="Q87" i="5"/>
  <c r="H87" i="5"/>
  <c r="AR87" i="5" s="1"/>
  <c r="AO86" i="5"/>
  <c r="AM86" i="5"/>
  <c r="AK86" i="5"/>
  <c r="AJ86" i="5"/>
  <c r="AG86" i="5"/>
  <c r="Z86" i="5"/>
  <c r="W86" i="5"/>
  <c r="T86" i="5"/>
  <c r="S86" i="5"/>
  <c r="R86" i="5"/>
  <c r="Q86" i="5"/>
  <c r="H86" i="5"/>
  <c r="AQ86" i="5" s="1"/>
  <c r="H85" i="5"/>
  <c r="H84" i="5"/>
  <c r="H83" i="5"/>
  <c r="H82" i="5"/>
  <c r="AT81" i="5"/>
  <c r="I81" i="5"/>
  <c r="H81" i="5"/>
  <c r="AI80" i="5"/>
  <c r="I80" i="5"/>
  <c r="H80" i="5"/>
  <c r="H79" i="5"/>
  <c r="H78" i="5"/>
  <c r="H77" i="5"/>
  <c r="H76" i="5"/>
  <c r="AT75" i="5"/>
  <c r="AR75" i="5"/>
  <c r="AQ75" i="5"/>
  <c r="AP75" i="5"/>
  <c r="AI75" i="5"/>
  <c r="AH75" i="5"/>
  <c r="AG75" i="5"/>
  <c r="AE75" i="5"/>
  <c r="AB75" i="5"/>
  <c r="Z75" i="5"/>
  <c r="X75" i="5"/>
  <c r="V75" i="5"/>
  <c r="S75" i="5"/>
  <c r="R75" i="5"/>
  <c r="Q75" i="5"/>
  <c r="I75" i="5"/>
  <c r="AJ75" i="5" s="1"/>
  <c r="H75" i="5"/>
  <c r="AL75" i="5" s="1"/>
  <c r="AB74" i="5"/>
  <c r="Z74" i="5"/>
  <c r="X74" i="5"/>
  <c r="W74" i="5"/>
  <c r="V74" i="5"/>
  <c r="T74" i="5"/>
  <c r="S74" i="5"/>
  <c r="Q74" i="5"/>
  <c r="I74" i="5"/>
  <c r="H74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H73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H72" i="5"/>
  <c r="AS71" i="5"/>
  <c r="AR71" i="5"/>
  <c r="AP71" i="5"/>
  <c r="AN71" i="5"/>
  <c r="AJ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H71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H70" i="5"/>
  <c r="AT69" i="5"/>
  <c r="AS69" i="5"/>
  <c r="AR69" i="5"/>
  <c r="AQ69" i="5"/>
  <c r="AP69" i="5"/>
  <c r="AN69" i="5"/>
  <c r="AM69" i="5"/>
  <c r="AL69" i="5"/>
  <c r="AK69" i="5"/>
  <c r="AJ69" i="5"/>
  <c r="AI69" i="5"/>
  <c r="AH69" i="5"/>
  <c r="AF69" i="5"/>
  <c r="AE69" i="5"/>
  <c r="AD69" i="5"/>
  <c r="AC69" i="5"/>
  <c r="AB69" i="5"/>
  <c r="AA69" i="5"/>
  <c r="Z69" i="5"/>
  <c r="Y69" i="5"/>
  <c r="X69" i="5"/>
  <c r="W69" i="5"/>
  <c r="U69" i="5"/>
  <c r="T69" i="5"/>
  <c r="S69" i="5"/>
  <c r="R69" i="5"/>
  <c r="Q69" i="5"/>
  <c r="H69" i="5"/>
  <c r="AO69" i="5" s="1"/>
  <c r="AS68" i="5"/>
  <c r="AQ68" i="5"/>
  <c r="AO68" i="5"/>
  <c r="AH68" i="5"/>
  <c r="AG68" i="5"/>
  <c r="AF68" i="5"/>
  <c r="AD68" i="5"/>
  <c r="AC68" i="5"/>
  <c r="Y68" i="5"/>
  <c r="X68" i="5"/>
  <c r="W68" i="5"/>
  <c r="U68" i="5"/>
  <c r="T68" i="5"/>
  <c r="S68" i="5"/>
  <c r="R68" i="5"/>
  <c r="Q68" i="5"/>
  <c r="H68" i="5"/>
  <c r="AR67" i="5"/>
  <c r="AQ67" i="5"/>
  <c r="AP67" i="5"/>
  <c r="AN67" i="5"/>
  <c r="AL67" i="5"/>
  <c r="AI67" i="5"/>
  <c r="AG67" i="5"/>
  <c r="AE67" i="5"/>
  <c r="AD67" i="5"/>
  <c r="AB67" i="5"/>
  <c r="AA67" i="5"/>
  <c r="Y67" i="5"/>
  <c r="U67" i="5"/>
  <c r="T67" i="5"/>
  <c r="S67" i="5"/>
  <c r="S127" i="5" s="1"/>
  <c r="R67" i="5"/>
  <c r="Q67" i="5"/>
  <c r="Q127" i="5" s="1"/>
  <c r="H67" i="5"/>
  <c r="AT67" i="5" s="1"/>
  <c r="AT66" i="5"/>
  <c r="AP66" i="5"/>
  <c r="AO66" i="5"/>
  <c r="AN66" i="5"/>
  <c r="AM66" i="5"/>
  <c r="AL66" i="5"/>
  <c r="AH66" i="5"/>
  <c r="AF66" i="5"/>
  <c r="AE66" i="5"/>
  <c r="AD66" i="5"/>
  <c r="AC66" i="5"/>
  <c r="AB66" i="5"/>
  <c r="X66" i="5"/>
  <c r="U66" i="5"/>
  <c r="T66" i="5"/>
  <c r="S66" i="5"/>
  <c r="R66" i="5"/>
  <c r="Q66" i="5"/>
  <c r="H66" i="5"/>
  <c r="AR66" i="5" s="1"/>
  <c r="AT65" i="5"/>
  <c r="AS65" i="5"/>
  <c r="AR65" i="5"/>
  <c r="AQ65" i="5"/>
  <c r="AP65" i="5"/>
  <c r="AN65" i="5"/>
  <c r="AM65" i="5"/>
  <c r="AL65" i="5"/>
  <c r="AK65" i="5"/>
  <c r="AJ65" i="5"/>
  <c r="AI65" i="5"/>
  <c r="AH65" i="5"/>
  <c r="AF65" i="5"/>
  <c r="AE65" i="5"/>
  <c r="AD65" i="5"/>
  <c r="AC65" i="5"/>
  <c r="AB65" i="5"/>
  <c r="AA65" i="5"/>
  <c r="Z65" i="5"/>
  <c r="X65" i="5"/>
  <c r="W65" i="5"/>
  <c r="U65" i="5"/>
  <c r="T65" i="5"/>
  <c r="S65" i="5"/>
  <c r="R65" i="5"/>
  <c r="Q65" i="5"/>
  <c r="H65" i="5"/>
  <c r="AO65" i="5" s="1"/>
  <c r="AE64" i="5"/>
  <c r="AD64" i="5"/>
  <c r="AC64" i="5"/>
  <c r="AB64" i="5"/>
  <c r="AA64" i="5"/>
  <c r="Z64" i="5"/>
  <c r="Y64" i="5"/>
  <c r="X64" i="5"/>
  <c r="W64" i="5"/>
  <c r="U64" i="5"/>
  <c r="T64" i="5"/>
  <c r="S64" i="5"/>
  <c r="R64" i="5"/>
  <c r="Q64" i="5"/>
  <c r="H64" i="5"/>
  <c r="AP64" i="5" s="1"/>
  <c r="AQ63" i="5"/>
  <c r="AO63" i="5"/>
  <c r="AN63" i="5"/>
  <c r="AG63" i="5"/>
  <c r="AB63" i="5"/>
  <c r="AA63" i="5"/>
  <c r="Z63" i="5"/>
  <c r="Y63" i="5"/>
  <c r="X63" i="5"/>
  <c r="W63" i="5"/>
  <c r="U63" i="5"/>
  <c r="T63" i="5"/>
  <c r="S63" i="5"/>
  <c r="R63" i="5"/>
  <c r="Q63" i="5"/>
  <c r="H63" i="5"/>
  <c r="AJ63" i="5" s="1"/>
  <c r="AS62" i="5"/>
  <c r="AO62" i="5"/>
  <c r="AN62" i="5"/>
  <c r="AM62" i="5"/>
  <c r="AL62" i="5"/>
  <c r="AK62" i="5"/>
  <c r="AH62" i="5"/>
  <c r="AE62" i="5"/>
  <c r="AD62" i="5"/>
  <c r="AC62" i="5"/>
  <c r="AB62" i="5"/>
  <c r="Z62" i="5"/>
  <c r="Y62" i="5"/>
  <c r="X62" i="5"/>
  <c r="W62" i="5"/>
  <c r="U62" i="5"/>
  <c r="T62" i="5"/>
  <c r="S62" i="5"/>
  <c r="R62" i="5"/>
  <c r="Q62" i="5"/>
  <c r="H62" i="5"/>
  <c r="AR62" i="5" s="1"/>
  <c r="AT61" i="5"/>
  <c r="AS61" i="5"/>
  <c r="AR61" i="5"/>
  <c r="AQ61" i="5"/>
  <c r="AP61" i="5"/>
  <c r="AN61" i="5"/>
  <c r="AM61" i="5"/>
  <c r="AL61" i="5"/>
  <c r="AK61" i="5"/>
  <c r="AJ61" i="5"/>
  <c r="AI61" i="5"/>
  <c r="AH61" i="5"/>
  <c r="AF61" i="5"/>
  <c r="AE61" i="5"/>
  <c r="AD61" i="5"/>
  <c r="AC61" i="5"/>
  <c r="AB61" i="5"/>
  <c r="AA61" i="5"/>
  <c r="Z61" i="5"/>
  <c r="X61" i="5"/>
  <c r="W61" i="5"/>
  <c r="U61" i="5"/>
  <c r="T61" i="5"/>
  <c r="S61" i="5"/>
  <c r="R61" i="5"/>
  <c r="Q61" i="5"/>
  <c r="H61" i="5"/>
  <c r="AO61" i="5" s="1"/>
  <c r="AK60" i="5"/>
  <c r="U60" i="5"/>
  <c r="T60" i="5"/>
  <c r="S60" i="5"/>
  <c r="R60" i="5"/>
  <c r="Q60" i="5"/>
  <c r="H60" i="5"/>
  <c r="Z60" i="5" s="1"/>
  <c r="H59" i="5"/>
  <c r="H58" i="5"/>
  <c r="H57" i="5"/>
  <c r="I56" i="5"/>
  <c r="H56" i="5"/>
  <c r="AM55" i="5"/>
  <c r="AJ55" i="5"/>
  <c r="Z55" i="5"/>
  <c r="V55" i="5"/>
  <c r="T55" i="5"/>
  <c r="S55" i="5"/>
  <c r="R55" i="5"/>
  <c r="Q55" i="5"/>
  <c r="I55" i="5"/>
  <c r="H55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H54" i="5"/>
  <c r="AS53" i="5"/>
  <c r="AQ53" i="5"/>
  <c r="AO53" i="5"/>
  <c r="AM53" i="5"/>
  <c r="AL53" i="5"/>
  <c r="AI53" i="5"/>
  <c r="AH53" i="5"/>
  <c r="AG53" i="5"/>
  <c r="AE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H53" i="5"/>
  <c r="AN53" i="5" s="1"/>
  <c r="AT52" i="5"/>
  <c r="AS52" i="5"/>
  <c r="AR52" i="5"/>
  <c r="AO52" i="5"/>
  <c r="AN52" i="5"/>
  <c r="AM52" i="5"/>
  <c r="AL52" i="5"/>
  <c r="AK52" i="5"/>
  <c r="AJ52" i="5"/>
  <c r="AH52" i="5"/>
  <c r="AF52" i="5"/>
  <c r="AE52" i="5"/>
  <c r="AD52" i="5"/>
  <c r="AC52" i="5"/>
  <c r="AB52" i="5"/>
  <c r="Z52" i="5"/>
  <c r="Y52" i="5"/>
  <c r="X52" i="5"/>
  <c r="W52" i="5"/>
  <c r="V52" i="5"/>
  <c r="U52" i="5"/>
  <c r="T52" i="5"/>
  <c r="S52" i="5"/>
  <c r="R52" i="5"/>
  <c r="Q52" i="5"/>
  <c r="H52" i="5"/>
  <c r="AT51" i="5"/>
  <c r="AS51" i="5"/>
  <c r="AQ51" i="5"/>
  <c r="AO51" i="5"/>
  <c r="AJ51" i="5"/>
  <c r="AG51" i="5"/>
  <c r="AF51" i="5"/>
  <c r="AB51" i="5"/>
  <c r="Y51" i="5"/>
  <c r="W51" i="5"/>
  <c r="V51" i="5"/>
  <c r="U51" i="5"/>
  <c r="T51" i="5"/>
  <c r="S51" i="5"/>
  <c r="R51" i="5"/>
  <c r="Q51" i="5"/>
  <c r="Q128" i="5" s="1"/>
  <c r="Q142" i="5" s="1"/>
  <c r="H51" i="5"/>
  <c r="AI51" i="5" s="1"/>
  <c r="AT50" i="5"/>
  <c r="AS50" i="5"/>
  <c r="AR50" i="5"/>
  <c r="AP50" i="5"/>
  <c r="AN50" i="5"/>
  <c r="AM50" i="5"/>
  <c r="AL50" i="5"/>
  <c r="AK50" i="5"/>
  <c r="AJ50" i="5"/>
  <c r="AI50" i="5"/>
  <c r="AF50" i="5"/>
  <c r="AE50" i="5"/>
  <c r="AD50" i="5"/>
  <c r="AC50" i="5"/>
  <c r="AB50" i="5"/>
  <c r="AA50" i="5"/>
  <c r="Z50" i="5"/>
  <c r="W50" i="5"/>
  <c r="V50" i="5"/>
  <c r="U50" i="5"/>
  <c r="T50" i="5"/>
  <c r="S50" i="5"/>
  <c r="R50" i="5"/>
  <c r="Q50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H37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H36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H35" i="5"/>
  <c r="AT34" i="5"/>
  <c r="AS34" i="5"/>
  <c r="AR34" i="5"/>
  <c r="AQ34" i="5"/>
  <c r="AP34" i="5"/>
  <c r="AO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H34" i="5"/>
  <c r="AN34" i="5" s="1"/>
  <c r="AQ33" i="5"/>
  <c r="AO33" i="5"/>
  <c r="AL33" i="5"/>
  <c r="AF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H33" i="5"/>
  <c r="AS32" i="5"/>
  <c r="AQ32" i="5"/>
  <c r="AP32" i="5"/>
  <c r="AI32" i="5"/>
  <c r="AG32" i="5"/>
  <c r="AF32" i="5"/>
  <c r="Z32" i="5"/>
  <c r="Y32" i="5"/>
  <c r="X32" i="5"/>
  <c r="W32" i="5"/>
  <c r="T32" i="5"/>
  <c r="S32" i="5"/>
  <c r="R32" i="5"/>
  <c r="Q32" i="5"/>
  <c r="H32" i="5"/>
  <c r="AT31" i="5"/>
  <c r="AR31" i="5"/>
  <c r="AO31" i="5"/>
  <c r="AM31" i="5"/>
  <c r="AK31" i="5"/>
  <c r="AJ31" i="5"/>
  <c r="AF31" i="5"/>
  <c r="AE31" i="5"/>
  <c r="AC31" i="5"/>
  <c r="Z31" i="5"/>
  <c r="Y31" i="5"/>
  <c r="T31" i="5"/>
  <c r="S31" i="5"/>
  <c r="R31" i="5"/>
  <c r="Q31" i="5"/>
  <c r="H31" i="5"/>
  <c r="AR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T30" i="5"/>
  <c r="S30" i="5"/>
  <c r="R30" i="5"/>
  <c r="Q30" i="5"/>
  <c r="H30" i="5"/>
  <c r="AR29" i="5"/>
  <c r="AQ29" i="5"/>
  <c r="AP29" i="5"/>
  <c r="AO29" i="5"/>
  <c r="AM29" i="5"/>
  <c r="AL29" i="5"/>
  <c r="AJ29" i="5"/>
  <c r="AH29" i="5"/>
  <c r="AG29" i="5"/>
  <c r="AF29" i="5"/>
  <c r="AD29" i="5"/>
  <c r="AC29" i="5"/>
  <c r="AB29" i="5"/>
  <c r="AA29" i="5"/>
  <c r="Z29" i="5"/>
  <c r="Y29" i="5"/>
  <c r="X29" i="5"/>
  <c r="W29" i="5"/>
  <c r="T29" i="5"/>
  <c r="S29" i="5"/>
  <c r="R29" i="5"/>
  <c r="Q29" i="5"/>
  <c r="H29" i="5"/>
  <c r="AT28" i="5"/>
  <c r="AS28" i="5"/>
  <c r="AR28" i="5"/>
  <c r="AQ28" i="5"/>
  <c r="AO28" i="5"/>
  <c r="AN28" i="5"/>
  <c r="AM28" i="5"/>
  <c r="AL28" i="5"/>
  <c r="AK28" i="5"/>
  <c r="AJ28" i="5"/>
  <c r="AI28" i="5"/>
  <c r="AG28" i="5"/>
  <c r="AF28" i="5"/>
  <c r="AE28" i="5"/>
  <c r="AD28" i="5"/>
  <c r="AC28" i="5"/>
  <c r="AB28" i="5"/>
  <c r="AA28" i="5"/>
  <c r="Z28" i="5"/>
  <c r="Y28" i="5"/>
  <c r="X28" i="5"/>
  <c r="W28" i="5"/>
  <c r="T28" i="5"/>
  <c r="S28" i="5"/>
  <c r="R28" i="5"/>
  <c r="Q28" i="5"/>
  <c r="H28" i="5"/>
  <c r="AP28" i="5" s="1"/>
  <c r="AT27" i="5"/>
  <c r="AS27" i="5"/>
  <c r="AR27" i="5"/>
  <c r="AQ27" i="5"/>
  <c r="AO27" i="5"/>
  <c r="AN27" i="5"/>
  <c r="AJ27" i="5"/>
  <c r="AI27" i="5"/>
  <c r="AH27" i="5"/>
  <c r="AG27" i="5"/>
  <c r="AD27" i="5"/>
  <c r="AB27" i="5"/>
  <c r="Z27" i="5"/>
  <c r="Y27" i="5"/>
  <c r="X27" i="5"/>
  <c r="T27" i="5"/>
  <c r="S27" i="5"/>
  <c r="R27" i="5"/>
  <c r="Q27" i="5"/>
  <c r="Q125" i="5" s="1"/>
  <c r="Q139" i="5" s="1"/>
  <c r="H27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T26" i="5"/>
  <c r="S26" i="5"/>
  <c r="R26" i="5"/>
  <c r="Q26" i="5"/>
  <c r="H26" i="5"/>
  <c r="AS25" i="5"/>
  <c r="AH25" i="5"/>
  <c r="Z25" i="5"/>
  <c r="Y25" i="5"/>
  <c r="X25" i="5"/>
  <c r="W25" i="5"/>
  <c r="V25" i="5"/>
  <c r="U25" i="5"/>
  <c r="T25" i="5"/>
  <c r="S25" i="5"/>
  <c r="R25" i="5"/>
  <c r="Q25" i="5"/>
  <c r="H25" i="5"/>
  <c r="AS24" i="5"/>
  <c r="AP24" i="5"/>
  <c r="AO24" i="5"/>
  <c r="AL24" i="5"/>
  <c r="AK24" i="5"/>
  <c r="AI24" i="5"/>
  <c r="AE24" i="5"/>
  <c r="AD24" i="5"/>
  <c r="AB24" i="5"/>
  <c r="AA24" i="5"/>
  <c r="W24" i="5"/>
  <c r="W128" i="5" s="1"/>
  <c r="W142" i="5" s="1"/>
  <c r="H24" i="5"/>
  <c r="AT23" i="5"/>
  <c r="AS23" i="5"/>
  <c r="AR23" i="5"/>
  <c r="AQ23" i="5"/>
  <c r="AP23" i="5"/>
  <c r="AM23" i="5"/>
  <c r="AL23" i="5"/>
  <c r="AK23" i="5"/>
  <c r="AJ23" i="5"/>
  <c r="AI23" i="5"/>
  <c r="AH23" i="5"/>
  <c r="AF23" i="5"/>
  <c r="AD23" i="5"/>
  <c r="AC23" i="5"/>
  <c r="AB23" i="5"/>
  <c r="AA23" i="5"/>
  <c r="Z23" i="5"/>
  <c r="X23" i="5"/>
  <c r="W23" i="5"/>
  <c r="H23" i="5"/>
  <c r="AT22" i="5"/>
  <c r="AR22" i="5"/>
  <c r="AO22" i="5"/>
  <c r="AN22" i="5"/>
  <c r="AK22" i="5"/>
  <c r="AJ22" i="5"/>
  <c r="AG22" i="5"/>
  <c r="AE22" i="5"/>
  <c r="AD22" i="5"/>
  <c r="AA22" i="5"/>
  <c r="Y22" i="5"/>
  <c r="W22" i="5"/>
  <c r="H22" i="5"/>
  <c r="AT21" i="5"/>
  <c r="AR21" i="5"/>
  <c r="AO21" i="5"/>
  <c r="AN21" i="5"/>
  <c r="AM21" i="5"/>
  <c r="AL21" i="5"/>
  <c r="AK21" i="5"/>
  <c r="AH21" i="5"/>
  <c r="AG21" i="5"/>
  <c r="AE21" i="5"/>
  <c r="AD21" i="5"/>
  <c r="AC21" i="5"/>
  <c r="AB21" i="5"/>
  <c r="Y21" i="5"/>
  <c r="X21" i="5"/>
  <c r="W21" i="5"/>
  <c r="H21" i="5"/>
  <c r="AT20" i="5"/>
  <c r="AS20" i="5"/>
  <c r="AO20" i="5"/>
  <c r="AN20" i="5"/>
  <c r="AM20" i="5"/>
  <c r="AL20" i="5"/>
  <c r="AI20" i="5"/>
  <c r="AH20" i="5"/>
  <c r="AE20" i="5"/>
  <c r="AD20" i="5"/>
  <c r="AC20" i="5"/>
  <c r="AA20" i="5"/>
  <c r="Y20" i="5"/>
  <c r="W20" i="5"/>
  <c r="H20" i="5"/>
  <c r="AT19" i="5"/>
  <c r="AR19" i="5"/>
  <c r="AQ19" i="5"/>
  <c r="AP19" i="5"/>
  <c r="AO19" i="5"/>
  <c r="AM19" i="5"/>
  <c r="AL19" i="5"/>
  <c r="AJ19" i="5"/>
  <c r="AI19" i="5"/>
  <c r="AH19" i="5"/>
  <c r="AG19" i="5"/>
  <c r="AF19" i="5"/>
  <c r="AD19" i="5"/>
  <c r="AB19" i="5"/>
  <c r="AA19" i="5"/>
  <c r="Z19" i="5"/>
  <c r="Y19" i="5"/>
  <c r="X19" i="5"/>
  <c r="W19" i="5"/>
  <c r="H19" i="5"/>
  <c r="AS18" i="5"/>
  <c r="AR18" i="5"/>
  <c r="AQ18" i="5"/>
  <c r="AP18" i="5"/>
  <c r="AO18" i="5"/>
  <c r="AN18" i="5"/>
  <c r="AM18" i="5"/>
  <c r="AK18" i="5"/>
  <c r="AJ18" i="5"/>
  <c r="AI18" i="5"/>
  <c r="AH18" i="5"/>
  <c r="AG18" i="5"/>
  <c r="AF18" i="5"/>
  <c r="AE18" i="5"/>
  <c r="AC18" i="5"/>
  <c r="AB18" i="5"/>
  <c r="AA18" i="5"/>
  <c r="Z18" i="5"/>
  <c r="Y18" i="5"/>
  <c r="X18" i="5"/>
  <c r="W18" i="5"/>
  <c r="H18" i="5"/>
  <c r="AT18" i="5" s="1"/>
  <c r="AT17" i="5"/>
  <c r="AR17" i="5"/>
  <c r="AP17" i="5"/>
  <c r="AO17" i="5"/>
  <c r="AN17" i="5"/>
  <c r="AL17" i="5"/>
  <c r="AK17" i="5"/>
  <c r="AI17" i="5"/>
  <c r="AH17" i="5"/>
  <c r="AF17" i="5"/>
  <c r="AD17" i="5"/>
  <c r="AC17" i="5"/>
  <c r="AB17" i="5"/>
  <c r="Z17" i="5"/>
  <c r="Y17" i="5"/>
  <c r="X17" i="5"/>
  <c r="H17" i="5"/>
  <c r="AT16" i="5"/>
  <c r="AS16" i="5"/>
  <c r="AP16" i="5"/>
  <c r="AO16" i="5"/>
  <c r="AM16" i="5"/>
  <c r="AL16" i="5"/>
  <c r="AJ16" i="5"/>
  <c r="AI16" i="5"/>
  <c r="AE16" i="5"/>
  <c r="AD16" i="5"/>
  <c r="AC16" i="5"/>
  <c r="AB16" i="5"/>
  <c r="Z16" i="5"/>
  <c r="W16" i="5"/>
  <c r="H16" i="5"/>
  <c r="AT15" i="5"/>
  <c r="AS15" i="5"/>
  <c r="AR15" i="5"/>
  <c r="AQ15" i="5"/>
  <c r="AP15" i="5"/>
  <c r="AM15" i="5"/>
  <c r="AL15" i="5"/>
  <c r="AK15" i="5"/>
  <c r="AJ15" i="5"/>
  <c r="AI15" i="5"/>
  <c r="AH15" i="5"/>
  <c r="AF15" i="5"/>
  <c r="AD15" i="5"/>
  <c r="AC15" i="5"/>
  <c r="AB15" i="5"/>
  <c r="AA15" i="5"/>
  <c r="Z15" i="5"/>
  <c r="X15" i="5"/>
  <c r="W15" i="5"/>
  <c r="H15" i="5"/>
  <c r="AS14" i="5"/>
  <c r="AR14" i="5"/>
  <c r="AO14" i="5"/>
  <c r="AN14" i="5"/>
  <c r="AM14" i="5"/>
  <c r="AK14" i="5"/>
  <c r="AI14" i="5"/>
  <c r="AG14" i="5"/>
  <c r="AE14" i="5"/>
  <c r="AD14" i="5"/>
  <c r="AB14" i="5"/>
  <c r="AA14" i="5"/>
  <c r="X14" i="5"/>
  <c r="W14" i="5"/>
  <c r="H14" i="5"/>
  <c r="AN13" i="5"/>
  <c r="AG13" i="5"/>
  <c r="AE13" i="5"/>
  <c r="AD13" i="5"/>
  <c r="X13" i="5"/>
  <c r="H13" i="5"/>
  <c r="AP13" i="5" s="1"/>
  <c r="AN12" i="5"/>
  <c r="AK12" i="5"/>
  <c r="AE12" i="5"/>
  <c r="AC12" i="5"/>
  <c r="AA12" i="5"/>
  <c r="H12" i="5"/>
  <c r="AT12" i="5" s="1"/>
  <c r="AR11" i="5"/>
  <c r="AQ11" i="5"/>
  <c r="AO11" i="5"/>
  <c r="AM11" i="5"/>
  <c r="AL11" i="5"/>
  <c r="AI11" i="5"/>
  <c r="AH11" i="5"/>
  <c r="AF11" i="5"/>
  <c r="AD11" i="5"/>
  <c r="AB11" i="5"/>
  <c r="Z11" i="5"/>
  <c r="Y11" i="5"/>
  <c r="W11" i="5"/>
  <c r="H11" i="5"/>
  <c r="AS10" i="5"/>
  <c r="AR10" i="5"/>
  <c r="AQ10" i="5"/>
  <c r="AP10" i="5"/>
  <c r="AO10" i="5"/>
  <c r="AN10" i="5"/>
  <c r="AM10" i="5"/>
  <c r="AK10" i="5"/>
  <c r="AJ10" i="5"/>
  <c r="AI10" i="5"/>
  <c r="AH10" i="5"/>
  <c r="AG10" i="5"/>
  <c r="AF10" i="5"/>
  <c r="AE10" i="5"/>
  <c r="AC10" i="5"/>
  <c r="AB10" i="5"/>
  <c r="AA10" i="5"/>
  <c r="Z10" i="5"/>
  <c r="Y10" i="5"/>
  <c r="X10" i="5"/>
  <c r="W10" i="5"/>
  <c r="H10" i="5"/>
  <c r="AT10" i="5" s="1"/>
  <c r="AT9" i="5"/>
  <c r="AR9" i="5"/>
  <c r="AO9" i="5"/>
  <c r="AK9" i="5"/>
  <c r="AF9" i="5"/>
  <c r="AD9" i="5"/>
  <c r="AA9" i="5"/>
  <c r="Y9" i="5"/>
  <c r="T9" i="5"/>
  <c r="S9" i="5"/>
  <c r="R9" i="5"/>
  <c r="Q9" i="5"/>
  <c r="H9" i="5"/>
  <c r="AN9" i="5" s="1"/>
  <c r="AQ8" i="5"/>
  <c r="T8" i="5"/>
  <c r="S8" i="5"/>
  <c r="R8" i="5"/>
  <c r="Q8" i="5"/>
  <c r="H8" i="5"/>
  <c r="AF8" i="5" s="1"/>
  <c r="AS7" i="5"/>
  <c r="AR7" i="5"/>
  <c r="AQ7" i="5"/>
  <c r="AP7" i="5"/>
  <c r="AN7" i="5"/>
  <c r="AM7" i="5"/>
  <c r="AK7" i="5"/>
  <c r="AJ7" i="5"/>
  <c r="AI7" i="5"/>
  <c r="AH7" i="5"/>
  <c r="AF7" i="5"/>
  <c r="AE7" i="5"/>
  <c r="AC7" i="5"/>
  <c r="AB7" i="5"/>
  <c r="AA7" i="5"/>
  <c r="Z7" i="5"/>
  <c r="X7" i="5"/>
  <c r="W7" i="5"/>
  <c r="H7" i="5"/>
  <c r="AO7" i="5" s="1"/>
  <c r="AT6" i="5"/>
  <c r="AQ6" i="5"/>
  <c r="AO6" i="5"/>
  <c r="AN6" i="5"/>
  <c r="AL6" i="5"/>
  <c r="AJ6" i="5"/>
  <c r="AF6" i="5"/>
  <c r="AD6" i="5"/>
  <c r="AC6" i="5"/>
  <c r="AB6" i="5"/>
  <c r="Y6" i="5"/>
  <c r="H6" i="5"/>
  <c r="AK6" i="5" s="1"/>
  <c r="AT5" i="5"/>
  <c r="AS5" i="5"/>
  <c r="AP5" i="5"/>
  <c r="AM5" i="5"/>
  <c r="AJ5" i="5"/>
  <c r="AH5" i="5"/>
  <c r="AE5" i="5"/>
  <c r="AC5" i="5"/>
  <c r="Y5" i="5"/>
  <c r="W5" i="5"/>
  <c r="H5" i="5"/>
  <c r="AO5" i="5" s="1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N4" i="5"/>
  <c r="AP581" i="4"/>
  <c r="AO581" i="4"/>
  <c r="AN581" i="4"/>
  <c r="AM581" i="4"/>
  <c r="AL581" i="4"/>
  <c r="AK581" i="4"/>
  <c r="AJ581" i="4"/>
  <c r="AI581" i="4"/>
  <c r="AH581" i="4"/>
  <c r="AG581" i="4"/>
  <c r="AF581" i="4"/>
  <c r="AE581" i="4"/>
  <c r="AD581" i="4"/>
  <c r="AC581" i="4"/>
  <c r="AB581" i="4"/>
  <c r="AA581" i="4"/>
  <c r="Z581" i="4"/>
  <c r="Y581" i="4"/>
  <c r="X581" i="4"/>
  <c r="W581" i="4"/>
  <c r="V581" i="4"/>
  <c r="U581" i="4"/>
  <c r="T581" i="4"/>
  <c r="S581" i="4"/>
  <c r="W577" i="4"/>
  <c r="V577" i="4"/>
  <c r="U577" i="4"/>
  <c r="T577" i="4"/>
  <c r="S577" i="4"/>
  <c r="R577" i="4"/>
  <c r="Q577" i="4"/>
  <c r="X576" i="4"/>
  <c r="W576" i="4"/>
  <c r="V576" i="4"/>
  <c r="U576" i="4"/>
  <c r="T576" i="4"/>
  <c r="S576" i="4"/>
  <c r="X575" i="4"/>
  <c r="W575" i="4"/>
  <c r="V575" i="4"/>
  <c r="U575" i="4"/>
  <c r="T575" i="4"/>
  <c r="S575" i="4"/>
  <c r="X574" i="4"/>
  <c r="W574" i="4"/>
  <c r="W571" i="4" s="1"/>
  <c r="V574" i="4"/>
  <c r="U574" i="4"/>
  <c r="U571" i="4" s="1"/>
  <c r="T574" i="4"/>
  <c r="S574" i="4"/>
  <c r="L573" i="4"/>
  <c r="K573" i="4"/>
  <c r="J573" i="4"/>
  <c r="I573" i="4"/>
  <c r="H573" i="4"/>
  <c r="G573" i="4"/>
  <c r="T571" i="4"/>
  <c r="S571" i="4"/>
  <c r="R571" i="4"/>
  <c r="Q571" i="4"/>
  <c r="D560" i="4"/>
  <c r="D559" i="4"/>
  <c r="D549" i="4" s="1"/>
  <c r="D554" i="4" s="1"/>
  <c r="D558" i="4"/>
  <c r="C554" i="4"/>
  <c r="D553" i="4"/>
  <c r="C553" i="4"/>
  <c r="D550" i="4"/>
  <c r="D555" i="4" s="1"/>
  <c r="C550" i="4"/>
  <c r="C555" i="4" s="1"/>
  <c r="C549" i="4"/>
  <c r="D548" i="4"/>
  <c r="C548" i="4"/>
  <c r="D545" i="4"/>
  <c r="C545" i="4"/>
  <c r="D544" i="4"/>
  <c r="C544" i="4"/>
  <c r="Y543" i="4"/>
  <c r="Y548" i="4" s="1"/>
  <c r="X543" i="4"/>
  <c r="X548" i="4" s="1"/>
  <c r="D543" i="4"/>
  <c r="C543" i="4"/>
  <c r="X542" i="4"/>
  <c r="Y540" i="4"/>
  <c r="Y560" i="4" s="1"/>
  <c r="X539" i="4"/>
  <c r="X559" i="4" s="1"/>
  <c r="X538" i="4"/>
  <c r="X558" i="4" s="1"/>
  <c r="Y535" i="4"/>
  <c r="Y555" i="4" s="1"/>
  <c r="Y534" i="4"/>
  <c r="Y554" i="4" s="1"/>
  <c r="X534" i="4"/>
  <c r="X533" i="4"/>
  <c r="Y530" i="4"/>
  <c r="X530" i="4"/>
  <c r="Y529" i="4"/>
  <c r="X529" i="4"/>
  <c r="Y528" i="4"/>
  <c r="X528" i="4"/>
  <c r="Y525" i="4"/>
  <c r="X525" i="4"/>
  <c r="Z524" i="4"/>
  <c r="Y524" i="4"/>
  <c r="Y542" i="4" s="1"/>
  <c r="W521" i="4"/>
  <c r="V521" i="4"/>
  <c r="U521" i="4"/>
  <c r="T521" i="4"/>
  <c r="T188" i="4" s="1"/>
  <c r="S521" i="4"/>
  <c r="C512" i="4"/>
  <c r="C482" i="4" s="1"/>
  <c r="D482" i="4" s="1"/>
  <c r="E510" i="4"/>
  <c r="E509" i="4"/>
  <c r="E508" i="4"/>
  <c r="E507" i="4"/>
  <c r="E506" i="4"/>
  <c r="D505" i="4"/>
  <c r="C505" i="4"/>
  <c r="E502" i="4"/>
  <c r="E501" i="4"/>
  <c r="E500" i="4"/>
  <c r="Z499" i="4"/>
  <c r="D499" i="4"/>
  <c r="C499" i="4"/>
  <c r="C503" i="4" s="1"/>
  <c r="C481" i="4" s="1"/>
  <c r="D481" i="4" s="1"/>
  <c r="Z498" i="4"/>
  <c r="D497" i="4"/>
  <c r="E497" i="4" s="1"/>
  <c r="C497" i="4"/>
  <c r="E496" i="4"/>
  <c r="E495" i="4"/>
  <c r="E494" i="4"/>
  <c r="E493" i="4"/>
  <c r="E492" i="4"/>
  <c r="D480" i="4"/>
  <c r="AB470" i="4"/>
  <c r="AB471" i="4" s="1"/>
  <c r="AB472" i="4" s="1"/>
  <c r="E470" i="4"/>
  <c r="AU463" i="4"/>
  <c r="AR463" i="4"/>
  <c r="AJ463" i="4"/>
  <c r="AH463" i="4"/>
  <c r="AF463" i="4"/>
  <c r="AE463" i="4"/>
  <c r="AE171" i="4" s="1"/>
  <c r="Z463" i="4"/>
  <c r="W463" i="4"/>
  <c r="W171" i="4" s="1"/>
  <c r="U463" i="4"/>
  <c r="R463" i="4"/>
  <c r="L463" i="4"/>
  <c r="J463" i="4"/>
  <c r="BB462" i="4"/>
  <c r="BA462" i="4"/>
  <c r="BA463" i="4" s="1"/>
  <c r="AZ462" i="4"/>
  <c r="AY462" i="4"/>
  <c r="AX462" i="4"/>
  <c r="AW462" i="4"/>
  <c r="AV462" i="4"/>
  <c r="AU462" i="4"/>
  <c r="AT462" i="4"/>
  <c r="AS462" i="4"/>
  <c r="AS463" i="4" s="1"/>
  <c r="AR462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S462" i="4"/>
  <c r="R462" i="4"/>
  <c r="Q462" i="4"/>
  <c r="P462" i="4"/>
  <c r="O462" i="4"/>
  <c r="O463" i="4" s="1"/>
  <c r="O171" i="4" s="1"/>
  <c r="N462" i="4"/>
  <c r="M462" i="4"/>
  <c r="L462" i="4"/>
  <c r="K462" i="4"/>
  <c r="J462" i="4"/>
  <c r="I462" i="4"/>
  <c r="H462" i="4"/>
  <c r="BB461" i="4"/>
  <c r="BA461" i="4"/>
  <c r="AZ461" i="4"/>
  <c r="AZ463" i="4" s="1"/>
  <c r="AY461" i="4"/>
  <c r="AX461" i="4"/>
  <c r="AX463" i="4" s="1"/>
  <c r="AW461" i="4"/>
  <c r="AW463" i="4" s="1"/>
  <c r="AV461" i="4"/>
  <c r="AV463" i="4" s="1"/>
  <c r="AU461" i="4"/>
  <c r="AT461" i="4"/>
  <c r="AS461" i="4"/>
  <c r="AR461" i="4"/>
  <c r="AJ461" i="4"/>
  <c r="AI461" i="4"/>
  <c r="AH461" i="4"/>
  <c r="AG461" i="4"/>
  <c r="AF461" i="4"/>
  <c r="AE461" i="4"/>
  <c r="AD461" i="4"/>
  <c r="AD463" i="4" s="1"/>
  <c r="AC461" i="4"/>
  <c r="AC463" i="4" s="1"/>
  <c r="AB461" i="4"/>
  <c r="AB463" i="4" s="1"/>
  <c r="AA461" i="4"/>
  <c r="Z461" i="4"/>
  <c r="Y461" i="4"/>
  <c r="X461" i="4"/>
  <c r="X463" i="4" s="1"/>
  <c r="W461" i="4"/>
  <c r="V461" i="4"/>
  <c r="V463" i="4" s="1"/>
  <c r="U461" i="4"/>
  <c r="T461" i="4"/>
  <c r="T463" i="4" s="1"/>
  <c r="S461" i="4"/>
  <c r="R461" i="4"/>
  <c r="Q461" i="4"/>
  <c r="P461" i="4"/>
  <c r="P463" i="4" s="1"/>
  <c r="O461" i="4"/>
  <c r="N461" i="4"/>
  <c r="N463" i="4" s="1"/>
  <c r="M461" i="4"/>
  <c r="M463" i="4" s="1"/>
  <c r="L461" i="4"/>
  <c r="K461" i="4"/>
  <c r="J461" i="4"/>
  <c r="I461" i="4"/>
  <c r="H461" i="4"/>
  <c r="H463" i="4" s="1"/>
  <c r="AW459" i="4"/>
  <c r="AQ459" i="4"/>
  <c r="AH459" i="4"/>
  <c r="AE459" i="4"/>
  <c r="AB459" i="4"/>
  <c r="W459" i="4"/>
  <c r="U459" i="4"/>
  <c r="U159" i="4" s="1"/>
  <c r="S459" i="4"/>
  <c r="R459" i="4"/>
  <c r="L459" i="4"/>
  <c r="G459" i="4"/>
  <c r="BA458" i="4"/>
  <c r="AY458" i="4"/>
  <c r="AU458" i="4"/>
  <c r="AC458" i="4"/>
  <c r="AB458" i="4"/>
  <c r="AA458" i="4"/>
  <c r="Y458" i="4"/>
  <c r="U458" i="4"/>
  <c r="S458" i="4"/>
  <c r="Q458" i="4"/>
  <c r="O458" i="4"/>
  <c r="M458" i="4"/>
  <c r="I458" i="4"/>
  <c r="BB455" i="4"/>
  <c r="BB459" i="4" s="1"/>
  <c r="BA455" i="4"/>
  <c r="BA459" i="4" s="1"/>
  <c r="AZ455" i="4"/>
  <c r="AZ459" i="4" s="1"/>
  <c r="AY455" i="4"/>
  <c r="AY459" i="4" s="1"/>
  <c r="AX455" i="4"/>
  <c r="AX459" i="4" s="1"/>
  <c r="AW455" i="4"/>
  <c r="AV455" i="4"/>
  <c r="AV459" i="4" s="1"/>
  <c r="AU455" i="4"/>
  <c r="AU459" i="4" s="1"/>
  <c r="AT455" i="4"/>
  <c r="AT459" i="4" s="1"/>
  <c r="AS455" i="4"/>
  <c r="AS459" i="4" s="1"/>
  <c r="AR455" i="4"/>
  <c r="AR459" i="4" s="1"/>
  <c r="AQ455" i="4"/>
  <c r="AI455" i="4"/>
  <c r="AI459" i="4" s="1"/>
  <c r="AH455" i="4"/>
  <c r="AG455" i="4"/>
  <c r="AF455" i="4"/>
  <c r="AF459" i="4" s="1"/>
  <c r="AF159" i="4" s="1"/>
  <c r="AE455" i="4"/>
  <c r="AD455" i="4"/>
  <c r="AD459" i="4" s="1"/>
  <c r="AC455" i="4"/>
  <c r="AC459" i="4" s="1"/>
  <c r="AC159" i="4" s="1"/>
  <c r="AB455" i="4"/>
  <c r="AA455" i="4"/>
  <c r="AA459" i="4" s="1"/>
  <c r="Z455" i="4"/>
  <c r="Z459" i="4" s="1"/>
  <c r="Y455" i="4"/>
  <c r="X455" i="4"/>
  <c r="X459" i="4" s="1"/>
  <c r="W455" i="4"/>
  <c r="V455" i="4"/>
  <c r="V459" i="4" s="1"/>
  <c r="U455" i="4"/>
  <c r="T455" i="4"/>
  <c r="T459" i="4" s="1"/>
  <c r="S455" i="4"/>
  <c r="R455" i="4"/>
  <c r="Q455" i="4"/>
  <c r="Q459" i="4" s="1"/>
  <c r="P455" i="4"/>
  <c r="P459" i="4" s="1"/>
  <c r="O455" i="4"/>
  <c r="O459" i="4" s="1"/>
  <c r="N455" i="4"/>
  <c r="N459" i="4" s="1"/>
  <c r="M455" i="4"/>
  <c r="M459" i="4" s="1"/>
  <c r="M159" i="4" s="1"/>
  <c r="L455" i="4"/>
  <c r="K455" i="4"/>
  <c r="K459" i="4" s="1"/>
  <c r="J455" i="4"/>
  <c r="J459" i="4" s="1"/>
  <c r="I455" i="4"/>
  <c r="I459" i="4" s="1"/>
  <c r="H455" i="4"/>
  <c r="H459" i="4" s="1"/>
  <c r="G455" i="4"/>
  <c r="BB454" i="4"/>
  <c r="BB458" i="4" s="1"/>
  <c r="BA454" i="4"/>
  <c r="AZ454" i="4"/>
  <c r="AZ458" i="4" s="1"/>
  <c r="AY454" i="4"/>
  <c r="AX454" i="4"/>
  <c r="AX458" i="4" s="1"/>
  <c r="AW454" i="4"/>
  <c r="AW458" i="4" s="1"/>
  <c r="AV454" i="4"/>
  <c r="AV458" i="4" s="1"/>
  <c r="AU454" i="4"/>
  <c r="AT454" i="4"/>
  <c r="AT458" i="4" s="1"/>
  <c r="AS454" i="4"/>
  <c r="AS458" i="4" s="1"/>
  <c r="AR454" i="4"/>
  <c r="AR458" i="4" s="1"/>
  <c r="AQ454" i="4"/>
  <c r="AQ458" i="4" s="1"/>
  <c r="AI454" i="4"/>
  <c r="AI458" i="4" s="1"/>
  <c r="AH454" i="4"/>
  <c r="AH458" i="4" s="1"/>
  <c r="AH137" i="4" s="1"/>
  <c r="AG454" i="4"/>
  <c r="AG458" i="4" s="1"/>
  <c r="AF454" i="4"/>
  <c r="AF458" i="4" s="1"/>
  <c r="AE454" i="4"/>
  <c r="AE458" i="4" s="1"/>
  <c r="AD454" i="4"/>
  <c r="AD458" i="4" s="1"/>
  <c r="AC454" i="4"/>
  <c r="AB454" i="4"/>
  <c r="AA454" i="4"/>
  <c r="Z454" i="4"/>
  <c r="Z458" i="4" s="1"/>
  <c r="Z137" i="4" s="1"/>
  <c r="Y454" i="4"/>
  <c r="X454" i="4"/>
  <c r="X458" i="4" s="1"/>
  <c r="W454" i="4"/>
  <c r="W458" i="4" s="1"/>
  <c r="V454" i="4"/>
  <c r="V458" i="4" s="1"/>
  <c r="U454" i="4"/>
  <c r="T454" i="4"/>
  <c r="T458" i="4" s="1"/>
  <c r="S454" i="4"/>
  <c r="R454" i="4"/>
  <c r="R458" i="4" s="1"/>
  <c r="R137" i="4" s="1"/>
  <c r="Q454" i="4"/>
  <c r="P454" i="4"/>
  <c r="P458" i="4" s="1"/>
  <c r="O454" i="4"/>
  <c r="N454" i="4"/>
  <c r="N458" i="4" s="1"/>
  <c r="M454" i="4"/>
  <c r="L454" i="4"/>
  <c r="L458" i="4" s="1"/>
  <c r="K454" i="4"/>
  <c r="K458" i="4" s="1"/>
  <c r="J454" i="4"/>
  <c r="J458" i="4" s="1"/>
  <c r="I454" i="4"/>
  <c r="H454" i="4"/>
  <c r="H458" i="4" s="1"/>
  <c r="G454" i="4"/>
  <c r="G458" i="4" s="1"/>
  <c r="AM446" i="4"/>
  <c r="AJ446" i="4"/>
  <c r="D446" i="4"/>
  <c r="AP445" i="4"/>
  <c r="AM445" i="4"/>
  <c r="AL445" i="4"/>
  <c r="D445" i="4"/>
  <c r="AK444" i="4"/>
  <c r="D444" i="4"/>
  <c r="AK441" i="4"/>
  <c r="AJ441" i="4"/>
  <c r="AI441" i="4"/>
  <c r="AH441" i="4"/>
  <c r="AG441" i="4"/>
  <c r="AF441" i="4"/>
  <c r="AE441" i="4"/>
  <c r="AM440" i="4"/>
  <c r="AO439" i="4"/>
  <c r="AP436" i="4"/>
  <c r="AN436" i="4"/>
  <c r="AN441" i="4" s="1"/>
  <c r="AM436" i="4"/>
  <c r="AM441" i="4" s="1"/>
  <c r="AL436" i="4"/>
  <c r="AL446" i="4" s="1"/>
  <c r="AK436" i="4"/>
  <c r="AK446" i="4" s="1"/>
  <c r="AJ436" i="4"/>
  <c r="AO435" i="4"/>
  <c r="AL435" i="4"/>
  <c r="AL440" i="4" s="1"/>
  <c r="AK435" i="4"/>
  <c r="AJ435" i="4"/>
  <c r="AP434" i="4"/>
  <c r="AP433" i="4" s="1"/>
  <c r="AL434" i="4"/>
  <c r="AK434" i="4"/>
  <c r="AM433" i="4"/>
  <c r="AP431" i="4"/>
  <c r="AO431" i="4"/>
  <c r="AO436" i="4" s="1"/>
  <c r="AN431" i="4"/>
  <c r="AM431" i="4"/>
  <c r="AL431" i="4"/>
  <c r="AK431" i="4"/>
  <c r="AJ431" i="4"/>
  <c r="AP430" i="4"/>
  <c r="AP435" i="4" s="1"/>
  <c r="AP440" i="4" s="1"/>
  <c r="AO430" i="4"/>
  <c r="AN430" i="4"/>
  <c r="AN435" i="4" s="1"/>
  <c r="AN445" i="4" s="1"/>
  <c r="AM430" i="4"/>
  <c r="AM435" i="4" s="1"/>
  <c r="AL430" i="4"/>
  <c r="AK430" i="4"/>
  <c r="AJ430" i="4"/>
  <c r="AP429" i="4"/>
  <c r="AO429" i="4"/>
  <c r="AO434" i="4" s="1"/>
  <c r="AN429" i="4"/>
  <c r="AN434" i="4" s="1"/>
  <c r="AM429" i="4"/>
  <c r="AM434" i="4" s="1"/>
  <c r="AL429" i="4"/>
  <c r="AK429" i="4"/>
  <c r="AJ429" i="4"/>
  <c r="AM428" i="4"/>
  <c r="AL428" i="4"/>
  <c r="AK428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S421" i="4"/>
  <c r="U404" i="4"/>
  <c r="B402" i="4"/>
  <c r="B401" i="4"/>
  <c r="B400" i="4"/>
  <c r="B399" i="4"/>
  <c r="B398" i="4"/>
  <c r="B397" i="4"/>
  <c r="B396" i="4"/>
  <c r="B395" i="4"/>
  <c r="B394" i="4"/>
  <c r="B393" i="4"/>
  <c r="X392" i="4"/>
  <c r="W392" i="4"/>
  <c r="V392" i="4"/>
  <c r="U392" i="4"/>
  <c r="T392" i="4"/>
  <c r="C386" i="4"/>
  <c r="F373" i="4" s="1"/>
  <c r="C385" i="4"/>
  <c r="C381" i="4"/>
  <c r="V380" i="4"/>
  <c r="U380" i="4"/>
  <c r="T380" i="4"/>
  <c r="F372" i="4"/>
  <c r="AA369" i="4"/>
  <c r="AA382" i="4" s="1"/>
  <c r="AA394" i="4" s="1"/>
  <c r="D369" i="4"/>
  <c r="E369" i="4" s="1"/>
  <c r="X368" i="4"/>
  <c r="X381" i="4" s="1"/>
  <c r="V368" i="4"/>
  <c r="S368" i="4"/>
  <c r="R368" i="4"/>
  <c r="F368" i="4"/>
  <c r="AP368" i="4" s="1"/>
  <c r="E368" i="4"/>
  <c r="D359" i="4"/>
  <c r="C359" i="4"/>
  <c r="D351" i="4"/>
  <c r="C351" i="4"/>
  <c r="C349" i="4"/>
  <c r="C352" i="4" s="1"/>
  <c r="C355" i="4" s="1"/>
  <c r="D348" i="4"/>
  <c r="D349" i="4" s="1"/>
  <c r="D352" i="4" s="1"/>
  <c r="D355" i="4" s="1"/>
  <c r="C348" i="4"/>
  <c r="C345" i="4"/>
  <c r="D342" i="4"/>
  <c r="D345" i="4" s="1"/>
  <c r="U339" i="4"/>
  <c r="M331" i="4"/>
  <c r="P330" i="4"/>
  <c r="N330" i="4"/>
  <c r="L330" i="4"/>
  <c r="K330" i="4"/>
  <c r="Q326" i="4"/>
  <c r="M326" i="4"/>
  <c r="M327" i="4" s="1"/>
  <c r="R325" i="4"/>
  <c r="C323" i="4"/>
  <c r="N322" i="4"/>
  <c r="L322" i="4"/>
  <c r="P321" i="4"/>
  <c r="O321" i="4"/>
  <c r="N321" i="4"/>
  <c r="O326" i="4" s="1"/>
  <c r="M321" i="4"/>
  <c r="N326" i="4" s="1"/>
  <c r="N327" i="4" s="1"/>
  <c r="N168" i="4" s="1"/>
  <c r="P320" i="4"/>
  <c r="P331" i="4" s="1"/>
  <c r="P335" i="4" s="1"/>
  <c r="O320" i="4"/>
  <c r="N320" i="4"/>
  <c r="N331" i="4" s="1"/>
  <c r="N335" i="4" s="1"/>
  <c r="C320" i="4"/>
  <c r="P319" i="4"/>
  <c r="O319" i="4"/>
  <c r="N319" i="4"/>
  <c r="M319" i="4"/>
  <c r="P318" i="4"/>
  <c r="O318" i="4"/>
  <c r="N318" i="4"/>
  <c r="X316" i="4"/>
  <c r="W316" i="4"/>
  <c r="Q315" i="4"/>
  <c r="Q313" i="4"/>
  <c r="P311" i="4"/>
  <c r="N306" i="4"/>
  <c r="K306" i="4"/>
  <c r="Q305" i="4"/>
  <c r="O305" i="4"/>
  <c r="N305" i="4"/>
  <c r="M305" i="4"/>
  <c r="L305" i="4"/>
  <c r="L306" i="4" s="1"/>
  <c r="K305" i="4"/>
  <c r="K302" i="4"/>
  <c r="K298" i="4"/>
  <c r="J298" i="4"/>
  <c r="J302" i="4" s="1"/>
  <c r="K297" i="4"/>
  <c r="J297" i="4"/>
  <c r="J301" i="4" s="1"/>
  <c r="L293" i="4"/>
  <c r="T291" i="4"/>
  <c r="S291" i="4"/>
  <c r="C290" i="4"/>
  <c r="M284" i="4"/>
  <c r="C283" i="4"/>
  <c r="I282" i="4"/>
  <c r="H282" i="4"/>
  <c r="Q291" i="4" s="1"/>
  <c r="Q280" i="4"/>
  <c r="M280" i="4"/>
  <c r="C279" i="4"/>
  <c r="R278" i="4"/>
  <c r="R281" i="4" s="1"/>
  <c r="Q278" i="4"/>
  <c r="Q285" i="4" s="1"/>
  <c r="P278" i="4"/>
  <c r="M278" i="4"/>
  <c r="Q277" i="4"/>
  <c r="Q284" i="4" s="1"/>
  <c r="O277" i="4"/>
  <c r="O280" i="4" s="1"/>
  <c r="N277" i="4"/>
  <c r="M277" i="4"/>
  <c r="L277" i="4"/>
  <c r="W276" i="4"/>
  <c r="V276" i="4"/>
  <c r="U276" i="4"/>
  <c r="T276" i="4"/>
  <c r="S276" i="4"/>
  <c r="R276" i="4"/>
  <c r="R275" i="4"/>
  <c r="P275" i="4"/>
  <c r="P305" i="4" s="1"/>
  <c r="P270" i="4"/>
  <c r="P155" i="4" s="1"/>
  <c r="L269" i="4"/>
  <c r="P265" i="4"/>
  <c r="N265" i="4"/>
  <c r="L265" i="4"/>
  <c r="J265" i="4"/>
  <c r="J269" i="4" s="1"/>
  <c r="O260" i="4"/>
  <c r="V258" i="4"/>
  <c r="T258" i="4"/>
  <c r="N258" i="4"/>
  <c r="O258" i="4" s="1"/>
  <c r="D258" i="4"/>
  <c r="Z257" i="4"/>
  <c r="Y257" i="4"/>
  <c r="X257" i="4"/>
  <c r="W257" i="4"/>
  <c r="V257" i="4"/>
  <c r="U257" i="4"/>
  <c r="T257" i="4"/>
  <c r="P257" i="4"/>
  <c r="Q257" i="4" s="1"/>
  <c r="O257" i="4"/>
  <c r="N257" i="4"/>
  <c r="L252" i="4"/>
  <c r="K252" i="4"/>
  <c r="K265" i="4" s="1"/>
  <c r="J252" i="4"/>
  <c r="I252" i="4"/>
  <c r="H252" i="4"/>
  <c r="G252" i="4"/>
  <c r="G250" i="4"/>
  <c r="Q249" i="4"/>
  <c r="O249" i="4"/>
  <c r="K249" i="4"/>
  <c r="S248" i="4"/>
  <c r="R248" i="4"/>
  <c r="P248" i="4"/>
  <c r="M248" i="4"/>
  <c r="L248" i="4"/>
  <c r="K248" i="4"/>
  <c r="K250" i="4" s="1"/>
  <c r="J248" i="4"/>
  <c r="I248" i="4"/>
  <c r="I250" i="4" s="1"/>
  <c r="G248" i="4"/>
  <c r="N246" i="4"/>
  <c r="Q244" i="4"/>
  <c r="P243" i="4"/>
  <c r="P266" i="4" s="1"/>
  <c r="O243" i="4"/>
  <c r="N243" i="4"/>
  <c r="N266" i="4" s="1"/>
  <c r="K243" i="4"/>
  <c r="I243" i="4"/>
  <c r="J249" i="4" s="1"/>
  <c r="H243" i="4"/>
  <c r="I249" i="4" s="1"/>
  <c r="G243" i="4"/>
  <c r="H249" i="4" s="1"/>
  <c r="H250" i="4" s="1"/>
  <c r="P242" i="4"/>
  <c r="O242" i="4"/>
  <c r="N242" i="4"/>
  <c r="N245" i="4" s="1"/>
  <c r="D241" i="4"/>
  <c r="Q240" i="4"/>
  <c r="Q242" i="4" s="1"/>
  <c r="Q260" i="4" s="1"/>
  <c r="L240" i="4"/>
  <c r="L242" i="4" s="1"/>
  <c r="K240" i="4"/>
  <c r="J240" i="4"/>
  <c r="J243" i="4" s="1"/>
  <c r="I240" i="4"/>
  <c r="H240" i="4"/>
  <c r="G240" i="4"/>
  <c r="P238" i="4"/>
  <c r="N238" i="4"/>
  <c r="L238" i="4"/>
  <c r="K238" i="4"/>
  <c r="J238" i="4"/>
  <c r="I238" i="4"/>
  <c r="H238" i="4"/>
  <c r="G238" i="4"/>
  <c r="Q234" i="4"/>
  <c r="P233" i="4"/>
  <c r="P232" i="4"/>
  <c r="N232" i="4"/>
  <c r="AI228" i="4"/>
  <c r="AJ228" i="4" s="1"/>
  <c r="AK228" i="4" s="1"/>
  <c r="AL228" i="4" s="1"/>
  <c r="AM228" i="4" s="1"/>
  <c r="AN228" i="4" s="1"/>
  <c r="AO228" i="4" s="1"/>
  <c r="AP228" i="4" s="1"/>
  <c r="Z228" i="4"/>
  <c r="AA228" i="4" s="1"/>
  <c r="AB228" i="4" s="1"/>
  <c r="AC228" i="4" s="1"/>
  <c r="AD228" i="4" s="1"/>
  <c r="AE228" i="4" s="1"/>
  <c r="AF228" i="4" s="1"/>
  <c r="AG228" i="4" s="1"/>
  <c r="AH228" i="4" s="1"/>
  <c r="W228" i="4"/>
  <c r="X228" i="4" s="1"/>
  <c r="Y228" i="4" s="1"/>
  <c r="S228" i="4"/>
  <c r="T228" i="4" s="1"/>
  <c r="U228" i="4" s="1"/>
  <c r="V228" i="4" s="1"/>
  <c r="O228" i="4"/>
  <c r="P228" i="4" s="1"/>
  <c r="Q228" i="4" s="1"/>
  <c r="R228" i="4" s="1"/>
  <c r="N228" i="4"/>
  <c r="AP227" i="4"/>
  <c r="AL227" i="4"/>
  <c r="AM227" i="4" s="1"/>
  <c r="AN227" i="4" s="1"/>
  <c r="AO227" i="4" s="1"/>
  <c r="AB227" i="4"/>
  <c r="AC227" i="4" s="1"/>
  <c r="AD227" i="4" s="1"/>
  <c r="AE227" i="4" s="1"/>
  <c r="AF227" i="4" s="1"/>
  <c r="AG227" i="4" s="1"/>
  <c r="AH227" i="4" s="1"/>
  <c r="AI227" i="4" s="1"/>
  <c r="AJ227" i="4" s="1"/>
  <c r="AK227" i="4" s="1"/>
  <c r="Z227" i="4"/>
  <c r="AA227" i="4" s="1"/>
  <c r="U227" i="4"/>
  <c r="V227" i="4" s="1"/>
  <c r="W227" i="4" s="1"/>
  <c r="X227" i="4" s="1"/>
  <c r="Y227" i="4" s="1"/>
  <c r="O227" i="4"/>
  <c r="P227" i="4" s="1"/>
  <c r="Q227" i="4" s="1"/>
  <c r="R227" i="4" s="1"/>
  <c r="S227" i="4" s="1"/>
  <c r="T227" i="4" s="1"/>
  <c r="N227" i="4"/>
  <c r="R226" i="4"/>
  <c r="S226" i="4" s="1"/>
  <c r="T226" i="4" s="1"/>
  <c r="U226" i="4" s="1"/>
  <c r="V226" i="4" s="1"/>
  <c r="W226" i="4" s="1"/>
  <c r="X226" i="4" s="1"/>
  <c r="Y226" i="4" s="1"/>
  <c r="Z226" i="4" s="1"/>
  <c r="AA226" i="4" s="1"/>
  <c r="AB226" i="4" s="1"/>
  <c r="AC226" i="4" s="1"/>
  <c r="AD226" i="4" s="1"/>
  <c r="AE226" i="4" s="1"/>
  <c r="AF226" i="4" s="1"/>
  <c r="AG226" i="4" s="1"/>
  <c r="AH226" i="4" s="1"/>
  <c r="AI226" i="4" s="1"/>
  <c r="AJ226" i="4" s="1"/>
  <c r="AK226" i="4" s="1"/>
  <c r="AL226" i="4" s="1"/>
  <c r="AM226" i="4" s="1"/>
  <c r="AN226" i="4" s="1"/>
  <c r="AO226" i="4" s="1"/>
  <c r="AP226" i="4" s="1"/>
  <c r="Q226" i="4"/>
  <c r="O226" i="4"/>
  <c r="P226" i="4" s="1"/>
  <c r="N226" i="4"/>
  <c r="W225" i="4"/>
  <c r="X225" i="4" s="1"/>
  <c r="Y225" i="4" s="1"/>
  <c r="Z225" i="4" s="1"/>
  <c r="AA225" i="4" s="1"/>
  <c r="AB225" i="4" s="1"/>
  <c r="AC225" i="4" s="1"/>
  <c r="AD225" i="4" s="1"/>
  <c r="AE225" i="4" s="1"/>
  <c r="AF225" i="4" s="1"/>
  <c r="AG225" i="4" s="1"/>
  <c r="AH225" i="4" s="1"/>
  <c r="AI225" i="4" s="1"/>
  <c r="AJ225" i="4" s="1"/>
  <c r="AK225" i="4" s="1"/>
  <c r="AL225" i="4" s="1"/>
  <c r="AM225" i="4" s="1"/>
  <c r="AN225" i="4" s="1"/>
  <c r="AO225" i="4" s="1"/>
  <c r="AP225" i="4" s="1"/>
  <c r="P225" i="4"/>
  <c r="Q225" i="4" s="1"/>
  <c r="R225" i="4" s="1"/>
  <c r="S225" i="4" s="1"/>
  <c r="T225" i="4" s="1"/>
  <c r="U225" i="4" s="1"/>
  <c r="V225" i="4" s="1"/>
  <c r="O225" i="4"/>
  <c r="N225" i="4"/>
  <c r="S224" i="4"/>
  <c r="T224" i="4" s="1"/>
  <c r="U224" i="4" s="1"/>
  <c r="V224" i="4" s="1"/>
  <c r="W224" i="4" s="1"/>
  <c r="X224" i="4" s="1"/>
  <c r="Y224" i="4" s="1"/>
  <c r="Z224" i="4" s="1"/>
  <c r="AA224" i="4" s="1"/>
  <c r="AB224" i="4" s="1"/>
  <c r="AC224" i="4" s="1"/>
  <c r="AD224" i="4" s="1"/>
  <c r="AE224" i="4" s="1"/>
  <c r="AF224" i="4" s="1"/>
  <c r="AG224" i="4" s="1"/>
  <c r="AH224" i="4" s="1"/>
  <c r="AI224" i="4" s="1"/>
  <c r="AJ224" i="4" s="1"/>
  <c r="AK224" i="4" s="1"/>
  <c r="AL224" i="4" s="1"/>
  <c r="AM224" i="4" s="1"/>
  <c r="AN224" i="4" s="1"/>
  <c r="AO224" i="4" s="1"/>
  <c r="AP224" i="4" s="1"/>
  <c r="O224" i="4"/>
  <c r="P224" i="4" s="1"/>
  <c r="Q224" i="4" s="1"/>
  <c r="R224" i="4" s="1"/>
  <c r="N224" i="4"/>
  <c r="N221" i="4"/>
  <c r="Q214" i="4"/>
  <c r="Q154" i="4" s="1"/>
  <c r="P210" i="4"/>
  <c r="O210" i="4"/>
  <c r="N209" i="4"/>
  <c r="N213" i="4" s="1"/>
  <c r="M209" i="4"/>
  <c r="M213" i="4" s="1"/>
  <c r="M132" i="4" s="1"/>
  <c r="L209" i="4"/>
  <c r="G206" i="4"/>
  <c r="Q205" i="4"/>
  <c r="P205" i="4"/>
  <c r="Q204" i="4"/>
  <c r="Q206" i="4" s="1"/>
  <c r="O204" i="4"/>
  <c r="K204" i="4"/>
  <c r="I204" i="4"/>
  <c r="Q201" i="4"/>
  <c r="Q202" i="4" s="1"/>
  <c r="M201" i="4"/>
  <c r="M202" i="4" s="1"/>
  <c r="P200" i="4"/>
  <c r="P214" i="4" s="1"/>
  <c r="O200" i="4"/>
  <c r="O214" i="4" s="1"/>
  <c r="N200" i="4"/>
  <c r="N87" i="4" s="1"/>
  <c r="N97" i="4" s="1"/>
  <c r="M200" i="4"/>
  <c r="Q199" i="4"/>
  <c r="P199" i="4"/>
  <c r="O199" i="4"/>
  <c r="O235" i="4" s="1"/>
  <c r="N199" i="4"/>
  <c r="M199" i="4"/>
  <c r="L199" i="4"/>
  <c r="M204" i="4" s="1"/>
  <c r="K199" i="4"/>
  <c r="J199" i="4"/>
  <c r="I199" i="4"/>
  <c r="H199" i="4"/>
  <c r="G199" i="4"/>
  <c r="R198" i="4"/>
  <c r="Q198" i="4"/>
  <c r="Q200" i="4" s="1"/>
  <c r="L198" i="4"/>
  <c r="H198" i="4"/>
  <c r="O196" i="4"/>
  <c r="N196" i="4"/>
  <c r="M196" i="4"/>
  <c r="L196" i="4"/>
  <c r="J196" i="4"/>
  <c r="G196" i="4"/>
  <c r="W188" i="4"/>
  <c r="V188" i="4"/>
  <c r="U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AI186" i="4"/>
  <c r="AH186" i="4"/>
  <c r="AH104" i="4" s="1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R104" i="4" s="1"/>
  <c r="Q186" i="4"/>
  <c r="P186" i="4"/>
  <c r="O186" i="4"/>
  <c r="N186" i="4"/>
  <c r="M186" i="4"/>
  <c r="L186" i="4"/>
  <c r="K186" i="4"/>
  <c r="J186" i="4"/>
  <c r="J104" i="4" s="1"/>
  <c r="I186" i="4"/>
  <c r="H186" i="4"/>
  <c r="G186" i="4"/>
  <c r="AA185" i="4"/>
  <c r="Z185" i="4"/>
  <c r="Y185" i="4"/>
  <c r="X185" i="4"/>
  <c r="W185" i="4"/>
  <c r="V185" i="4"/>
  <c r="V103" i="4" s="1"/>
  <c r="U185" i="4"/>
  <c r="T185" i="4"/>
  <c r="S185" i="4"/>
  <c r="R185" i="4"/>
  <c r="Q185" i="4"/>
  <c r="P185" i="4"/>
  <c r="O185" i="4"/>
  <c r="N185" i="4"/>
  <c r="M185" i="4"/>
  <c r="M103" i="4" s="1"/>
  <c r="L185" i="4"/>
  <c r="K185" i="4"/>
  <c r="J185" i="4"/>
  <c r="I185" i="4"/>
  <c r="H185" i="4"/>
  <c r="G185" i="4"/>
  <c r="V184" i="4"/>
  <c r="AF18" i="14" s="1"/>
  <c r="U184" i="4"/>
  <c r="AE18" i="14" s="1"/>
  <c r="T184" i="4"/>
  <c r="AD18" i="14" s="1"/>
  <c r="S184" i="4"/>
  <c r="AC18" i="14" s="1"/>
  <c r="R184" i="4"/>
  <c r="AB18" i="14" s="1"/>
  <c r="Q184" i="4"/>
  <c r="AA18" i="14" s="1"/>
  <c r="P184" i="4"/>
  <c r="Z18" i="14" s="1"/>
  <c r="O184" i="4"/>
  <c r="N184" i="4"/>
  <c r="X18" i="14" s="1"/>
  <c r="M184" i="4"/>
  <c r="M102" i="4" s="1"/>
  <c r="L184" i="4"/>
  <c r="K184" i="4"/>
  <c r="J184" i="4"/>
  <c r="I184" i="4"/>
  <c r="H184" i="4"/>
  <c r="G184" i="4"/>
  <c r="B184" i="4"/>
  <c r="B92" i="4" s="1"/>
  <c r="W183" i="4"/>
  <c r="AG17" i="14" s="1"/>
  <c r="V183" i="4"/>
  <c r="AF17" i="14" s="1"/>
  <c r="U183" i="4"/>
  <c r="AE17" i="14" s="1"/>
  <c r="T183" i="4"/>
  <c r="S183" i="4"/>
  <c r="R183" i="4"/>
  <c r="AB17" i="14" s="1"/>
  <c r="Q183" i="4"/>
  <c r="AA17" i="14" s="1"/>
  <c r="P183" i="4"/>
  <c r="Z17" i="14" s="1"/>
  <c r="O183" i="4"/>
  <c r="Y17" i="14" s="1"/>
  <c r="N183" i="4"/>
  <c r="M183" i="4"/>
  <c r="L183" i="4"/>
  <c r="K183" i="4"/>
  <c r="K101" i="4" s="1"/>
  <c r="J183" i="4"/>
  <c r="I183" i="4"/>
  <c r="H183" i="4"/>
  <c r="G183" i="4"/>
  <c r="P182" i="4"/>
  <c r="Z16" i="14" s="1"/>
  <c r="O182" i="4"/>
  <c r="Y16" i="14" s="1"/>
  <c r="N182" i="4"/>
  <c r="X16" i="14" s="1"/>
  <c r="B182" i="4"/>
  <c r="K181" i="4"/>
  <c r="J181" i="4"/>
  <c r="H181" i="4"/>
  <c r="G181" i="4"/>
  <c r="B181" i="4"/>
  <c r="N180" i="4"/>
  <c r="L180" i="4"/>
  <c r="K180" i="4"/>
  <c r="J180" i="4"/>
  <c r="I180" i="4"/>
  <c r="H180" i="4"/>
  <c r="G180" i="4"/>
  <c r="P179" i="4"/>
  <c r="O179" i="4"/>
  <c r="N179" i="4"/>
  <c r="B179" i="4"/>
  <c r="P178" i="4"/>
  <c r="P180" i="4" s="1"/>
  <c r="O178" i="4"/>
  <c r="N178" i="4"/>
  <c r="B178" i="4"/>
  <c r="BD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A172" i="4"/>
  <c r="Z172" i="4"/>
  <c r="AJ171" i="4"/>
  <c r="AH171" i="4"/>
  <c r="AF171" i="4"/>
  <c r="AD171" i="4"/>
  <c r="AC171" i="4"/>
  <c r="AB171" i="4"/>
  <c r="Z171" i="4"/>
  <c r="X171" i="4"/>
  <c r="V171" i="4"/>
  <c r="U171" i="4"/>
  <c r="T171" i="4"/>
  <c r="R171" i="4"/>
  <c r="P171" i="4"/>
  <c r="N171" i="4"/>
  <c r="M171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W169" i="4"/>
  <c r="V169" i="4"/>
  <c r="U169" i="4"/>
  <c r="T169" i="4"/>
  <c r="S169" i="4"/>
  <c r="R169" i="4"/>
  <c r="Q169" i="4"/>
  <c r="P169" i="4"/>
  <c r="O169" i="4"/>
  <c r="N169" i="4"/>
  <c r="M169" i="4"/>
  <c r="M168" i="4"/>
  <c r="Q165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AI159" i="4"/>
  <c r="AH159" i="4"/>
  <c r="AE159" i="4"/>
  <c r="AD159" i="4"/>
  <c r="AB159" i="4"/>
  <c r="AA159" i="4"/>
  <c r="Z159" i="4"/>
  <c r="X159" i="4"/>
  <c r="W159" i="4"/>
  <c r="V159" i="4"/>
  <c r="T159" i="4"/>
  <c r="S159" i="4"/>
  <c r="R159" i="4"/>
  <c r="Q159" i="4"/>
  <c r="P159" i="4"/>
  <c r="O159" i="4"/>
  <c r="N159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P157" i="4"/>
  <c r="N157" i="4"/>
  <c r="M157" i="4"/>
  <c r="P154" i="4"/>
  <c r="O154" i="4"/>
  <c r="AA150" i="4"/>
  <c r="Z150" i="4"/>
  <c r="Y150" i="4"/>
  <c r="X150" i="4"/>
  <c r="W150" i="4"/>
  <c r="V150" i="4"/>
  <c r="U150" i="4"/>
  <c r="T150" i="4"/>
  <c r="S150" i="4"/>
  <c r="AI149" i="4"/>
  <c r="AH149" i="4"/>
  <c r="AF149" i="4"/>
  <c r="AE149" i="4"/>
  <c r="AD149" i="4"/>
  <c r="AC149" i="4"/>
  <c r="AB149" i="4"/>
  <c r="AA149" i="4"/>
  <c r="Z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N147" i="4"/>
  <c r="M147" i="4"/>
  <c r="P145" i="4"/>
  <c r="Q144" i="4"/>
  <c r="P144" i="4"/>
  <c r="O144" i="4"/>
  <c r="M144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AI137" i="4"/>
  <c r="AG137" i="4"/>
  <c r="AF137" i="4"/>
  <c r="AE137" i="4"/>
  <c r="AD137" i="4"/>
  <c r="AC137" i="4"/>
  <c r="AB137" i="4"/>
  <c r="AA137" i="4"/>
  <c r="Y137" i="4"/>
  <c r="X137" i="4"/>
  <c r="W137" i="4"/>
  <c r="V137" i="4"/>
  <c r="U137" i="4"/>
  <c r="T137" i="4"/>
  <c r="S137" i="4"/>
  <c r="Q137" i="4"/>
  <c r="P137" i="4"/>
  <c r="O137" i="4"/>
  <c r="N137" i="4"/>
  <c r="M137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M135" i="4"/>
  <c r="N132" i="4"/>
  <c r="AA128" i="4"/>
  <c r="Z128" i="4"/>
  <c r="Y128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P125" i="4"/>
  <c r="N125" i="4"/>
  <c r="P123" i="4"/>
  <c r="N122" i="4"/>
  <c r="M122" i="4"/>
  <c r="L117" i="4"/>
  <c r="K117" i="4"/>
  <c r="J117" i="4"/>
  <c r="I117" i="4"/>
  <c r="H117" i="4"/>
  <c r="G117" i="4"/>
  <c r="B112" i="4"/>
  <c r="B109" i="4"/>
  <c r="H108" i="4"/>
  <c r="B107" i="4"/>
  <c r="AF104" i="4"/>
  <c r="AC104" i="4"/>
  <c r="W104" i="4"/>
  <c r="U104" i="4"/>
  <c r="T104" i="4"/>
  <c r="P104" i="4"/>
  <c r="M104" i="4"/>
  <c r="L104" i="4"/>
  <c r="H104" i="4"/>
  <c r="AA103" i="4"/>
  <c r="X103" i="4"/>
  <c r="U103" i="4"/>
  <c r="T103" i="4"/>
  <c r="P103" i="4"/>
  <c r="O103" i="4"/>
  <c r="N103" i="4"/>
  <c r="L103" i="4"/>
  <c r="H103" i="4"/>
  <c r="B103" i="4"/>
  <c r="V102" i="4"/>
  <c r="U102" i="4"/>
  <c r="T102" i="4"/>
  <c r="S102" i="4"/>
  <c r="N102" i="4"/>
  <c r="L102" i="4"/>
  <c r="K102" i="4"/>
  <c r="B102" i="4"/>
  <c r="U101" i="4"/>
  <c r="S101" i="4"/>
  <c r="O101" i="4"/>
  <c r="M101" i="4"/>
  <c r="L101" i="4"/>
  <c r="H101" i="4"/>
  <c r="L100" i="4"/>
  <c r="H100" i="4"/>
  <c r="G100" i="4"/>
  <c r="G99" i="4"/>
  <c r="B99" i="4"/>
  <c r="K98" i="4"/>
  <c r="K108" i="4" s="1"/>
  <c r="J98" i="4"/>
  <c r="J97" i="4"/>
  <c r="G97" i="4"/>
  <c r="BD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I94" i="4"/>
  <c r="AI104" i="4" s="1"/>
  <c r="AH94" i="4"/>
  <c r="AG94" i="4"/>
  <c r="AF94" i="4"/>
  <c r="AE94" i="4"/>
  <c r="AE104" i="4" s="1"/>
  <c r="AD94" i="4"/>
  <c r="AD104" i="4" s="1"/>
  <c r="AC94" i="4"/>
  <c r="AB94" i="4"/>
  <c r="AB104" i="4" s="1"/>
  <c r="AA94" i="4"/>
  <c r="AA104" i="4" s="1"/>
  <c r="Z94" i="4"/>
  <c r="Y94" i="4"/>
  <c r="X94" i="4"/>
  <c r="X104" i="4" s="1"/>
  <c r="W94" i="4"/>
  <c r="V94" i="4"/>
  <c r="V104" i="4" s="1"/>
  <c r="U94" i="4"/>
  <c r="T94" i="4"/>
  <c r="S94" i="4"/>
  <c r="S104" i="4" s="1"/>
  <c r="R94" i="4"/>
  <c r="Q94" i="4"/>
  <c r="P94" i="4"/>
  <c r="O94" i="4"/>
  <c r="O104" i="4" s="1"/>
  <c r="N94" i="4"/>
  <c r="N104" i="4" s="1"/>
  <c r="M94" i="4"/>
  <c r="L94" i="4"/>
  <c r="K94" i="4"/>
  <c r="K104" i="4" s="1"/>
  <c r="J94" i="4"/>
  <c r="I94" i="4"/>
  <c r="H94" i="4"/>
  <c r="BE94" i="4" s="1"/>
  <c r="G94" i="4"/>
  <c r="G104" i="4" s="1"/>
  <c r="B94" i="4"/>
  <c r="AA93" i="4"/>
  <c r="Z93" i="4"/>
  <c r="Z103" i="4" s="1"/>
  <c r="Y93" i="4"/>
  <c r="Y103" i="4" s="1"/>
  <c r="X93" i="4"/>
  <c r="W93" i="4"/>
  <c r="W103" i="4" s="1"/>
  <c r="V93" i="4"/>
  <c r="U93" i="4"/>
  <c r="T93" i="4"/>
  <c r="S93" i="4"/>
  <c r="S103" i="4" s="1"/>
  <c r="R93" i="4"/>
  <c r="R103" i="4" s="1"/>
  <c r="Q93" i="4"/>
  <c r="Q103" i="4" s="1"/>
  <c r="P93" i="4"/>
  <c r="O93" i="4"/>
  <c r="N93" i="4"/>
  <c r="M93" i="4"/>
  <c r="L93" i="4"/>
  <c r="K93" i="4"/>
  <c r="K103" i="4" s="1"/>
  <c r="J93" i="4"/>
  <c r="J103" i="4" s="1"/>
  <c r="I93" i="4"/>
  <c r="I103" i="4" s="1"/>
  <c r="H93" i="4"/>
  <c r="G93" i="4"/>
  <c r="B93" i="4"/>
  <c r="B113" i="4" s="1"/>
  <c r="X92" i="4"/>
  <c r="W92" i="4"/>
  <c r="V92" i="4"/>
  <c r="U92" i="4"/>
  <c r="T92" i="4"/>
  <c r="S92" i="4"/>
  <c r="R92" i="4"/>
  <c r="R102" i="4" s="1"/>
  <c r="Q92" i="4"/>
  <c r="Q102" i="4" s="1"/>
  <c r="P92" i="4"/>
  <c r="P102" i="4" s="1"/>
  <c r="O92" i="4"/>
  <c r="N92" i="4"/>
  <c r="M92" i="4"/>
  <c r="L92" i="4"/>
  <c r="K92" i="4"/>
  <c r="J92" i="4"/>
  <c r="I92" i="4"/>
  <c r="I102" i="4" s="1"/>
  <c r="H92" i="4"/>
  <c r="H102" i="4" s="1"/>
  <c r="G92" i="4"/>
  <c r="W91" i="4"/>
  <c r="W101" i="4" s="1"/>
  <c r="U91" i="4"/>
  <c r="T91" i="4"/>
  <c r="S91" i="4"/>
  <c r="R91" i="4"/>
  <c r="R101" i="4" s="1"/>
  <c r="Q91" i="4"/>
  <c r="Q101" i="4" s="1"/>
  <c r="P91" i="4"/>
  <c r="P101" i="4" s="1"/>
  <c r="O91" i="4"/>
  <c r="N91" i="4"/>
  <c r="M91" i="4"/>
  <c r="L91" i="4"/>
  <c r="K91" i="4"/>
  <c r="J91" i="4"/>
  <c r="J101" i="4" s="1"/>
  <c r="I91" i="4"/>
  <c r="I101" i="4" s="1"/>
  <c r="H91" i="4"/>
  <c r="G91" i="4"/>
  <c r="G101" i="4" s="1"/>
  <c r="B91" i="4"/>
  <c r="P90" i="4"/>
  <c r="P100" i="4" s="1"/>
  <c r="P110" i="4" s="1"/>
  <c r="N90" i="4"/>
  <c r="M90" i="4"/>
  <c r="L90" i="4"/>
  <c r="K90" i="4"/>
  <c r="K100" i="4" s="1"/>
  <c r="J90" i="4"/>
  <c r="J100" i="4" s="1"/>
  <c r="I90" i="4"/>
  <c r="I100" i="4" s="1"/>
  <c r="H90" i="4"/>
  <c r="G90" i="4"/>
  <c r="B90" i="4"/>
  <c r="J89" i="4"/>
  <c r="J99" i="4" s="1"/>
  <c r="J109" i="4" s="1"/>
  <c r="I89" i="4"/>
  <c r="H89" i="4"/>
  <c r="G89" i="4"/>
  <c r="B89" i="4"/>
  <c r="P88" i="4"/>
  <c r="P98" i="4" s="1"/>
  <c r="P108" i="4" s="1"/>
  <c r="N88" i="4"/>
  <c r="N98" i="4" s="1"/>
  <c r="N108" i="4" s="1"/>
  <c r="K88" i="4"/>
  <c r="J88" i="4"/>
  <c r="I88" i="4"/>
  <c r="I98" i="4" s="1"/>
  <c r="I108" i="4" s="1"/>
  <c r="H88" i="4"/>
  <c r="H98" i="4" s="1"/>
  <c r="B88" i="4"/>
  <c r="Q87" i="4"/>
  <c r="P87" i="4"/>
  <c r="O87" i="4"/>
  <c r="M87" i="4"/>
  <c r="K87" i="4"/>
  <c r="J87" i="4"/>
  <c r="I87" i="4"/>
  <c r="H87" i="4"/>
  <c r="H97" i="4" s="1"/>
  <c r="G87" i="4"/>
  <c r="B87" i="4"/>
  <c r="B97" i="4" s="1"/>
  <c r="BD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H85" i="4"/>
  <c r="H24" i="4" s="1"/>
  <c r="L82" i="4"/>
  <c r="K82" i="4"/>
  <c r="J82" i="4"/>
  <c r="I82" i="4"/>
  <c r="H82" i="4"/>
  <c r="G82" i="4"/>
  <c r="L81" i="4"/>
  <c r="K81" i="4"/>
  <c r="J81" i="4"/>
  <c r="I81" i="4"/>
  <c r="H81" i="4"/>
  <c r="G81" i="4"/>
  <c r="L80" i="4"/>
  <c r="L286" i="4" s="1"/>
  <c r="L292" i="4" s="1"/>
  <c r="K80" i="4"/>
  <c r="K286" i="4" s="1"/>
  <c r="J80" i="4"/>
  <c r="J286" i="4" s="1"/>
  <c r="J287" i="4" s="1"/>
  <c r="J288" i="4" s="1"/>
  <c r="J289" i="4" s="1"/>
  <c r="I80" i="4"/>
  <c r="H80" i="4"/>
  <c r="G80" i="4"/>
  <c r="S79" i="4"/>
  <c r="S30" i="4" s="1"/>
  <c r="M79" i="4"/>
  <c r="L79" i="4"/>
  <c r="K79" i="4"/>
  <c r="J79" i="4"/>
  <c r="J30" i="4" s="1"/>
  <c r="J26" i="4" s="1"/>
  <c r="I79" i="4"/>
  <c r="H79" i="4"/>
  <c r="G79" i="4"/>
  <c r="G30" i="4" s="1"/>
  <c r="G26" i="4" s="1"/>
  <c r="R78" i="4"/>
  <c r="Q78" i="4"/>
  <c r="P78" i="4"/>
  <c r="O78" i="4"/>
  <c r="N78" i="4"/>
  <c r="M78" i="4"/>
  <c r="L78" i="4"/>
  <c r="K78" i="4"/>
  <c r="J78" i="4"/>
  <c r="I78" i="4"/>
  <c r="H78" i="4"/>
  <c r="G78" i="4"/>
  <c r="R77" i="4"/>
  <c r="L77" i="4"/>
  <c r="K77" i="4"/>
  <c r="J77" i="4"/>
  <c r="I77" i="4"/>
  <c r="H77" i="4"/>
  <c r="G77" i="4"/>
  <c r="M76" i="4"/>
  <c r="K76" i="4"/>
  <c r="K46" i="4" s="1"/>
  <c r="K32" i="4" s="1"/>
  <c r="J76" i="4"/>
  <c r="J54" i="4" s="1"/>
  <c r="I76" i="4"/>
  <c r="H76" i="4"/>
  <c r="G76" i="4"/>
  <c r="L75" i="4"/>
  <c r="L70" i="4" s="1"/>
  <c r="L56" i="4" s="1"/>
  <c r="K75" i="4"/>
  <c r="K70" i="4" s="1"/>
  <c r="K56" i="4" s="1"/>
  <c r="I75" i="4"/>
  <c r="G75" i="4"/>
  <c r="E74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I70" i="4"/>
  <c r="I56" i="4" s="1"/>
  <c r="G70" i="4"/>
  <c r="M69" i="4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AN69" i="4" s="1"/>
  <c r="AO69" i="4" s="1"/>
  <c r="AP69" i="4" s="1"/>
  <c r="V68" i="4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AP68" i="4" s="1"/>
  <c r="N68" i="4"/>
  <c r="O68" i="4" s="1"/>
  <c r="P68" i="4" s="1"/>
  <c r="Q68" i="4" s="1"/>
  <c r="R68" i="4" s="1"/>
  <c r="S68" i="4" s="1"/>
  <c r="T68" i="4" s="1"/>
  <c r="U68" i="4" s="1"/>
  <c r="M68" i="4"/>
  <c r="O67" i="4"/>
  <c r="P67" i="4" s="1"/>
  <c r="Q67" i="4" s="1"/>
  <c r="R67" i="4" s="1"/>
  <c r="S67" i="4" s="1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AP67" i="4" s="1"/>
  <c r="N67" i="4"/>
  <c r="M67" i="4"/>
  <c r="N66" i="4"/>
  <c r="O66" i="4" s="1"/>
  <c r="P66" i="4" s="1"/>
  <c r="Q66" i="4" s="1"/>
  <c r="R66" i="4" s="1"/>
  <c r="S66" i="4" s="1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AK66" i="4" s="1"/>
  <c r="AL66" i="4" s="1"/>
  <c r="AM66" i="4" s="1"/>
  <c r="AN66" i="4" s="1"/>
  <c r="AO66" i="4" s="1"/>
  <c r="AP66" i="4" s="1"/>
  <c r="M66" i="4"/>
  <c r="R65" i="4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AK65" i="4" s="1"/>
  <c r="AL65" i="4" s="1"/>
  <c r="AM65" i="4" s="1"/>
  <c r="AN65" i="4" s="1"/>
  <c r="AO65" i="4" s="1"/>
  <c r="AP65" i="4" s="1"/>
  <c r="M65" i="4"/>
  <c r="N65" i="4" s="1"/>
  <c r="O65" i="4" s="1"/>
  <c r="P65" i="4" s="1"/>
  <c r="Q65" i="4" s="1"/>
  <c r="M64" i="4"/>
  <c r="N64" i="4" s="1"/>
  <c r="O64" i="4" s="1"/>
  <c r="P64" i="4" s="1"/>
  <c r="Q64" i="4" s="1"/>
  <c r="R64" i="4" s="1"/>
  <c r="S64" i="4" s="1"/>
  <c r="T64" i="4" s="1"/>
  <c r="U64" i="4" s="1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AK64" i="4" s="1"/>
  <c r="AL64" i="4" s="1"/>
  <c r="AM64" i="4" s="1"/>
  <c r="AN64" i="4" s="1"/>
  <c r="AO64" i="4" s="1"/>
  <c r="AP64" i="4" s="1"/>
  <c r="C64" i="4"/>
  <c r="M63" i="4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AH63" i="4" s="1"/>
  <c r="AI63" i="4" s="1"/>
  <c r="AJ63" i="4" s="1"/>
  <c r="AK63" i="4" s="1"/>
  <c r="AL63" i="4" s="1"/>
  <c r="AM63" i="4" s="1"/>
  <c r="AN63" i="4" s="1"/>
  <c r="AO63" i="4" s="1"/>
  <c r="AP63" i="4" s="1"/>
  <c r="N62" i="4"/>
  <c r="O62" i="4" s="1"/>
  <c r="P62" i="4" s="1"/>
  <c r="Q62" i="4" s="1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AI62" i="4" s="1"/>
  <c r="AJ62" i="4" s="1"/>
  <c r="AK62" i="4" s="1"/>
  <c r="AL62" i="4" s="1"/>
  <c r="AM62" i="4" s="1"/>
  <c r="AN62" i="4" s="1"/>
  <c r="AO62" i="4" s="1"/>
  <c r="AP62" i="4" s="1"/>
  <c r="M62" i="4"/>
  <c r="V61" i="4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N61" i="4"/>
  <c r="O61" i="4" s="1"/>
  <c r="P61" i="4" s="1"/>
  <c r="Q61" i="4" s="1"/>
  <c r="R61" i="4" s="1"/>
  <c r="S61" i="4" s="1"/>
  <c r="T61" i="4" s="1"/>
  <c r="U61" i="4" s="1"/>
  <c r="M61" i="4"/>
  <c r="C61" i="4"/>
  <c r="N60" i="4"/>
  <c r="O60" i="4" s="1"/>
  <c r="P60" i="4" s="1"/>
  <c r="Q60" i="4" s="1"/>
  <c r="R60" i="4" s="1"/>
  <c r="S60" i="4" s="1"/>
  <c r="T60" i="4" s="1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AK60" i="4" s="1"/>
  <c r="AL60" i="4" s="1"/>
  <c r="AM60" i="4" s="1"/>
  <c r="AN60" i="4" s="1"/>
  <c r="AO60" i="4" s="1"/>
  <c r="AP60" i="4" s="1"/>
  <c r="M60" i="4"/>
  <c r="X59" i="4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AK59" i="4" s="1"/>
  <c r="AL59" i="4" s="1"/>
  <c r="AM59" i="4" s="1"/>
  <c r="AN59" i="4" s="1"/>
  <c r="AO59" i="4" s="1"/>
  <c r="AP59" i="4" s="1"/>
  <c r="S59" i="4"/>
  <c r="T59" i="4" s="1"/>
  <c r="U59" i="4" s="1"/>
  <c r="V59" i="4" s="1"/>
  <c r="W59" i="4" s="1"/>
  <c r="R59" i="4"/>
  <c r="Q59" i="4"/>
  <c r="P59" i="4"/>
  <c r="O59" i="4"/>
  <c r="N59" i="4"/>
  <c r="M59" i="4"/>
  <c r="N58" i="4"/>
  <c r="O58" i="4" s="1"/>
  <c r="P58" i="4" s="1"/>
  <c r="Q58" i="4" s="1"/>
  <c r="R58" i="4" s="1"/>
  <c r="S58" i="4" s="1"/>
  <c r="T58" i="4" s="1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AK58" i="4" s="1"/>
  <c r="AL58" i="4" s="1"/>
  <c r="AM58" i="4" s="1"/>
  <c r="AN58" i="4" s="1"/>
  <c r="AO58" i="4" s="1"/>
  <c r="AP58" i="4" s="1"/>
  <c r="M58" i="4"/>
  <c r="M57" i="4"/>
  <c r="H56" i="4"/>
  <c r="G56" i="4"/>
  <c r="C56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M54" i="4"/>
  <c r="I54" i="4"/>
  <c r="H54" i="4"/>
  <c r="H48" i="4" s="1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AP52" i="4"/>
  <c r="AM52" i="4"/>
  <c r="AJ52" i="4"/>
  <c r="AG52" i="4"/>
  <c r="AD52" i="4"/>
  <c r="AA52" i="4"/>
  <c r="X52" i="4"/>
  <c r="U52" i="4"/>
  <c r="AP51" i="4"/>
  <c r="AO51" i="4"/>
  <c r="AN51" i="4"/>
  <c r="AK51" i="4"/>
  <c r="AI51" i="4"/>
  <c r="AH51" i="4"/>
  <c r="AG51" i="4"/>
  <c r="AF51" i="4"/>
  <c r="AE51" i="4"/>
  <c r="AB51" i="4"/>
  <c r="Z51" i="4"/>
  <c r="Y51" i="4"/>
  <c r="X51" i="4"/>
  <c r="W51" i="4"/>
  <c r="U51" i="4"/>
  <c r="S51" i="4"/>
  <c r="D51" i="4"/>
  <c r="AM51" i="4" s="1"/>
  <c r="AA50" i="4"/>
  <c r="Y50" i="4"/>
  <c r="W50" i="4"/>
  <c r="U50" i="4"/>
  <c r="T50" i="4"/>
  <c r="AB49" i="4"/>
  <c r="AA49" i="4"/>
  <c r="Z49" i="4"/>
  <c r="Y49" i="4"/>
  <c r="X49" i="4"/>
  <c r="W49" i="4"/>
  <c r="V49" i="4"/>
  <c r="U49" i="4"/>
  <c r="T49" i="4"/>
  <c r="S49" i="4"/>
  <c r="M48" i="4"/>
  <c r="W23" i="2" s="1"/>
  <c r="J48" i="4"/>
  <c r="I48" i="4"/>
  <c r="C48" i="4"/>
  <c r="BB46" i="4"/>
  <c r="BB32" i="4" s="1"/>
  <c r="BA46" i="4"/>
  <c r="AZ46" i="4"/>
  <c r="AZ32" i="4" s="1"/>
  <c r="AY46" i="4"/>
  <c r="AX46" i="4"/>
  <c r="AX32" i="4" s="1"/>
  <c r="AW46" i="4"/>
  <c r="AV46" i="4"/>
  <c r="AV32" i="4" s="1"/>
  <c r="AU46" i="4"/>
  <c r="AT46" i="4"/>
  <c r="AT32" i="4" s="1"/>
  <c r="AS46" i="4"/>
  <c r="AR46" i="4"/>
  <c r="AR32" i="4" s="1"/>
  <c r="AQ46" i="4"/>
  <c r="AQ32" i="4" s="1"/>
  <c r="J46" i="4"/>
  <c r="I46" i="4"/>
  <c r="H46" i="4"/>
  <c r="H32" i="4" s="1"/>
  <c r="AM45" i="4"/>
  <c r="AH45" i="4"/>
  <c r="AD45" i="4"/>
  <c r="Y45" i="4"/>
  <c r="U45" i="4"/>
  <c r="D45" i="4"/>
  <c r="AJ45" i="4" s="1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AH43" i="4"/>
  <c r="V43" i="4"/>
  <c r="D43" i="4"/>
  <c r="AN42" i="4"/>
  <c r="AJ42" i="4"/>
  <c r="AF42" i="4"/>
  <c r="AB42" i="4"/>
  <c r="Z42" i="4"/>
  <c r="X42" i="4"/>
  <c r="V42" i="4"/>
  <c r="T42" i="4"/>
  <c r="D42" i="4"/>
  <c r="AH42" i="4" s="1"/>
  <c r="D41" i="4"/>
  <c r="D40" i="4"/>
  <c r="Y40" i="4" s="1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AP35" i="4"/>
  <c r="AM35" i="4"/>
  <c r="AJ35" i="4"/>
  <c r="AG35" i="4"/>
  <c r="AD35" i="4"/>
  <c r="AA35" i="4"/>
  <c r="X35" i="4"/>
  <c r="U35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BA32" i="4"/>
  <c r="AY32" i="4"/>
  <c r="AW32" i="4"/>
  <c r="AU32" i="4"/>
  <c r="AS32" i="4"/>
  <c r="J32" i="4"/>
  <c r="I32" i="4"/>
  <c r="C32" i="4"/>
  <c r="BB30" i="4"/>
  <c r="BA30" i="4"/>
  <c r="BA26" i="4" s="1"/>
  <c r="AZ30" i="4"/>
  <c r="AY30" i="4"/>
  <c r="AY26" i="4" s="1"/>
  <c r="AX30" i="4"/>
  <c r="AW30" i="4"/>
  <c r="AV30" i="4"/>
  <c r="AU30" i="4"/>
  <c r="AT30" i="4"/>
  <c r="AT26" i="4" s="1"/>
  <c r="AS30" i="4"/>
  <c r="AR30" i="4"/>
  <c r="AR26" i="4" s="1"/>
  <c r="AQ30" i="4"/>
  <c r="AQ26" i="4" s="1"/>
  <c r="M30" i="4"/>
  <c r="L30" i="4"/>
  <c r="K30" i="4"/>
  <c r="K26" i="4" s="1"/>
  <c r="I30" i="4"/>
  <c r="I26" i="4" s="1"/>
  <c r="H30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BB26" i="4"/>
  <c r="AZ26" i="4"/>
  <c r="AX26" i="4"/>
  <c r="AW26" i="4"/>
  <c r="AV26" i="4"/>
  <c r="AU26" i="4"/>
  <c r="AS26" i="4"/>
  <c r="M26" i="4"/>
  <c r="L26" i="4"/>
  <c r="H26" i="4"/>
  <c r="C26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P17" i="4"/>
  <c r="O17" i="4"/>
  <c r="N17" i="4"/>
  <c r="M17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F15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P13" i="4"/>
  <c r="O13" i="4"/>
  <c r="N13" i="4"/>
  <c r="M13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2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F14" i="4" s="1"/>
  <c r="X4" i="4"/>
  <c r="F13" i="4" s="1"/>
  <c r="W4" i="4"/>
  <c r="V4" i="4"/>
  <c r="U4" i="4"/>
  <c r="T4" i="4"/>
  <c r="S4" i="4"/>
  <c r="R4" i="4"/>
  <c r="Q4" i="4"/>
  <c r="P4" i="4"/>
  <c r="O4" i="4"/>
  <c r="N4" i="4"/>
  <c r="M4" i="4"/>
  <c r="L4" i="4"/>
  <c r="V82" i="2"/>
  <c r="BB80" i="2"/>
  <c r="C83" i="7" s="1"/>
  <c r="W80" i="2"/>
  <c r="BB79" i="2"/>
  <c r="C82" i="7" s="1"/>
  <c r="Z79" i="2"/>
  <c r="X79" i="2"/>
  <c r="BE78" i="2"/>
  <c r="F81" i="7" s="1"/>
  <c r="BD78" i="2"/>
  <c r="E81" i="7" s="1"/>
  <c r="BC78" i="2"/>
  <c r="D81" i="7" s="1"/>
  <c r="BE76" i="2"/>
  <c r="F79" i="7" s="1"/>
  <c r="BD76" i="2"/>
  <c r="E79" i="7" s="1"/>
  <c r="BC76" i="2"/>
  <c r="D79" i="7" s="1"/>
  <c r="V75" i="2"/>
  <c r="U75" i="2"/>
  <c r="T75" i="2"/>
  <c r="BB74" i="2"/>
  <c r="U73" i="2"/>
  <c r="T73" i="2"/>
  <c r="V12" i="7" s="1"/>
  <c r="W72" i="2"/>
  <c r="T71" i="2"/>
  <c r="T70" i="2" s="1"/>
  <c r="S71" i="2"/>
  <c r="R71" i="2"/>
  <c r="Q71" i="2"/>
  <c r="S70" i="2"/>
  <c r="R70" i="2"/>
  <c r="Q70" i="2"/>
  <c r="BE69" i="2"/>
  <c r="F72" i="7" s="1"/>
  <c r="BD69" i="2"/>
  <c r="E72" i="7" s="1"/>
  <c r="BC69" i="2"/>
  <c r="D72" i="7" s="1"/>
  <c r="V68" i="2"/>
  <c r="T68" i="2"/>
  <c r="R68" i="2"/>
  <c r="BB67" i="2"/>
  <c r="BE56" i="2"/>
  <c r="F59" i="7" s="1"/>
  <c r="BD56" i="2"/>
  <c r="E59" i="7" s="1"/>
  <c r="BC56" i="2"/>
  <c r="D59" i="7" s="1"/>
  <c r="BE55" i="2"/>
  <c r="F58" i="7" s="1"/>
  <c r="BD55" i="2"/>
  <c r="E58" i="7" s="1"/>
  <c r="BC55" i="2"/>
  <c r="D58" i="7" s="1"/>
  <c r="AZ54" i="2"/>
  <c r="AY54" i="2"/>
  <c r="AX54" i="2"/>
  <c r="AW54" i="2"/>
  <c r="AV54" i="2"/>
  <c r="AU54" i="2"/>
  <c r="AT54" i="2"/>
  <c r="BE54" i="2" s="1"/>
  <c r="F57" i="7" s="1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BD54" i="2" s="1"/>
  <c r="E57" i="7" s="1"/>
  <c r="AD54" i="2"/>
  <c r="AC54" i="2"/>
  <c r="AB54" i="2"/>
  <c r="AA54" i="2"/>
  <c r="Z54" i="2"/>
  <c r="Y54" i="2"/>
  <c r="BC54" i="2" s="1"/>
  <c r="D57" i="7" s="1"/>
  <c r="T54" i="2"/>
  <c r="BE53" i="2"/>
  <c r="F56" i="7" s="1"/>
  <c r="BD53" i="2"/>
  <c r="E56" i="7" s="1"/>
  <c r="V53" i="2"/>
  <c r="U53" i="2"/>
  <c r="T53" i="2"/>
  <c r="S53" i="2"/>
  <c r="R53" i="2"/>
  <c r="Q53" i="2"/>
  <c r="BB52" i="2"/>
  <c r="C55" i="7" s="1"/>
  <c r="U52" i="2"/>
  <c r="T52" i="2"/>
  <c r="Q52" i="2"/>
  <c r="BB51" i="2"/>
  <c r="C54" i="7" s="1"/>
  <c r="X51" i="2"/>
  <c r="X68" i="2" s="1"/>
  <c r="W51" i="2"/>
  <c r="W68" i="2" s="1"/>
  <c r="V51" i="2"/>
  <c r="U51" i="2"/>
  <c r="U68" i="2" s="1"/>
  <c r="T51" i="2"/>
  <c r="S51" i="2"/>
  <c r="S68" i="2" s="1"/>
  <c r="R51" i="2"/>
  <c r="Q51" i="2"/>
  <c r="X50" i="2"/>
  <c r="W50" i="2"/>
  <c r="V50" i="2"/>
  <c r="U50" i="2"/>
  <c r="T50" i="2"/>
  <c r="S50" i="2"/>
  <c r="R50" i="2"/>
  <c r="Q50" i="2"/>
  <c r="BC49" i="2"/>
  <c r="D52" i="7" s="1"/>
  <c r="Q47" i="2"/>
  <c r="V44" i="2"/>
  <c r="U44" i="2"/>
  <c r="T44" i="2"/>
  <c r="X32" i="2"/>
  <c r="X52" i="2" s="1"/>
  <c r="W32" i="2"/>
  <c r="W52" i="2" s="1"/>
  <c r="V32" i="2"/>
  <c r="V52" i="2" s="1"/>
  <c r="U32" i="2"/>
  <c r="T32" i="2"/>
  <c r="S32" i="2"/>
  <c r="S52" i="2" s="1"/>
  <c r="R32" i="2"/>
  <c r="Q32" i="2"/>
  <c r="Y31" i="2"/>
  <c r="X31" i="2"/>
  <c r="Z29" i="2"/>
  <c r="X29" i="2"/>
  <c r="Y29" i="2" s="1"/>
  <c r="BB23" i="2"/>
  <c r="C26" i="7" s="1"/>
  <c r="J23" i="7" s="1"/>
  <c r="BB22" i="2"/>
  <c r="C25" i="7" s="1"/>
  <c r="J22" i="7" s="1"/>
  <c r="BB21" i="2"/>
  <c r="W21" i="2"/>
  <c r="V20" i="2"/>
  <c r="U20" i="2"/>
  <c r="T20" i="2"/>
  <c r="S20" i="2"/>
  <c r="R20" i="2"/>
  <c r="Q20" i="2"/>
  <c r="V17" i="2"/>
  <c r="T17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BC12" i="2"/>
  <c r="D15" i="7" s="1"/>
  <c r="K15" i="7" s="1"/>
  <c r="AK12" i="2"/>
  <c r="AJ12" i="2"/>
  <c r="AI12" i="2"/>
  <c r="AF11" i="2"/>
  <c r="AE11" i="2"/>
  <c r="AD11" i="2"/>
  <c r="AC11" i="2"/>
  <c r="AB11" i="2"/>
  <c r="AA11" i="2"/>
  <c r="Z11" i="2"/>
  <c r="Y11" i="2"/>
  <c r="X11" i="2"/>
  <c r="BC11" i="2" s="1"/>
  <c r="D14" i="7" s="1"/>
  <c r="K14" i="7" s="1"/>
  <c r="I9" i="1" s="1"/>
  <c r="W11" i="2"/>
  <c r="AG10" i="2"/>
  <c r="AF10" i="2"/>
  <c r="AE10" i="2"/>
  <c r="AD10" i="2"/>
  <c r="AC10" i="2"/>
  <c r="AB10" i="2"/>
  <c r="AA10" i="2"/>
  <c r="Z10" i="2"/>
  <c r="Y10" i="2"/>
  <c r="X10" i="2"/>
  <c r="W10" i="2"/>
  <c r="Z9" i="2"/>
  <c r="Y9" i="2"/>
  <c r="X9" i="2"/>
  <c r="V8" i="2"/>
  <c r="BB7" i="2"/>
  <c r="C10" i="7" s="1"/>
  <c r="J10" i="7" s="1"/>
  <c r="Z7" i="2"/>
  <c r="Y7" i="2"/>
  <c r="X7" i="2"/>
  <c r="BB6" i="2"/>
  <c r="C9" i="7" s="1"/>
  <c r="J9" i="7" s="1"/>
  <c r="Z6" i="2"/>
  <c r="X6" i="2"/>
  <c r="BB5" i="2"/>
  <c r="V5" i="2"/>
  <c r="X9" i="7" s="1"/>
  <c r="U5" i="2"/>
  <c r="W9" i="7" s="1"/>
  <c r="T5" i="2"/>
  <c r="V9" i="7" s="1"/>
  <c r="S5" i="2"/>
  <c r="U9" i="7" s="1"/>
  <c r="R5" i="2"/>
  <c r="Q5" i="2"/>
  <c r="S9" i="7" s="1"/>
  <c r="P5" i="2"/>
  <c r="O5" i="2"/>
  <c r="N5" i="2"/>
  <c r="M5" i="2"/>
  <c r="L5" i="2"/>
  <c r="K5" i="2"/>
  <c r="J5" i="2"/>
  <c r="I5" i="2"/>
  <c r="H5" i="2"/>
  <c r="G5" i="2"/>
  <c r="F5" i="2"/>
  <c r="E5" i="2"/>
  <c r="F32" i="1"/>
  <c r="H30" i="1"/>
  <c r="G30" i="1"/>
  <c r="G29" i="1"/>
  <c r="H27" i="1"/>
  <c r="G27" i="1"/>
  <c r="G26" i="1"/>
  <c r="H25" i="1"/>
  <c r="G25" i="1"/>
  <c r="G21" i="1"/>
  <c r="F20" i="1"/>
  <c r="G19" i="1"/>
  <c r="H18" i="1"/>
  <c r="G18" i="1"/>
  <c r="H17" i="1"/>
  <c r="G17" i="1"/>
  <c r="G16" i="1"/>
  <c r="F15" i="1"/>
  <c r="G13" i="1"/>
  <c r="F12" i="1"/>
  <c r="H11" i="1"/>
  <c r="F11" i="1"/>
  <c r="I10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F3" i="1"/>
  <c r="Y68" i="2" l="1"/>
  <c r="J108" i="4"/>
  <c r="N107" i="4"/>
  <c r="Q17" i="2"/>
  <c r="Z31" i="2"/>
  <c r="T67" i="2"/>
  <c r="Q68" i="2"/>
  <c r="Y51" i="2"/>
  <c r="BC53" i="2"/>
  <c r="D56" i="7" s="1"/>
  <c r="X72" i="2"/>
  <c r="S17" i="2"/>
  <c r="C24" i="7"/>
  <c r="J21" i="7" s="1"/>
  <c r="H16" i="1" s="1"/>
  <c r="BB24" i="2"/>
  <c r="C27" i="7" s="1"/>
  <c r="J24" i="7" s="1"/>
  <c r="H19" i="1" s="1"/>
  <c r="Z32" i="2"/>
  <c r="Z52" i="2" s="1"/>
  <c r="Z50" i="2"/>
  <c r="C70" i="7"/>
  <c r="J34" i="7" s="1"/>
  <c r="H26" i="1" s="1"/>
  <c r="BB65" i="2"/>
  <c r="V10" i="7"/>
  <c r="T18" i="2"/>
  <c r="T26" i="2"/>
  <c r="AA29" i="2"/>
  <c r="B108" i="4"/>
  <c r="B98" i="4"/>
  <c r="BE92" i="4"/>
  <c r="T45" i="5"/>
  <c r="T49" i="5"/>
  <c r="T47" i="5"/>
  <c r="T48" i="5"/>
  <c r="T43" i="5"/>
  <c r="T44" i="5"/>
  <c r="T41" i="5"/>
  <c r="T46" i="5"/>
  <c r="P306" i="4"/>
  <c r="U17" i="2"/>
  <c r="AA79" i="2"/>
  <c r="X10" i="7"/>
  <c r="V26" i="2"/>
  <c r="V18" i="2"/>
  <c r="W75" i="2"/>
  <c r="X75" i="2" s="1"/>
  <c r="X80" i="2"/>
  <c r="V80" i="2"/>
  <c r="O97" i="4"/>
  <c r="O180" i="4"/>
  <c r="Y6" i="2"/>
  <c r="BC10" i="2"/>
  <c r="D13" i="7" s="1"/>
  <c r="K13" i="7" s="1"/>
  <c r="I8" i="1" s="1"/>
  <c r="AN41" i="4"/>
  <c r="V41" i="4"/>
  <c r="AJ41" i="4"/>
  <c r="AH41" i="4"/>
  <c r="AF41" i="4"/>
  <c r="AB41" i="4"/>
  <c r="Z41" i="4"/>
  <c r="X41" i="4"/>
  <c r="T41" i="4"/>
  <c r="N57" i="4"/>
  <c r="J102" i="4"/>
  <c r="J96" i="4" s="1"/>
  <c r="J106" i="4" s="1"/>
  <c r="J85" i="4"/>
  <c r="J24" i="4" s="1"/>
  <c r="B114" i="4"/>
  <c r="B104" i="4"/>
  <c r="T9" i="7"/>
  <c r="R17" i="2"/>
  <c r="C8" i="7"/>
  <c r="J16" i="7" s="1"/>
  <c r="BB17" i="2"/>
  <c r="BB20" i="2"/>
  <c r="C23" i="7" s="1"/>
  <c r="J25" i="7" s="1"/>
  <c r="H15" i="1" s="1"/>
  <c r="R52" i="2"/>
  <c r="AL41" i="4"/>
  <c r="K54" i="4"/>
  <c r="K48" i="4" s="1"/>
  <c r="K201" i="4"/>
  <c r="K202" i="4" s="1"/>
  <c r="K200" i="4"/>
  <c r="L204" i="4"/>
  <c r="K196" i="4"/>
  <c r="K198" i="4"/>
  <c r="K209" i="4"/>
  <c r="Y50" i="2"/>
  <c r="Y32" i="2"/>
  <c r="Y52" i="2" s="1"/>
  <c r="AL42" i="4"/>
  <c r="V45" i="4"/>
  <c r="AE45" i="4"/>
  <c r="AN45" i="4"/>
  <c r="T51" i="4"/>
  <c r="AC51" i="4"/>
  <c r="B100" i="4"/>
  <c r="B110" i="4"/>
  <c r="B111" i="4"/>
  <c r="B101" i="4"/>
  <c r="L284" i="4"/>
  <c r="L280" i="4"/>
  <c r="W45" i="4"/>
  <c r="AF45" i="4"/>
  <c r="AO45" i="4"/>
  <c r="I97" i="4"/>
  <c r="I85" i="4"/>
  <c r="I24" i="4" s="1"/>
  <c r="BE93" i="4"/>
  <c r="BF94" i="4"/>
  <c r="G103" i="4"/>
  <c r="G175" i="4"/>
  <c r="BE184" i="4"/>
  <c r="BE102" i="4" s="1"/>
  <c r="G102" i="4"/>
  <c r="Y18" i="14"/>
  <c r="O102" i="4"/>
  <c r="U46" i="5"/>
  <c r="U44" i="5"/>
  <c r="U41" i="5"/>
  <c r="U49" i="5"/>
  <c r="U48" i="5"/>
  <c r="U43" i="5"/>
  <c r="U42" i="5"/>
  <c r="U45" i="5"/>
  <c r="U47" i="5"/>
  <c r="Q306" i="4"/>
  <c r="S26" i="4"/>
  <c r="X45" i="4"/>
  <c r="AG45" i="4"/>
  <c r="AP45" i="4"/>
  <c r="K287" i="4"/>
  <c r="K292" i="4"/>
  <c r="K293" i="4" s="1"/>
  <c r="BE91" i="4"/>
  <c r="O206" i="4"/>
  <c r="O165" i="4" s="1"/>
  <c r="G46" i="4"/>
  <c r="G32" i="4" s="1"/>
  <c r="Z104" i="4"/>
  <c r="BF186" i="4"/>
  <c r="I181" i="4"/>
  <c r="R291" i="4"/>
  <c r="BB77" i="2"/>
  <c r="U40" i="4"/>
  <c r="Z45" i="4"/>
  <c r="G54" i="4"/>
  <c r="G48" i="4" s="1"/>
  <c r="K97" i="4"/>
  <c r="W12" i="7"/>
  <c r="U71" i="2"/>
  <c r="U70" i="2" s="1"/>
  <c r="W40" i="4"/>
  <c r="AI45" i="4"/>
  <c r="AA45" i="4"/>
  <c r="S45" i="4"/>
  <c r="AB45" i="4"/>
  <c r="AK45" i="4"/>
  <c r="P249" i="4"/>
  <c r="O266" i="4"/>
  <c r="O88" i="4"/>
  <c r="P250" i="4"/>
  <c r="P166" i="4" s="1"/>
  <c r="P326" i="4"/>
  <c r="O90" i="4"/>
  <c r="O100" i="4" s="1"/>
  <c r="O110" i="4" s="1"/>
  <c r="V73" i="2"/>
  <c r="C77" i="7"/>
  <c r="BB71" i="2"/>
  <c r="T45" i="4"/>
  <c r="AC45" i="4"/>
  <c r="AL45" i="4"/>
  <c r="AL51" i="4"/>
  <c r="AD51" i="4"/>
  <c r="V51" i="4"/>
  <c r="AA51" i="4"/>
  <c r="AJ51" i="4"/>
  <c r="P97" i="4"/>
  <c r="X17" i="14"/>
  <c r="N101" i="4"/>
  <c r="H99" i="4"/>
  <c r="H96" i="4" s="1"/>
  <c r="H106" i="4" s="1"/>
  <c r="J266" i="4"/>
  <c r="J270" i="4" s="1"/>
  <c r="J245" i="4"/>
  <c r="J246" i="4" s="1"/>
  <c r="N123" i="4"/>
  <c r="X11" i="14"/>
  <c r="R285" i="4"/>
  <c r="AA368" i="4"/>
  <c r="N248" i="4"/>
  <c r="I245" i="4"/>
  <c r="I246" i="4" s="1"/>
  <c r="O261" i="4"/>
  <c r="AA257" i="4"/>
  <c r="AN368" i="4"/>
  <c r="BE185" i="4"/>
  <c r="R257" i="4"/>
  <c r="Q261" i="4"/>
  <c r="R205" i="4"/>
  <c r="Q210" i="4"/>
  <c r="M210" i="4"/>
  <c r="M214" i="4" s="1"/>
  <c r="M154" i="4" s="1"/>
  <c r="N205" i="4"/>
  <c r="BA368" i="4"/>
  <c r="AK368" i="4"/>
  <c r="AW368" i="4"/>
  <c r="AI368" i="4"/>
  <c r="AU368" i="4"/>
  <c r="AH368" i="4"/>
  <c r="AT368" i="4"/>
  <c r="AG368" i="4"/>
  <c r="AE368" i="4"/>
  <c r="Y368" i="4"/>
  <c r="BB368" i="4"/>
  <c r="AS368" i="4"/>
  <c r="AD17" i="14"/>
  <c r="T101" i="4"/>
  <c r="R200" i="4"/>
  <c r="R199" i="4"/>
  <c r="S204" i="4" s="1"/>
  <c r="S198" i="4"/>
  <c r="I198" i="4"/>
  <c r="I196" i="4"/>
  <c r="I200" i="4"/>
  <c r="I209" i="4"/>
  <c r="I213" i="4" s="1"/>
  <c r="J204" i="4"/>
  <c r="I201" i="4"/>
  <c r="I202" i="4" s="1"/>
  <c r="Q231" i="4"/>
  <c r="Q235" i="4"/>
  <c r="Q209" i="4"/>
  <c r="Q232" i="4"/>
  <c r="Q233" i="4"/>
  <c r="Q178" i="4"/>
  <c r="Q196" i="4"/>
  <c r="N214" i="4"/>
  <c r="N154" i="4" s="1"/>
  <c r="N210" i="4"/>
  <c r="O205" i="4"/>
  <c r="L200" i="4"/>
  <c r="N144" i="4"/>
  <c r="G88" i="4"/>
  <c r="N100" i="4"/>
  <c r="N110" i="4" s="1"/>
  <c r="P147" i="4"/>
  <c r="N204" i="4"/>
  <c r="N233" i="4"/>
  <c r="N217" i="4" s="1"/>
  <c r="M178" i="4"/>
  <c r="O209" i="4"/>
  <c r="N231" i="4"/>
  <c r="N219" i="4" s="1"/>
  <c r="J250" i="4"/>
  <c r="K269" i="4"/>
  <c r="L278" i="4"/>
  <c r="N278" i="4"/>
  <c r="O278" i="4"/>
  <c r="Q281" i="4"/>
  <c r="Q282" i="4" s="1"/>
  <c r="R42" i="5"/>
  <c r="R40" i="5"/>
  <c r="R39" i="5"/>
  <c r="R38" i="5"/>
  <c r="M330" i="4"/>
  <c r="M125" i="4" s="1"/>
  <c r="O325" i="4"/>
  <c r="O327" i="4" s="1"/>
  <c r="O168" i="4" s="1"/>
  <c r="M322" i="4"/>
  <c r="M182" i="4"/>
  <c r="L243" i="4"/>
  <c r="M240" i="4"/>
  <c r="Q243" i="4"/>
  <c r="O262" i="4"/>
  <c r="P258" i="4"/>
  <c r="N284" i="4"/>
  <c r="N280" i="4"/>
  <c r="M285" i="4"/>
  <c r="M281" i="4"/>
  <c r="M282" i="4" s="1"/>
  <c r="O284" i="4"/>
  <c r="K301" i="4"/>
  <c r="N311" i="4"/>
  <c r="P325" i="4"/>
  <c r="Y459" i="4"/>
  <c r="Y159" i="4" s="1"/>
  <c r="Y149" i="4"/>
  <c r="AG459" i="4"/>
  <c r="AG159" i="4" s="1"/>
  <c r="AG149" i="4"/>
  <c r="J175" i="4"/>
  <c r="G198" i="4"/>
  <c r="H204" i="4"/>
  <c r="O231" i="4"/>
  <c r="O233" i="4"/>
  <c r="O232" i="4"/>
  <c r="O221" i="4" s="1"/>
  <c r="G209" i="4"/>
  <c r="Q265" i="4"/>
  <c r="Q238" i="4"/>
  <c r="Q179" i="4"/>
  <c r="G245" i="4"/>
  <c r="G246" i="4" s="1"/>
  <c r="P281" i="4"/>
  <c r="P285" i="4"/>
  <c r="N334" i="4"/>
  <c r="N135" i="4" s="1"/>
  <c r="C360" i="4"/>
  <c r="AZ369" i="4"/>
  <c r="T369" i="4"/>
  <c r="Z369" i="4"/>
  <c r="Z382" i="4" s="1"/>
  <c r="Z394" i="4" s="1"/>
  <c r="S369" i="4"/>
  <c r="W369" i="4"/>
  <c r="W382" i="4" s="1"/>
  <c r="AQ369" i="4"/>
  <c r="Y369" i="4"/>
  <c r="Y382" i="4" s="1"/>
  <c r="Y394" i="4" s="1"/>
  <c r="X369" i="4"/>
  <c r="AX369" i="4"/>
  <c r="V369" i="4"/>
  <c r="U369" i="4"/>
  <c r="D370" i="4"/>
  <c r="AO445" i="4"/>
  <c r="AO440" i="4"/>
  <c r="AO438" i="4" s="1"/>
  <c r="H175" i="4"/>
  <c r="AC17" i="14"/>
  <c r="BE183" i="4"/>
  <c r="BE101" i="4" s="1"/>
  <c r="O234" i="4"/>
  <c r="R240" i="4"/>
  <c r="O265" i="4"/>
  <c r="O238" i="4"/>
  <c r="P260" i="4"/>
  <c r="P261" i="4" s="1"/>
  <c r="Q248" i="4"/>
  <c r="Q250" i="4" s="1"/>
  <c r="Q166" i="4" s="1"/>
  <c r="O245" i="4"/>
  <c r="O246" i="4" s="1"/>
  <c r="H245" i="4"/>
  <c r="H246" i="4" s="1"/>
  <c r="P277" i="4"/>
  <c r="Q298" i="4"/>
  <c r="Q321" i="4"/>
  <c r="Q314" i="4"/>
  <c r="Y316" i="4"/>
  <c r="R313" i="4"/>
  <c r="Q319" i="4"/>
  <c r="R315" i="4"/>
  <c r="D360" i="4"/>
  <c r="R369" i="4"/>
  <c r="K175" i="4"/>
  <c r="I104" i="4"/>
  <c r="Q104" i="4"/>
  <c r="Y104" i="4"/>
  <c r="AG104" i="4"/>
  <c r="J209" i="4"/>
  <c r="J213" i="4" s="1"/>
  <c r="J198" i="4"/>
  <c r="O201" i="4"/>
  <c r="O202" i="4" s="1"/>
  <c r="L249" i="4"/>
  <c r="L250" i="4" s="1"/>
  <c r="K245" i="4"/>
  <c r="K246" i="4" s="1"/>
  <c r="K266" i="4"/>
  <c r="K270" i="4" s="1"/>
  <c r="W258" i="4"/>
  <c r="H209" i="4"/>
  <c r="H196" i="4"/>
  <c r="P234" i="4"/>
  <c r="P209" i="4"/>
  <c r="P196" i="4"/>
  <c r="P231" i="4"/>
  <c r="P201" i="4"/>
  <c r="P202" i="4" s="1"/>
  <c r="R204" i="4"/>
  <c r="R206" i="4" s="1"/>
  <c r="R165" i="4" s="1"/>
  <c r="P235" i="4"/>
  <c r="P245" i="4"/>
  <c r="P246" i="4" s="1"/>
  <c r="Q45" i="5"/>
  <c r="Q43" i="5"/>
  <c r="Q44" i="5"/>
  <c r="Q47" i="5"/>
  <c r="Q49" i="5"/>
  <c r="Q48" i="5"/>
  <c r="Q46" i="5"/>
  <c r="Q41" i="5"/>
  <c r="O322" i="4"/>
  <c r="O323" i="4" s="1"/>
  <c r="O330" i="4"/>
  <c r="O311" i="4"/>
  <c r="P322" i="4"/>
  <c r="P323" i="4" s="1"/>
  <c r="AO428" i="4"/>
  <c r="E499" i="4"/>
  <c r="D503" i="4"/>
  <c r="R43" i="5"/>
  <c r="R48" i="5"/>
  <c r="R41" i="5"/>
  <c r="R47" i="5"/>
  <c r="R49" i="5"/>
  <c r="R45" i="5"/>
  <c r="R46" i="5"/>
  <c r="R44" i="5"/>
  <c r="C389" i="4"/>
  <c r="F376" i="4" s="1"/>
  <c r="C387" i="4"/>
  <c r="F374" i="4" s="1"/>
  <c r="C383" i="4"/>
  <c r="F370" i="4" s="1"/>
  <c r="C384" i="4"/>
  <c r="F371" i="4" s="1"/>
  <c r="C382" i="4"/>
  <c r="F369" i="4" s="1"/>
  <c r="AP369" i="4" s="1"/>
  <c r="D354" i="4"/>
  <c r="D356" i="4" s="1"/>
  <c r="D361" i="4" s="1"/>
  <c r="C354" i="4"/>
  <c r="C356" i="4" s="1"/>
  <c r="C361" i="4" s="1"/>
  <c r="C388" i="4"/>
  <c r="F375" i="4" s="1"/>
  <c r="C390" i="4"/>
  <c r="F377" i="4" s="1"/>
  <c r="AN440" i="4"/>
  <c r="AP439" i="4"/>
  <c r="AP444" i="4"/>
  <c r="T404" i="4"/>
  <c r="T339" i="4"/>
  <c r="AM439" i="4"/>
  <c r="AM438" i="4" s="1"/>
  <c r="AM444" i="4"/>
  <c r="AM443" i="4" s="1"/>
  <c r="AO446" i="4"/>
  <c r="AO441" i="4"/>
  <c r="AN433" i="4"/>
  <c r="AN439" i="4"/>
  <c r="AN444" i="4"/>
  <c r="AK445" i="4"/>
  <c r="AK440" i="4"/>
  <c r="AP441" i="4"/>
  <c r="AP446" i="4"/>
  <c r="D512" i="4"/>
  <c r="E505" i="4"/>
  <c r="N234" i="4"/>
  <c r="N218" i="4" s="1"/>
  <c r="N201" i="4"/>
  <c r="N202" i="4" s="1"/>
  <c r="P204" i="4"/>
  <c r="P206" i="4" s="1"/>
  <c r="P165" i="4" s="1"/>
  <c r="N235" i="4"/>
  <c r="N220" i="4" s="1"/>
  <c r="N270" i="4"/>
  <c r="N155" i="4" s="1"/>
  <c r="N145" i="4"/>
  <c r="R305" i="4"/>
  <c r="S275" i="4"/>
  <c r="R277" i="4"/>
  <c r="M306" i="4"/>
  <c r="Q325" i="4"/>
  <c r="Q327" i="4" s="1"/>
  <c r="Q168" i="4" s="1"/>
  <c r="AZ368" i="4"/>
  <c r="AR368" i="4"/>
  <c r="AJ368" i="4"/>
  <c r="AB368" i="4"/>
  <c r="T368" i="4"/>
  <c r="AV368" i="4"/>
  <c r="AM368" i="4"/>
  <c r="AD368" i="4"/>
  <c r="U368" i="4"/>
  <c r="AX368" i="4"/>
  <c r="AO368" i="4"/>
  <c r="AF368" i="4"/>
  <c r="W368" i="4"/>
  <c r="AY368" i="4"/>
  <c r="AL368" i="4"/>
  <c r="Z368" i="4"/>
  <c r="AC368" i="4"/>
  <c r="AQ368" i="4"/>
  <c r="V404" i="4"/>
  <c r="V339" i="4"/>
  <c r="AO444" i="4"/>
  <c r="AO433" i="4"/>
  <c r="AK443" i="4"/>
  <c r="BE186" i="4"/>
  <c r="BE104" i="4" s="1"/>
  <c r="S44" i="5"/>
  <c r="S47" i="5"/>
  <c r="S41" i="5"/>
  <c r="S46" i="5"/>
  <c r="S49" i="5"/>
  <c r="S45" i="5"/>
  <c r="S43" i="5"/>
  <c r="S48" i="5"/>
  <c r="O306" i="4"/>
  <c r="AK439" i="4"/>
  <c r="AK438" i="4" s="1"/>
  <c r="AK433" i="4"/>
  <c r="AL441" i="4"/>
  <c r="Y545" i="4"/>
  <c r="Y550" i="4" s="1"/>
  <c r="Y547" i="4" s="1"/>
  <c r="X545" i="4"/>
  <c r="X550" i="4" s="1"/>
  <c r="AL433" i="4"/>
  <c r="AL444" i="4"/>
  <c r="AL443" i="4" s="1"/>
  <c r="AB477" i="4"/>
  <c r="AB499" i="4" s="1"/>
  <c r="AB475" i="4"/>
  <c r="AB476" i="4"/>
  <c r="Y565" i="4"/>
  <c r="AL439" i="4"/>
  <c r="AL438" i="4" s="1"/>
  <c r="Y538" i="4"/>
  <c r="Y527" i="4"/>
  <c r="Y533" i="4"/>
  <c r="Y544" i="4"/>
  <c r="Y549" i="4" s="1"/>
  <c r="X544" i="4"/>
  <c r="X549" i="4" s="1"/>
  <c r="X547" i="4" s="1"/>
  <c r="AI74" i="5"/>
  <c r="AG74" i="5"/>
  <c r="AR74" i="5"/>
  <c r="AF74" i="5"/>
  <c r="AD74" i="5"/>
  <c r="AO74" i="5"/>
  <c r="AN74" i="5"/>
  <c r="AM74" i="5"/>
  <c r="AL74" i="5"/>
  <c r="AP74" i="5"/>
  <c r="AE74" i="5"/>
  <c r="AN428" i="4"/>
  <c r="AT463" i="4"/>
  <c r="BB463" i="4"/>
  <c r="AA524" i="4"/>
  <c r="Z542" i="4"/>
  <c r="Z544" i="4" s="1"/>
  <c r="Z549" i="4" s="1"/>
  <c r="Z525" i="4"/>
  <c r="Z576" i="4"/>
  <c r="X535" i="4"/>
  <c r="X555" i="4" s="1"/>
  <c r="X527" i="4"/>
  <c r="L201" i="4"/>
  <c r="L202" i="4" s="1"/>
  <c r="O331" i="4"/>
  <c r="AJ428" i="4"/>
  <c r="AJ434" i="4"/>
  <c r="K463" i="4"/>
  <c r="S463" i="4"/>
  <c r="S171" i="4" s="1"/>
  <c r="AA463" i="4"/>
  <c r="AA171" i="4" s="1"/>
  <c r="AI463" i="4"/>
  <c r="AI171" i="4" s="1"/>
  <c r="C485" i="4"/>
  <c r="D485" i="4" s="1"/>
  <c r="Y574" i="4"/>
  <c r="Y575" i="4"/>
  <c r="T124" i="5"/>
  <c r="AA8" i="5"/>
  <c r="Y539" i="4"/>
  <c r="Y559" i="4" s="1"/>
  <c r="Y564" i="4" s="1"/>
  <c r="V571" i="4"/>
  <c r="V91" i="4" s="1"/>
  <c r="AC8" i="5"/>
  <c r="AC127" i="5"/>
  <c r="AC141" i="5" s="1"/>
  <c r="Y78" i="4" s="1"/>
  <c r="X553" i="4"/>
  <c r="AR8" i="5"/>
  <c r="AJ8" i="5"/>
  <c r="AJ124" i="5" s="1"/>
  <c r="AB8" i="5"/>
  <c r="AO8" i="5"/>
  <c r="AG8" i="5"/>
  <c r="Y8" i="5"/>
  <c r="AP8" i="5"/>
  <c r="AE8" i="5"/>
  <c r="AN8" i="5"/>
  <c r="AD8" i="5"/>
  <c r="AK8" i="5"/>
  <c r="Z8" i="5"/>
  <c r="AT8" i="5"/>
  <c r="AI8" i="5"/>
  <c r="X8" i="5"/>
  <c r="AS8" i="5"/>
  <c r="AH8" i="5"/>
  <c r="W8" i="5"/>
  <c r="W124" i="5" s="1"/>
  <c r="AM8" i="5"/>
  <c r="AL8" i="5"/>
  <c r="AM64" i="5"/>
  <c r="AQ64" i="5"/>
  <c r="AH64" i="5"/>
  <c r="AO64" i="5"/>
  <c r="AL64" i="5"/>
  <c r="AS64" i="5"/>
  <c r="AF64" i="5"/>
  <c r="AN64" i="5"/>
  <c r="AK64" i="5"/>
  <c r="AJ64" i="5"/>
  <c r="AI64" i="5"/>
  <c r="AG64" i="5"/>
  <c r="AT64" i="5"/>
  <c r="AR64" i="5"/>
  <c r="AP428" i="4"/>
  <c r="AJ440" i="4"/>
  <c r="AJ445" i="4"/>
  <c r="AN446" i="4"/>
  <c r="I463" i="4"/>
  <c r="Q463" i="4"/>
  <c r="Q171" i="4" s="1"/>
  <c r="Y463" i="4"/>
  <c r="Y171" i="4" s="1"/>
  <c r="AG463" i="4"/>
  <c r="AG171" i="4" s="1"/>
  <c r="AY463" i="4"/>
  <c r="AD470" i="4"/>
  <c r="AD471" i="4" s="1"/>
  <c r="AD472" i="4" s="1"/>
  <c r="AC470" i="4"/>
  <c r="AC471" i="4" s="1"/>
  <c r="AC472" i="4" s="1"/>
  <c r="X554" i="4"/>
  <c r="X564" i="4" s="1"/>
  <c r="AS56" i="5"/>
  <c r="AK56" i="5"/>
  <c r="AC56" i="5"/>
  <c r="U56" i="5"/>
  <c r="I57" i="5"/>
  <c r="AM56" i="5"/>
  <c r="AD56" i="5"/>
  <c r="T56" i="5"/>
  <c r="AQ56" i="5"/>
  <c r="AG56" i="5"/>
  <c r="W56" i="5"/>
  <c r="AO56" i="5"/>
  <c r="AE56" i="5"/>
  <c r="S56" i="5"/>
  <c r="AH56" i="5"/>
  <c r="R56" i="5"/>
  <c r="AP56" i="5"/>
  <c r="AA56" i="5"/>
  <c r="AN56" i="5"/>
  <c r="Z56" i="5"/>
  <c r="AL56" i="5"/>
  <c r="Y56" i="5"/>
  <c r="AJ56" i="5"/>
  <c r="X56" i="5"/>
  <c r="V56" i="5"/>
  <c r="Q56" i="5"/>
  <c r="AT56" i="5"/>
  <c r="AR56" i="5"/>
  <c r="AI56" i="5"/>
  <c r="AF56" i="5"/>
  <c r="AB56" i="5"/>
  <c r="Q124" i="5"/>
  <c r="AP70" i="5"/>
  <c r="AH70" i="5"/>
  <c r="AQ70" i="5"/>
  <c r="AG70" i="5"/>
  <c r="AS70" i="5"/>
  <c r="AJ70" i="5"/>
  <c r="AR70" i="5"/>
  <c r="AN70" i="5"/>
  <c r="AT70" i="5"/>
  <c r="AM70" i="5"/>
  <c r="AL70" i="5"/>
  <c r="AK70" i="5"/>
  <c r="AI70" i="5"/>
  <c r="AO70" i="5"/>
  <c r="AF70" i="5"/>
  <c r="AO25" i="5"/>
  <c r="AG25" i="5"/>
  <c r="AT25" i="5"/>
  <c r="AK25" i="5"/>
  <c r="AB25" i="5"/>
  <c r="AJ25" i="5"/>
  <c r="AQ25" i="5"/>
  <c r="AF25" i="5"/>
  <c r="AP25" i="5"/>
  <c r="AE25" i="5"/>
  <c r="AN25" i="5"/>
  <c r="AD25" i="5"/>
  <c r="AM25" i="5"/>
  <c r="AC25" i="5"/>
  <c r="AA25" i="5"/>
  <c r="AR25" i="5"/>
  <c r="AL25" i="5"/>
  <c r="AI25" i="5"/>
  <c r="AN30" i="5"/>
  <c r="AS30" i="5"/>
  <c r="AJ30" i="5"/>
  <c r="AQ30" i="5"/>
  <c r="AM30" i="5"/>
  <c r="AL30" i="5"/>
  <c r="AK30" i="5"/>
  <c r="AK125" i="5" s="1"/>
  <c r="AK139" i="5" s="1"/>
  <c r="AG76" i="4" s="1"/>
  <c r="AT30" i="5"/>
  <c r="AP30" i="5"/>
  <c r="AO30" i="5"/>
  <c r="AD5" i="5"/>
  <c r="AA6" i="5"/>
  <c r="Z9" i="5"/>
  <c r="AG125" i="5"/>
  <c r="AG139" i="5" s="1"/>
  <c r="AC76" i="4" s="1"/>
  <c r="U125" i="5"/>
  <c r="U139" i="5" s="1"/>
  <c r="Q76" i="4" s="1"/>
  <c r="AR55" i="5"/>
  <c r="AG55" i="5"/>
  <c r="W55" i="5"/>
  <c r="AO55" i="5"/>
  <c r="AE55" i="5"/>
  <c r="AL55" i="5"/>
  <c r="X55" i="5"/>
  <c r="AF55" i="5"/>
  <c r="AT55" i="5"/>
  <c r="AD55" i="5"/>
  <c r="AP55" i="5"/>
  <c r="AB55" i="5"/>
  <c r="AN55" i="5"/>
  <c r="AA55" i="5"/>
  <c r="AI55" i="5"/>
  <c r="AR127" i="5"/>
  <c r="AR141" i="5" s="1"/>
  <c r="AN78" i="4" s="1"/>
  <c r="AR12" i="5"/>
  <c r="AJ12" i="5"/>
  <c r="AB12" i="5"/>
  <c r="AM12" i="5"/>
  <c r="AD12" i="5"/>
  <c r="AS12" i="5"/>
  <c r="AI12" i="5"/>
  <c r="Z12" i="5"/>
  <c r="AQ12" i="5"/>
  <c r="AH12" i="5"/>
  <c r="Y12" i="5"/>
  <c r="AP12" i="5"/>
  <c r="AG12" i="5"/>
  <c r="X12" i="5"/>
  <c r="AO12" i="5"/>
  <c r="AF12" i="5"/>
  <c r="W12" i="5"/>
  <c r="AQ13" i="5"/>
  <c r="AI13" i="5"/>
  <c r="AA13" i="5"/>
  <c r="AO13" i="5"/>
  <c r="AO124" i="5" s="1"/>
  <c r="AF13" i="5"/>
  <c r="W13" i="5"/>
  <c r="AL13" i="5"/>
  <c r="AC13" i="5"/>
  <c r="AT13" i="5"/>
  <c r="AK13" i="5"/>
  <c r="AB13" i="5"/>
  <c r="AS13" i="5"/>
  <c r="AJ13" i="5"/>
  <c r="Z13" i="5"/>
  <c r="AR13" i="5"/>
  <c r="AH13" i="5"/>
  <c r="Y13" i="5"/>
  <c r="V125" i="5"/>
  <c r="V139" i="5" s="1"/>
  <c r="R76" i="4" s="1"/>
  <c r="Y60" i="5"/>
  <c r="AS81" i="5"/>
  <c r="AK81" i="5"/>
  <c r="AC81" i="5"/>
  <c r="U81" i="5"/>
  <c r="AL81" i="5"/>
  <c r="AB81" i="5"/>
  <c r="S81" i="5"/>
  <c r="AO81" i="5"/>
  <c r="AE81" i="5"/>
  <c r="T81" i="5"/>
  <c r="AR81" i="5"/>
  <c r="AH81" i="5"/>
  <c r="X81" i="5"/>
  <c r="AQ81" i="5"/>
  <c r="AG81" i="5"/>
  <c r="W81" i="5"/>
  <c r="AM81" i="5"/>
  <c r="V81" i="5"/>
  <c r="AJ81" i="5"/>
  <c r="R81" i="5"/>
  <c r="AI81" i="5"/>
  <c r="Q81" i="5"/>
  <c r="I82" i="5"/>
  <c r="Z81" i="5"/>
  <c r="Y81" i="5"/>
  <c r="AP81" i="5"/>
  <c r="AN81" i="5"/>
  <c r="AF81" i="5"/>
  <c r="AD81" i="5"/>
  <c r="AQ5" i="5"/>
  <c r="AI5" i="5"/>
  <c r="AA5" i="5"/>
  <c r="AN5" i="5"/>
  <c r="AF5" i="5"/>
  <c r="X5" i="5"/>
  <c r="AG5" i="5"/>
  <c r="AR5" i="5"/>
  <c r="AM9" i="5"/>
  <c r="AE9" i="5"/>
  <c r="W9" i="5"/>
  <c r="AP9" i="5"/>
  <c r="AG9" i="5"/>
  <c r="X9" i="5"/>
  <c r="AL9" i="5"/>
  <c r="AC9" i="5"/>
  <c r="AC124" i="5" s="1"/>
  <c r="AS9" i="5"/>
  <c r="AJ9" i="5"/>
  <c r="AB9" i="5"/>
  <c r="AQ9" i="5"/>
  <c r="AB128" i="5"/>
  <c r="AB142" i="5" s="1"/>
  <c r="X79" i="4" s="1"/>
  <c r="X30" i="4" s="1"/>
  <c r="X26" i="4" s="1"/>
  <c r="AA81" i="5"/>
  <c r="R128" i="5"/>
  <c r="R142" i="5" s="1"/>
  <c r="N79" i="4" s="1"/>
  <c r="N30" i="4" s="1"/>
  <c r="N26" i="4" s="1"/>
  <c r="AM60" i="5"/>
  <c r="AE60" i="5"/>
  <c r="W60" i="5"/>
  <c r="W126" i="5" s="1"/>
  <c r="W140" i="5" s="1"/>
  <c r="S77" i="4" s="1"/>
  <c r="AO60" i="5"/>
  <c r="AO126" i="5" s="1"/>
  <c r="AO140" i="5" s="1"/>
  <c r="AK77" i="4" s="1"/>
  <c r="AF60" i="5"/>
  <c r="AF126" i="5" s="1"/>
  <c r="AF140" i="5" s="1"/>
  <c r="AB77" i="4" s="1"/>
  <c r="AP60" i="5"/>
  <c r="AD60" i="5"/>
  <c r="AL60" i="5"/>
  <c r="AB60" i="5"/>
  <c r="AB126" i="5" s="1"/>
  <c r="AB140" i="5" s="1"/>
  <c r="X77" i="4" s="1"/>
  <c r="AQ60" i="5"/>
  <c r="AA60" i="5"/>
  <c r="AJ60" i="5"/>
  <c r="X60" i="5"/>
  <c r="X126" i="5" s="1"/>
  <c r="X140" i="5" s="1"/>
  <c r="T77" i="4" s="1"/>
  <c r="AI60" i="5"/>
  <c r="AT60" i="5"/>
  <c r="AH60" i="5"/>
  <c r="AS60" i="5"/>
  <c r="AG60" i="5"/>
  <c r="AC60" i="5"/>
  <c r="AC126" i="5" s="1"/>
  <c r="AC140" i="5" s="1"/>
  <c r="Y77" i="4" s="1"/>
  <c r="K148" i="5"/>
  <c r="K147" i="5"/>
  <c r="Z5" i="5"/>
  <c r="AK5" i="5"/>
  <c r="AP6" i="5"/>
  <c r="AH6" i="5"/>
  <c r="Z6" i="5"/>
  <c r="AM6" i="5"/>
  <c r="AM124" i="5" s="1"/>
  <c r="AE6" i="5"/>
  <c r="W6" i="5"/>
  <c r="AG6" i="5"/>
  <c r="AR6" i="5"/>
  <c r="AH9" i="5"/>
  <c r="T125" i="5"/>
  <c r="T139" i="5" s="1"/>
  <c r="P76" i="4" s="1"/>
  <c r="AN60" i="5"/>
  <c r="AN126" i="5" s="1"/>
  <c r="AN140" i="5" s="1"/>
  <c r="AJ77" i="4" s="1"/>
  <c r="AS80" i="5"/>
  <c r="AK80" i="5"/>
  <c r="AC80" i="5"/>
  <c r="U80" i="5"/>
  <c r="AP80" i="5"/>
  <c r="AG80" i="5"/>
  <c r="X80" i="5"/>
  <c r="AO80" i="5"/>
  <c r="AE80" i="5"/>
  <c r="T80" i="5"/>
  <c r="AR80" i="5"/>
  <c r="AH80" i="5"/>
  <c r="W80" i="5"/>
  <c r="AM80" i="5"/>
  <c r="Z80" i="5"/>
  <c r="AL80" i="5"/>
  <c r="Y80" i="5"/>
  <c r="AJ80" i="5"/>
  <c r="V80" i="5"/>
  <c r="AF80" i="5"/>
  <c r="AD80" i="5"/>
  <c r="AA80" i="5"/>
  <c r="AT80" i="5"/>
  <c r="S80" i="5"/>
  <c r="AQ80" i="5"/>
  <c r="R80" i="5"/>
  <c r="AN80" i="5"/>
  <c r="Q80" i="5"/>
  <c r="U138" i="5"/>
  <c r="O118" i="5"/>
  <c r="Y576" i="4"/>
  <c r="AB5" i="5"/>
  <c r="AL5" i="5"/>
  <c r="X6" i="5"/>
  <c r="AI6" i="5"/>
  <c r="AS6" i="5"/>
  <c r="AS124" i="5" s="1"/>
  <c r="S124" i="5"/>
  <c r="AI9" i="5"/>
  <c r="W127" i="5"/>
  <c r="W141" i="5" s="1"/>
  <c r="S78" i="4" s="1"/>
  <c r="AL12" i="5"/>
  <c r="AM13" i="5"/>
  <c r="AR60" i="5"/>
  <c r="AB80" i="5"/>
  <c r="AT32" i="5"/>
  <c r="AL32" i="5"/>
  <c r="AD32" i="5"/>
  <c r="AN32" i="5"/>
  <c r="AE32" i="5"/>
  <c r="AJ32" i="5"/>
  <c r="AM33" i="5"/>
  <c r="AE33" i="5"/>
  <c r="AN33" i="5"/>
  <c r="AN125" i="5" s="1"/>
  <c r="AN139" i="5" s="1"/>
  <c r="AJ76" i="4" s="1"/>
  <c r="AS33" i="5"/>
  <c r="AI33" i="5"/>
  <c r="AG33" i="5"/>
  <c r="AR33" i="5"/>
  <c r="V128" i="5"/>
  <c r="V142" i="5" s="1"/>
  <c r="R79" i="4" s="1"/>
  <c r="R30" i="4" s="1"/>
  <c r="R26" i="4" s="1"/>
  <c r="S126" i="5"/>
  <c r="S140" i="5" s="1"/>
  <c r="O77" i="4" s="1"/>
  <c r="AI63" i="5"/>
  <c r="R127" i="5"/>
  <c r="AM68" i="5"/>
  <c r="AE68" i="5"/>
  <c r="AR68" i="5"/>
  <c r="AI68" i="5"/>
  <c r="AI127" i="5" s="1"/>
  <c r="AI141" i="5" s="1"/>
  <c r="AE78" i="4" s="1"/>
  <c r="Z68" i="5"/>
  <c r="Z127" i="5" s="1"/>
  <c r="Z141" i="5" s="1"/>
  <c r="V78" i="4" s="1"/>
  <c r="AT68" i="5"/>
  <c r="AK68" i="5"/>
  <c r="AB68" i="5"/>
  <c r="AB127" i="5" s="1"/>
  <c r="AB141" i="5" s="1"/>
  <c r="X78" i="4" s="1"/>
  <c r="AN68" i="5"/>
  <c r="AA68" i="5"/>
  <c r="AA127" i="5" s="1"/>
  <c r="AA141" i="5" s="1"/>
  <c r="W78" i="4" s="1"/>
  <c r="AJ68" i="5"/>
  <c r="AP68" i="5"/>
  <c r="AP127" i="5" s="1"/>
  <c r="AP141" i="5" s="1"/>
  <c r="AL78" i="4" s="1"/>
  <c r="AM89" i="5"/>
  <c r="AJ91" i="5"/>
  <c r="AS11" i="5"/>
  <c r="AK11" i="5"/>
  <c r="AC11" i="5"/>
  <c r="AE11" i="5"/>
  <c r="AN11" i="5"/>
  <c r="AD125" i="5"/>
  <c r="AD139" i="5" s="1"/>
  <c r="Z76" i="4" s="1"/>
  <c r="AP22" i="5"/>
  <c r="AH22" i="5"/>
  <c r="Z22" i="5"/>
  <c r="AL22" i="5"/>
  <c r="AC22" i="5"/>
  <c r="AF22" i="5"/>
  <c r="AQ22" i="5"/>
  <c r="AN24" i="5"/>
  <c r="AN128" i="5" s="1"/>
  <c r="AN142" i="5" s="1"/>
  <c r="AJ79" i="4" s="1"/>
  <c r="AJ30" i="4" s="1"/>
  <c r="AJ26" i="4" s="1"/>
  <c r="AF24" i="5"/>
  <c r="X24" i="5"/>
  <c r="AQ24" i="5"/>
  <c r="AQ128" i="5" s="1"/>
  <c r="AQ142" i="5" s="1"/>
  <c r="AM79" i="4" s="1"/>
  <c r="AM30" i="4" s="1"/>
  <c r="AM26" i="4" s="1"/>
  <c r="AH24" i="5"/>
  <c r="AH128" i="5" s="1"/>
  <c r="AH142" i="5" s="1"/>
  <c r="AD79" i="4" s="1"/>
  <c r="AD30" i="4" s="1"/>
  <c r="AD26" i="4" s="1"/>
  <c r="Y24" i="5"/>
  <c r="AG24" i="5"/>
  <c r="AR24" i="5"/>
  <c r="AQ31" i="5"/>
  <c r="AI31" i="5"/>
  <c r="AA31" i="5"/>
  <c r="AA125" i="5" s="1"/>
  <c r="AA139" i="5" s="1"/>
  <c r="W76" i="4" s="1"/>
  <c r="AP31" i="5"/>
  <c r="AG31" i="5"/>
  <c r="X31" i="5"/>
  <c r="AB31" i="5"/>
  <c r="AL31" i="5"/>
  <c r="AA32" i="5"/>
  <c r="AK32" i="5"/>
  <c r="AH33" i="5"/>
  <c r="AT33" i="5"/>
  <c r="AM91" i="5"/>
  <c r="AE120" i="5"/>
  <c r="M147" i="5"/>
  <c r="M148" i="5"/>
  <c r="AB32" i="5"/>
  <c r="AM32" i="5"/>
  <c r="AJ33" i="5"/>
  <c r="AS54" i="5"/>
  <c r="AS128" i="5" s="1"/>
  <c r="AS142" i="5" s="1"/>
  <c r="AO79" i="4" s="1"/>
  <c r="AO30" i="4" s="1"/>
  <c r="AO26" i="4" s="1"/>
  <c r="AT54" i="5"/>
  <c r="AS63" i="5"/>
  <c r="AK63" i="5"/>
  <c r="AK126" i="5" s="1"/>
  <c r="AK140" i="5" s="1"/>
  <c r="AG77" i="4" s="1"/>
  <c r="AC63" i="5"/>
  <c r="AM63" i="5"/>
  <c r="AD63" i="5"/>
  <c r="AR63" i="5"/>
  <c r="AH63" i="5"/>
  <c r="AP63" i="5"/>
  <c r="AF63" i="5"/>
  <c r="AL63" i="5"/>
  <c r="M121" i="5"/>
  <c r="I74" i="4" s="1"/>
  <c r="I20" i="4" s="1"/>
  <c r="I22" i="4" s="1"/>
  <c r="AD7" i="5"/>
  <c r="AL7" i="5"/>
  <c r="AT7" i="5"/>
  <c r="AT124" i="5" s="1"/>
  <c r="AT127" i="5"/>
  <c r="AT141" i="5" s="1"/>
  <c r="AP78" i="4" s="1"/>
  <c r="AE127" i="5"/>
  <c r="AE141" i="5" s="1"/>
  <c r="AA78" i="4" s="1"/>
  <c r="AN127" i="5"/>
  <c r="AN141" i="5" s="1"/>
  <c r="AJ78" i="4" s="1"/>
  <c r="X11" i="5"/>
  <c r="AG11" i="5"/>
  <c r="AP11" i="5"/>
  <c r="AP14" i="5"/>
  <c r="AH14" i="5"/>
  <c r="AH125" i="5" s="1"/>
  <c r="AH139" i="5" s="1"/>
  <c r="AD76" i="4" s="1"/>
  <c r="Z14" i="5"/>
  <c r="Z125" i="5" s="1"/>
  <c r="Z139" i="5" s="1"/>
  <c r="V76" i="4" s="1"/>
  <c r="AL14" i="5"/>
  <c r="AC14" i="5"/>
  <c r="AF14" i="5"/>
  <c r="AQ14" i="5"/>
  <c r="AN16" i="5"/>
  <c r="AF16" i="5"/>
  <c r="X16" i="5"/>
  <c r="AQ16" i="5"/>
  <c r="AH16" i="5"/>
  <c r="Y16" i="5"/>
  <c r="AG16" i="5"/>
  <c r="AR16" i="5"/>
  <c r="AR20" i="5"/>
  <c r="AJ20" i="5"/>
  <c r="AB20" i="5"/>
  <c r="AP20" i="5"/>
  <c r="AG20" i="5"/>
  <c r="X20" i="5"/>
  <c r="AF20" i="5"/>
  <c r="AQ20" i="5"/>
  <c r="X22" i="5"/>
  <c r="X125" i="5" s="1"/>
  <c r="X139" i="5" s="1"/>
  <c r="T76" i="4" s="1"/>
  <c r="AI22" i="5"/>
  <c r="AI125" i="5" s="1"/>
  <c r="AI139" i="5" s="1"/>
  <c r="AE76" i="4" s="1"/>
  <c r="AS22" i="5"/>
  <c r="AS125" i="5" s="1"/>
  <c r="AS139" i="5" s="1"/>
  <c r="AO76" i="4" s="1"/>
  <c r="Z24" i="5"/>
  <c r="Z128" i="5" s="1"/>
  <c r="Z142" i="5" s="1"/>
  <c r="V79" i="4" s="1"/>
  <c r="V30" i="4" s="1"/>
  <c r="V26" i="4" s="1"/>
  <c r="AJ24" i="5"/>
  <c r="AT24" i="5"/>
  <c r="AM27" i="5"/>
  <c r="AE27" i="5"/>
  <c r="W27" i="5"/>
  <c r="W125" i="5" s="1"/>
  <c r="W139" i="5" s="1"/>
  <c r="S76" i="4" s="1"/>
  <c r="AL27" i="5"/>
  <c r="AC27" i="5"/>
  <c r="AA27" i="5"/>
  <c r="AK27" i="5"/>
  <c r="AD31" i="5"/>
  <c r="AN31" i="5"/>
  <c r="AC32" i="5"/>
  <c r="AO32" i="5"/>
  <c r="AK33" i="5"/>
  <c r="AP51" i="5"/>
  <c r="AP128" i="5" s="1"/>
  <c r="AP142" i="5" s="1"/>
  <c r="AL79" i="4" s="1"/>
  <c r="AL30" i="4" s="1"/>
  <c r="AL26" i="4" s="1"/>
  <c r="AH51" i="5"/>
  <c r="Z51" i="5"/>
  <c r="AL51" i="5"/>
  <c r="AL128" i="5" s="1"/>
  <c r="AL142" i="5" s="1"/>
  <c r="AH79" i="4" s="1"/>
  <c r="AH30" i="4" s="1"/>
  <c r="AH26" i="4" s="1"/>
  <c r="AC51" i="5"/>
  <c r="AN51" i="5"/>
  <c r="AD51" i="5"/>
  <c r="AD128" i="5" s="1"/>
  <c r="AD142" i="5" s="1"/>
  <c r="Z79" i="4" s="1"/>
  <c r="Z30" i="4" s="1"/>
  <c r="Z26" i="4" s="1"/>
  <c r="AK51" i="5"/>
  <c r="AK128" i="5" s="1"/>
  <c r="AK142" i="5" s="1"/>
  <c r="AG79" i="4" s="1"/>
  <c r="AG30" i="4" s="1"/>
  <c r="AG26" i="4" s="1"/>
  <c r="AA51" i="5"/>
  <c r="AA128" i="5" s="1"/>
  <c r="AA142" i="5" s="1"/>
  <c r="W79" i="4" s="1"/>
  <c r="W30" i="4" s="1"/>
  <c r="W26" i="4" s="1"/>
  <c r="X51" i="5"/>
  <c r="AM51" i="5"/>
  <c r="U127" i="5"/>
  <c r="V127" i="5"/>
  <c r="AT74" i="5"/>
  <c r="AQ89" i="5"/>
  <c r="AI89" i="5"/>
  <c r="AS89" i="5"/>
  <c r="AJ89" i="5"/>
  <c r="AR89" i="5"/>
  <c r="AL89" i="5"/>
  <c r="AK89" i="5"/>
  <c r="AP89" i="5"/>
  <c r="AO89" i="5"/>
  <c r="AN89" i="5"/>
  <c r="AS91" i="5"/>
  <c r="AK91" i="5"/>
  <c r="AC91" i="5"/>
  <c r="AQ91" i="5"/>
  <c r="AH91" i="5"/>
  <c r="Y91" i="5"/>
  <c r="AL91" i="5"/>
  <c r="AA91" i="5"/>
  <c r="AO91" i="5"/>
  <c r="AE91" i="5"/>
  <c r="AN91" i="5"/>
  <c r="AD91" i="5"/>
  <c r="AF91" i="5"/>
  <c r="AT91" i="5"/>
  <c r="AB91" i="5"/>
  <c r="AR91" i="5"/>
  <c r="Z91" i="5"/>
  <c r="O117" i="5"/>
  <c r="O116" i="5"/>
  <c r="P133" i="5"/>
  <c r="P139" i="5"/>
  <c r="Y7" i="5"/>
  <c r="Y124" i="5" s="1"/>
  <c r="AG7" i="5"/>
  <c r="R124" i="5"/>
  <c r="Y127" i="5"/>
  <c r="Y141" i="5" s="1"/>
  <c r="U78" i="4" s="1"/>
  <c r="AA11" i="5"/>
  <c r="AJ11" i="5"/>
  <c r="AT11" i="5"/>
  <c r="Y14" i="5"/>
  <c r="AJ14" i="5"/>
  <c r="AT14" i="5"/>
  <c r="AA16" i="5"/>
  <c r="AK16" i="5"/>
  <c r="AM17" i="5"/>
  <c r="AE17" i="5"/>
  <c r="W17" i="5"/>
  <c r="AS17" i="5"/>
  <c r="AJ17" i="5"/>
  <c r="AA17" i="5"/>
  <c r="AG17" i="5"/>
  <c r="AQ17" i="5"/>
  <c r="Z20" i="5"/>
  <c r="AK20" i="5"/>
  <c r="AQ21" i="5"/>
  <c r="AI21" i="5"/>
  <c r="AA21" i="5"/>
  <c r="AS21" i="5"/>
  <c r="AJ21" i="5"/>
  <c r="Z21" i="5"/>
  <c r="AF21" i="5"/>
  <c r="AP21" i="5"/>
  <c r="AB22" i="5"/>
  <c r="AB125" i="5" s="1"/>
  <c r="AB139" i="5" s="1"/>
  <c r="X76" i="4" s="1"/>
  <c r="AM22" i="5"/>
  <c r="AM125" i="5" s="1"/>
  <c r="AM139" i="5" s="1"/>
  <c r="AI76" i="4" s="1"/>
  <c r="AC24" i="5"/>
  <c r="AC128" i="5" s="1"/>
  <c r="AC142" i="5" s="1"/>
  <c r="Y79" i="4" s="1"/>
  <c r="Y30" i="4" s="1"/>
  <c r="Y26" i="4" s="1"/>
  <c r="AM24" i="5"/>
  <c r="S125" i="5"/>
  <c r="S139" i="5" s="1"/>
  <c r="O76" i="4" s="1"/>
  <c r="AF27" i="5"/>
  <c r="AP27" i="5"/>
  <c r="AS29" i="5"/>
  <c r="AK29" i="5"/>
  <c r="AN29" i="5"/>
  <c r="AE29" i="5"/>
  <c r="AI29" i="5"/>
  <c r="AT29" i="5"/>
  <c r="W31" i="5"/>
  <c r="AH31" i="5"/>
  <c r="AS31" i="5"/>
  <c r="AH32" i="5"/>
  <c r="AR32" i="5"/>
  <c r="AR125" i="5" s="1"/>
  <c r="AR139" i="5" s="1"/>
  <c r="AN76" i="4" s="1"/>
  <c r="AD33" i="5"/>
  <c r="AP33" i="5"/>
  <c r="T128" i="5"/>
  <c r="T142" i="5" s="1"/>
  <c r="P79" i="4" s="1"/>
  <c r="P30" i="4" s="1"/>
  <c r="P26" i="4" s="1"/>
  <c r="AE51" i="5"/>
  <c r="AE128" i="5" s="1"/>
  <c r="AE142" i="5" s="1"/>
  <c r="AA79" i="4" s="1"/>
  <c r="AA30" i="4" s="1"/>
  <c r="AA26" i="4" s="1"/>
  <c r="AR51" i="5"/>
  <c r="AR54" i="5"/>
  <c r="Q126" i="5"/>
  <c r="Q140" i="5" s="1"/>
  <c r="M77" i="4" s="1"/>
  <c r="M46" i="4" s="1"/>
  <c r="M32" i="4" s="1"/>
  <c r="AE63" i="5"/>
  <c r="AT63" i="5"/>
  <c r="AL68" i="5"/>
  <c r="AQ71" i="5"/>
  <c r="AQ127" i="5" s="1"/>
  <c r="AQ141" i="5" s="1"/>
  <c r="AM78" i="4" s="1"/>
  <c r="AI71" i="5"/>
  <c r="AT71" i="5"/>
  <c r="AK71" i="5"/>
  <c r="AK127" i="5" s="1"/>
  <c r="AK141" i="5" s="1"/>
  <c r="AG78" i="4" s="1"/>
  <c r="AM71" i="5"/>
  <c r="AO71" i="5"/>
  <c r="AL71" i="5"/>
  <c r="AG91" i="5"/>
  <c r="AO15" i="5"/>
  <c r="AO125" i="5" s="1"/>
  <c r="AO139" i="5" s="1"/>
  <c r="AK76" i="4" s="1"/>
  <c r="AG15" i="5"/>
  <c r="Y15" i="5"/>
  <c r="AE15" i="5"/>
  <c r="AE125" i="5" s="1"/>
  <c r="AE139" i="5" s="1"/>
  <c r="AA76" i="4" s="1"/>
  <c r="AN15" i="5"/>
  <c r="AS19" i="5"/>
  <c r="AK19" i="5"/>
  <c r="AC19" i="5"/>
  <c r="AE19" i="5"/>
  <c r="AN19" i="5"/>
  <c r="AO23" i="5"/>
  <c r="AG23" i="5"/>
  <c r="Y23" i="5"/>
  <c r="AE23" i="5"/>
  <c r="AN23" i="5"/>
  <c r="R125" i="5"/>
  <c r="R139" i="5" s="1"/>
  <c r="N76" i="4" s="1"/>
  <c r="S128" i="5"/>
  <c r="S142" i="5" s="1"/>
  <c r="O79" i="4" s="1"/>
  <c r="O30" i="4" s="1"/>
  <c r="O26" i="4" s="1"/>
  <c r="AD53" i="5"/>
  <c r="R126" i="5"/>
  <c r="R140" i="5" s="1"/>
  <c r="N77" i="4" s="1"/>
  <c r="AF62" i="5"/>
  <c r="W66" i="5"/>
  <c r="AG66" i="5"/>
  <c r="X67" i="5"/>
  <c r="X127" i="5" s="1"/>
  <c r="X141" i="5" s="1"/>
  <c r="T78" i="4" s="1"/>
  <c r="AH67" i="5"/>
  <c r="AH127" i="5" s="1"/>
  <c r="AH141" i="5" s="1"/>
  <c r="AD78" i="4" s="1"/>
  <c r="Y75" i="5"/>
  <c r="AA86" i="5"/>
  <c r="AB87" i="5"/>
  <c r="N120" i="5"/>
  <c r="V120" i="5"/>
  <c r="AD120" i="5"/>
  <c r="AL120" i="5"/>
  <c r="O147" i="5"/>
  <c r="AT86" i="5"/>
  <c r="AL86" i="5"/>
  <c r="AD86" i="5"/>
  <c r="AN86" i="5"/>
  <c r="AE86" i="5"/>
  <c r="AP86" i="5"/>
  <c r="AP124" i="5" s="1"/>
  <c r="AF86" i="5"/>
  <c r="AS86" i="5"/>
  <c r="AI86" i="5"/>
  <c r="Y86" i="5"/>
  <c r="AR86" i="5"/>
  <c r="AH86" i="5"/>
  <c r="AH124" i="5" s="1"/>
  <c r="X86" i="5"/>
  <c r="AB86" i="5"/>
  <c r="AO87" i="5"/>
  <c r="AG87" i="5"/>
  <c r="Y87" i="5"/>
  <c r="AL87" i="5"/>
  <c r="AC87" i="5"/>
  <c r="AQ87" i="5"/>
  <c r="AF87" i="5"/>
  <c r="AT87" i="5"/>
  <c r="AJ87" i="5"/>
  <c r="Z87" i="5"/>
  <c r="AS87" i="5"/>
  <c r="AI87" i="5"/>
  <c r="X87" i="5"/>
  <c r="AD87" i="5"/>
  <c r="O120" i="5"/>
  <c r="W120" i="5"/>
  <c r="K117" i="5"/>
  <c r="K116" i="5"/>
  <c r="K118" i="5" s="1"/>
  <c r="K121" i="5" s="1"/>
  <c r="G74" i="4" s="1"/>
  <c r="G20" i="4" s="1"/>
  <c r="G22" i="4" s="1"/>
  <c r="U128" i="5"/>
  <c r="U142" i="5" s="1"/>
  <c r="Q79" i="4" s="1"/>
  <c r="Q30" i="4" s="1"/>
  <c r="Q26" i="4" s="1"/>
  <c r="AR53" i="5"/>
  <c r="AJ53" i="5"/>
  <c r="AT53" i="5"/>
  <c r="AK53" i="5"/>
  <c r="AF53" i="5"/>
  <c r="AP53" i="5"/>
  <c r="T126" i="5"/>
  <c r="T140" i="5" s="1"/>
  <c r="P77" i="4" s="1"/>
  <c r="AQ62" i="5"/>
  <c r="AI62" i="5"/>
  <c r="AA62" i="5"/>
  <c r="AP62" i="5"/>
  <c r="AG62" i="5"/>
  <c r="AJ62" i="5"/>
  <c r="AT62" i="5"/>
  <c r="AQ66" i="5"/>
  <c r="AI66" i="5"/>
  <c r="AA66" i="5"/>
  <c r="AS66" i="5"/>
  <c r="AJ66" i="5"/>
  <c r="Z66" i="5"/>
  <c r="Z126" i="5" s="1"/>
  <c r="Z140" i="5" s="1"/>
  <c r="V77" i="4" s="1"/>
  <c r="Y66" i="5"/>
  <c r="AK66" i="5"/>
  <c r="AS67" i="5"/>
  <c r="AS127" i="5" s="1"/>
  <c r="AS141" i="5" s="1"/>
  <c r="AO78" i="4" s="1"/>
  <c r="AK67" i="5"/>
  <c r="AC67" i="5"/>
  <c r="AM67" i="5"/>
  <c r="AM127" i="5" s="1"/>
  <c r="AM141" i="5" s="1"/>
  <c r="AI78" i="4" s="1"/>
  <c r="AO67" i="5"/>
  <c r="AO127" i="5" s="1"/>
  <c r="AO141" i="5" s="1"/>
  <c r="AK78" i="4" s="1"/>
  <c r="AF67" i="5"/>
  <c r="AF127" i="5" s="1"/>
  <c r="AF141" i="5" s="1"/>
  <c r="AB78" i="4" s="1"/>
  <c r="W67" i="5"/>
  <c r="Z67" i="5"/>
  <c r="AJ67" i="5"/>
  <c r="AJ127" i="5" s="1"/>
  <c r="AJ141" i="5" s="1"/>
  <c r="AF78" i="4" s="1"/>
  <c r="AS75" i="5"/>
  <c r="AK75" i="5"/>
  <c r="AC75" i="5"/>
  <c r="U75" i="5"/>
  <c r="I76" i="5"/>
  <c r="AM75" i="5"/>
  <c r="AD75" i="5"/>
  <c r="T75" i="5"/>
  <c r="AO75" i="5"/>
  <c r="AF75" i="5"/>
  <c r="W75" i="5"/>
  <c r="AA75" i="5"/>
  <c r="AN75" i="5"/>
  <c r="AC86" i="5"/>
  <c r="AE87" i="5"/>
  <c r="AN92" i="5"/>
  <c r="AT92" i="5"/>
  <c r="AP92" i="5"/>
  <c r="AS92" i="5"/>
  <c r="AR92" i="5"/>
  <c r="AO92" i="5"/>
  <c r="AF120" i="5"/>
  <c r="L121" i="5"/>
  <c r="H74" i="4" s="1"/>
  <c r="H20" i="4" s="1"/>
  <c r="S143" i="5"/>
  <c r="AA143" i="5"/>
  <c r="AI143" i="5"/>
  <c r="AQ143" i="5"/>
  <c r="AO50" i="5"/>
  <c r="AO128" i="5" s="1"/>
  <c r="AO142" i="5" s="1"/>
  <c r="AK79" i="4" s="1"/>
  <c r="AK30" i="4" s="1"/>
  <c r="AK26" i="4" s="1"/>
  <c r="AG50" i="5"/>
  <c r="Y50" i="5"/>
  <c r="X50" i="5"/>
  <c r="AH50" i="5"/>
  <c r="AQ50" i="5"/>
  <c r="AQ52" i="5"/>
  <c r="AI52" i="5"/>
  <c r="AI128" i="5" s="1"/>
  <c r="AI142" i="5" s="1"/>
  <c r="AE79" i="4" s="1"/>
  <c r="AE30" i="4" s="1"/>
  <c r="AE26" i="4" s="1"/>
  <c r="AA52" i="5"/>
  <c r="AG52" i="5"/>
  <c r="AP52" i="5"/>
  <c r="AS55" i="5"/>
  <c r="AK55" i="5"/>
  <c r="AC55" i="5"/>
  <c r="U55" i="5"/>
  <c r="Y55" i="5"/>
  <c r="AH55" i="5"/>
  <c r="AQ55" i="5"/>
  <c r="U126" i="5"/>
  <c r="U140" i="5" s="1"/>
  <c r="Q77" i="4" s="1"/>
  <c r="R74" i="5"/>
  <c r="AA74" i="5"/>
  <c r="AJ74" i="5"/>
  <c r="V124" i="5"/>
  <c r="AR90" i="5"/>
  <c r="AJ90" i="5"/>
  <c r="AM90" i="5"/>
  <c r="AP90" i="5"/>
  <c r="X120" i="5"/>
  <c r="N138" i="5"/>
  <c r="N133" i="5"/>
  <c r="K133" i="5"/>
  <c r="O149" i="5"/>
  <c r="N117" i="5"/>
  <c r="N118" i="5" s="1"/>
  <c r="N121" i="5" s="1"/>
  <c r="J74" i="4" s="1"/>
  <c r="P149" i="5"/>
  <c r="U21" i="7"/>
  <c r="U44" i="7"/>
  <c r="AS74" i="5"/>
  <c r="AK74" i="5"/>
  <c r="AC74" i="5"/>
  <c r="U74" i="5"/>
  <c r="Y74" i="5"/>
  <c r="AH74" i="5"/>
  <c r="AQ74" i="5"/>
  <c r="P118" i="5"/>
  <c r="P121" i="5" s="1"/>
  <c r="L74" i="4" s="1"/>
  <c r="AP88" i="5"/>
  <c r="AH88" i="5"/>
  <c r="AF88" i="5"/>
  <c r="AO88" i="5"/>
  <c r="N149" i="5"/>
  <c r="V143" i="5"/>
  <c r="AD143" i="5"/>
  <c r="AL143" i="5"/>
  <c r="AT143" i="5"/>
  <c r="L138" i="5"/>
  <c r="V66" i="7"/>
  <c r="AB41" i="7"/>
  <c r="AR41" i="7"/>
  <c r="AL66" i="7"/>
  <c r="W143" i="5"/>
  <c r="AE143" i="5"/>
  <c r="O148" i="5"/>
  <c r="P66" i="10"/>
  <c r="P67" i="10" s="1"/>
  <c r="P72" i="10" s="1"/>
  <c r="P73" i="10" s="1"/>
  <c r="AD10" i="5"/>
  <c r="AD127" i="5" s="1"/>
  <c r="AD141" i="5" s="1"/>
  <c r="Z78" i="4" s="1"/>
  <c r="AL10" i="5"/>
  <c r="AL127" i="5" s="1"/>
  <c r="AL141" i="5" s="1"/>
  <c r="AH78" i="4" s="1"/>
  <c r="AD18" i="5"/>
  <c r="AL18" i="5"/>
  <c r="AH28" i="5"/>
  <c r="Y61" i="5"/>
  <c r="AG61" i="5"/>
  <c r="Y65" i="5"/>
  <c r="AG65" i="5"/>
  <c r="T127" i="5"/>
  <c r="AG69" i="5"/>
  <c r="AG127" i="5" s="1"/>
  <c r="AG141" i="5" s="1"/>
  <c r="AC78" i="4" s="1"/>
  <c r="AN93" i="5"/>
  <c r="O133" i="5"/>
  <c r="AF143" i="5"/>
  <c r="AN143" i="5"/>
  <c r="T11" i="10"/>
  <c r="I11" i="10"/>
  <c r="V60" i="10"/>
  <c r="AJ41" i="7"/>
  <c r="AZ41" i="7"/>
  <c r="M149" i="5"/>
  <c r="U143" i="5"/>
  <c r="AS143" i="5"/>
  <c r="AM143" i="5"/>
  <c r="AF41" i="7"/>
  <c r="Z66" i="7"/>
  <c r="V64" i="10"/>
  <c r="K62" i="12"/>
  <c r="K8" i="12"/>
  <c r="M133" i="5"/>
  <c r="S13" i="7"/>
  <c r="Y41" i="7"/>
  <c r="S66" i="7"/>
  <c r="AI66" i="7"/>
  <c r="AO41" i="7"/>
  <c r="AH66" i="7"/>
  <c r="V23" i="10"/>
  <c r="H66" i="10"/>
  <c r="H67" i="10" s="1"/>
  <c r="H72" i="10" s="1"/>
  <c r="H73" i="10" s="1"/>
  <c r="T70" i="10"/>
  <c r="T71" i="10" s="1"/>
  <c r="V71" i="10" s="1"/>
  <c r="V69" i="10"/>
  <c r="AV66" i="7"/>
  <c r="BB41" i="7"/>
  <c r="Q66" i="10"/>
  <c r="I60" i="10"/>
  <c r="I66" i="10" s="1"/>
  <c r="I67" i="10" s="1"/>
  <c r="I72" i="10" s="1"/>
  <c r="I73" i="10" s="1"/>
  <c r="Z41" i="7"/>
  <c r="T66" i="7"/>
  <c r="R11" i="10"/>
  <c r="F67" i="10"/>
  <c r="F72" i="10" s="1"/>
  <c r="F73" i="10" s="1"/>
  <c r="N11" i="10"/>
  <c r="P11" i="10"/>
  <c r="K11" i="10"/>
  <c r="S11" i="10"/>
  <c r="H11" i="10"/>
  <c r="P60" i="10"/>
  <c r="E8" i="12"/>
  <c r="G62" i="12"/>
  <c r="J63" i="12" s="1"/>
  <c r="J36" i="10"/>
  <c r="V37" i="10"/>
  <c r="V53" i="10"/>
  <c r="AC66" i="7"/>
  <c r="AI41" i="7"/>
  <c r="AQ41" i="7"/>
  <c r="Q67" i="10"/>
  <c r="Q72" i="10" s="1"/>
  <c r="Q73" i="10" s="1"/>
  <c r="Q11" i="10"/>
  <c r="U66" i="10"/>
  <c r="V24" i="10"/>
  <c r="E66" i="10"/>
  <c r="C60" i="10"/>
  <c r="V59" i="10"/>
  <c r="D62" i="12"/>
  <c r="F30" i="12"/>
  <c r="V14" i="10"/>
  <c r="J66" i="10"/>
  <c r="J67" i="10" s="1"/>
  <c r="J72" i="10" s="1"/>
  <c r="J73" i="10" s="1"/>
  <c r="V17" i="10"/>
  <c r="G21" i="10"/>
  <c r="G66" i="10" s="1"/>
  <c r="V19" i="10"/>
  <c r="K25" i="10"/>
  <c r="S25" i="10"/>
  <c r="S66" i="10" s="1"/>
  <c r="S67" i="10" s="1"/>
  <c r="S72" i="10" s="1"/>
  <c r="S73" i="10" s="1"/>
  <c r="V26" i="10"/>
  <c r="V38" i="10"/>
  <c r="V47" i="10"/>
  <c r="K66" i="10"/>
  <c r="K67" i="10" s="1"/>
  <c r="K72" i="10" s="1"/>
  <c r="K73" i="10" s="1"/>
  <c r="F21" i="10"/>
  <c r="F66" i="10" s="1"/>
  <c r="N21" i="10"/>
  <c r="N66" i="10" s="1"/>
  <c r="N67" i="10" s="1"/>
  <c r="N72" i="10" s="1"/>
  <c r="N73" i="10" s="1"/>
  <c r="V30" i="10"/>
  <c r="R36" i="10"/>
  <c r="V39" i="10"/>
  <c r="U60" i="10"/>
  <c r="V7" i="10"/>
  <c r="V10" i="10" s="1"/>
  <c r="V11" i="10" s="1"/>
  <c r="B10" i="10"/>
  <c r="J11" i="10"/>
  <c r="G67" i="10"/>
  <c r="G72" i="10" s="1"/>
  <c r="G73" i="10" s="1"/>
  <c r="G11" i="10"/>
  <c r="D66" i="10"/>
  <c r="D67" i="10" s="1"/>
  <c r="D72" i="10" s="1"/>
  <c r="D73" i="10" s="1"/>
  <c r="L66" i="10"/>
  <c r="L67" i="10" s="1"/>
  <c r="L72" i="10" s="1"/>
  <c r="L73" i="10" s="1"/>
  <c r="T66" i="10"/>
  <c r="T67" i="10" s="1"/>
  <c r="T72" i="10" s="1"/>
  <c r="T73" i="10" s="1"/>
  <c r="M66" i="10"/>
  <c r="V32" i="10"/>
  <c r="C36" i="10"/>
  <c r="C66" i="10" s="1"/>
  <c r="C67" i="10" s="1"/>
  <c r="C72" i="10" s="1"/>
  <c r="C73" i="10" s="1"/>
  <c r="S36" i="10"/>
  <c r="V42" i="10"/>
  <c r="B44" i="10"/>
  <c r="V63" i="10"/>
  <c r="C44" i="10"/>
  <c r="K44" i="10"/>
  <c r="S44" i="10"/>
  <c r="V55" i="10"/>
  <c r="B25" i="10"/>
  <c r="V25" i="10" s="1"/>
  <c r="J25" i="10"/>
  <c r="R25" i="10"/>
  <c r="E10" i="10"/>
  <c r="M10" i="10"/>
  <c r="U10" i="10"/>
  <c r="V29" i="10"/>
  <c r="V34" i="10"/>
  <c r="B36" i="10"/>
  <c r="V36" i="10" s="1"/>
  <c r="V45" i="10"/>
  <c r="K43" i="12"/>
  <c r="B21" i="10"/>
  <c r="V16" i="10"/>
  <c r="J21" i="10"/>
  <c r="R21" i="10"/>
  <c r="R66" i="10" s="1"/>
  <c r="R67" i="10" s="1"/>
  <c r="R72" i="10" s="1"/>
  <c r="R73" i="10" s="1"/>
  <c r="O60" i="10"/>
  <c r="O66" i="10" s="1"/>
  <c r="O67" i="10" s="1"/>
  <c r="O72" i="10" s="1"/>
  <c r="O73" i="10" s="1"/>
  <c r="V70" i="10"/>
  <c r="E62" i="12"/>
  <c r="AU21" i="2" l="1"/>
  <c r="AK21" i="2"/>
  <c r="AV21" i="2"/>
  <c r="AG21" i="2"/>
  <c r="AO54" i="4"/>
  <c r="AO48" i="4" s="1"/>
  <c r="AY23" i="2" s="1"/>
  <c r="AT138" i="5"/>
  <c r="W54" i="4"/>
  <c r="W48" i="4" s="1"/>
  <c r="AG23" i="2" s="1"/>
  <c r="W138" i="5"/>
  <c r="W134" i="5"/>
  <c r="AJ138" i="5"/>
  <c r="AA48" i="4"/>
  <c r="AK23" i="2" s="1"/>
  <c r="AK32" i="4"/>
  <c r="AU22" i="2" s="1"/>
  <c r="AK54" i="4"/>
  <c r="AK48" i="4" s="1"/>
  <c r="AU23" i="2" s="1"/>
  <c r="AK46" i="4"/>
  <c r="AQ21" i="2"/>
  <c r="AE54" i="4"/>
  <c r="AE48" i="4" s="1"/>
  <c r="AO23" i="2" s="1"/>
  <c r="AB21" i="2"/>
  <c r="AM138" i="5"/>
  <c r="Y11" i="14"/>
  <c r="P221" i="4"/>
  <c r="AJ21" i="2"/>
  <c r="S54" i="4"/>
  <c r="S48" i="4" s="1"/>
  <c r="AC23" i="2" s="1"/>
  <c r="S46" i="4"/>
  <c r="T46" i="4"/>
  <c r="T54" i="4"/>
  <c r="AO421" i="4"/>
  <c r="AP461" i="4"/>
  <c r="AO454" i="4"/>
  <c r="AO186" i="4"/>
  <c r="AI21" i="2"/>
  <c r="Y138" i="5"/>
  <c r="AC138" i="5"/>
  <c r="AP138" i="5"/>
  <c r="AN54" i="4"/>
  <c r="AN48" i="4" s="1"/>
  <c r="AX23" i="2" s="1"/>
  <c r="AG54" i="4"/>
  <c r="AG48" i="4" s="1"/>
  <c r="AQ23" i="2" s="1"/>
  <c r="AG46" i="4"/>
  <c r="AG32" i="4" s="1"/>
  <c r="AI54" i="4"/>
  <c r="AI48" i="4" s="1"/>
  <c r="AS23" i="2" s="1"/>
  <c r="X54" i="4"/>
  <c r="X48" i="4" s="1"/>
  <c r="AH23" i="2" s="1"/>
  <c r="X46" i="4"/>
  <c r="AR21" i="2"/>
  <c r="AH138" i="5"/>
  <c r="AA54" i="4"/>
  <c r="AN21" i="2"/>
  <c r="AJ54" i="4"/>
  <c r="AJ46" i="4"/>
  <c r="AJ32" i="4" s="1"/>
  <c r="AT22" i="2" s="1"/>
  <c r="AS138" i="5"/>
  <c r="AH21" i="2"/>
  <c r="AO21" i="2"/>
  <c r="AY21" i="2"/>
  <c r="AO138" i="5"/>
  <c r="AO134" i="5"/>
  <c r="M297" i="4"/>
  <c r="V291" i="4"/>
  <c r="M273" i="4"/>
  <c r="M181" i="4"/>
  <c r="M67" i="10"/>
  <c r="M72" i="10" s="1"/>
  <c r="M73" i="10" s="1"/>
  <c r="M11" i="10"/>
  <c r="V21" i="10"/>
  <c r="E11" i="10"/>
  <c r="E67" i="10"/>
  <c r="E72" i="10" s="1"/>
  <c r="E73" i="10" s="1"/>
  <c r="V44" i="10"/>
  <c r="Y125" i="5"/>
  <c r="Y139" i="5" s="1"/>
  <c r="U76" i="4" s="1"/>
  <c r="AT128" i="5"/>
  <c r="AT142" i="5" s="1"/>
  <c r="AP79" i="4" s="1"/>
  <c r="AP30" i="4" s="1"/>
  <c r="AP26" i="4" s="1"/>
  <c r="AC125" i="5"/>
  <c r="AC139" i="5" s="1"/>
  <c r="Y76" i="4" s="1"/>
  <c r="Z124" i="5"/>
  <c r="AD126" i="5"/>
  <c r="AD140" i="5" s="1"/>
  <c r="Z77" i="4" s="1"/>
  <c r="AA124" i="5"/>
  <c r="Y558" i="4"/>
  <c r="Y557" i="4" s="1"/>
  <c r="Y567" i="4" s="1"/>
  <c r="Y537" i="4"/>
  <c r="AJ381" i="4"/>
  <c r="V47" i="5"/>
  <c r="V46" i="5"/>
  <c r="V45" i="5"/>
  <c r="V44" i="5"/>
  <c r="V49" i="5"/>
  <c r="V48" i="5"/>
  <c r="V43" i="5"/>
  <c r="V42" i="5"/>
  <c r="R306" i="4"/>
  <c r="AN438" i="4"/>
  <c r="F386" i="4"/>
  <c r="F390" i="4"/>
  <c r="C362" i="4"/>
  <c r="F388" i="4"/>
  <c r="E503" i="4"/>
  <c r="C486" i="4"/>
  <c r="D486" i="4" s="1"/>
  <c r="X258" i="4"/>
  <c r="AX382" i="4"/>
  <c r="AZ382" i="4"/>
  <c r="M298" i="4"/>
  <c r="M249" i="4"/>
  <c r="M250" i="4" s="1"/>
  <c r="M166" i="4" s="1"/>
  <c r="L88" i="4"/>
  <c r="L98" i="4" s="1"/>
  <c r="L108" i="4" s="1"/>
  <c r="L266" i="4"/>
  <c r="L270" i="4" s="1"/>
  <c r="R214" i="4"/>
  <c r="R154" i="4" s="1"/>
  <c r="R144" i="4"/>
  <c r="R210" i="4"/>
  <c r="S205" i="4"/>
  <c r="S206" i="4" s="1"/>
  <c r="S165" i="4" s="1"/>
  <c r="R87" i="4"/>
  <c r="Y381" i="4"/>
  <c r="X32" i="4"/>
  <c r="AH22" i="2" s="1"/>
  <c r="U80" i="2"/>
  <c r="O46" i="4"/>
  <c r="O32" i="4" s="1"/>
  <c r="Y22" i="2" s="1"/>
  <c r="O54" i="4"/>
  <c r="O48" i="4" s="1"/>
  <c r="Y23" i="2" s="1"/>
  <c r="AR128" i="5"/>
  <c r="AR142" i="5" s="1"/>
  <c r="AN79" i="4" s="1"/>
  <c r="AN30" i="4" s="1"/>
  <c r="AN26" i="4" s="1"/>
  <c r="AT126" i="5"/>
  <c r="AT140" i="5" s="1"/>
  <c r="AP77" i="4" s="1"/>
  <c r="V101" i="4"/>
  <c r="AJ444" i="4"/>
  <c r="AJ443" i="4" s="1"/>
  <c r="AJ439" i="4"/>
  <c r="AJ438" i="4" s="1"/>
  <c r="AJ433" i="4"/>
  <c r="AA576" i="4"/>
  <c r="AB524" i="4"/>
  <c r="AA542" i="4"/>
  <c r="AA525" i="4"/>
  <c r="AL455" i="4"/>
  <c r="AM462" i="4"/>
  <c r="AL94" i="4"/>
  <c r="L147" i="5"/>
  <c r="L148" i="5"/>
  <c r="H75" i="4"/>
  <c r="H70" i="4" s="1"/>
  <c r="N148" i="5"/>
  <c r="N147" i="5"/>
  <c r="J75" i="4"/>
  <c r="J70" i="4" s="1"/>
  <c r="J56" i="4" s="1"/>
  <c r="J20" i="4" s="1"/>
  <c r="J22" i="4" s="1"/>
  <c r="J23" i="4" s="1"/>
  <c r="T47" i="2" s="1"/>
  <c r="AS76" i="5"/>
  <c r="AK76" i="5"/>
  <c r="AC76" i="5"/>
  <c r="U76" i="5"/>
  <c r="AP76" i="5"/>
  <c r="AG76" i="5"/>
  <c r="X76" i="5"/>
  <c r="AJ76" i="5"/>
  <c r="Z76" i="5"/>
  <c r="AM76" i="5"/>
  <c r="AB76" i="5"/>
  <c r="R76" i="5"/>
  <c r="AH76" i="5"/>
  <c r="T76" i="5"/>
  <c r="AT76" i="5"/>
  <c r="AF76" i="5"/>
  <c r="S76" i="5"/>
  <c r="AR76" i="5"/>
  <c r="AE76" i="5"/>
  <c r="Q76" i="5"/>
  <c r="AN76" i="5"/>
  <c r="AL76" i="5"/>
  <c r="AD76" i="5"/>
  <c r="I77" i="5"/>
  <c r="AA76" i="5"/>
  <c r="Y76" i="5"/>
  <c r="AQ76" i="5"/>
  <c r="W76" i="5"/>
  <c r="AI76" i="5"/>
  <c r="V76" i="5"/>
  <c r="AO76" i="5"/>
  <c r="Y21" i="2"/>
  <c r="AJ128" i="5"/>
  <c r="AJ142" i="5" s="1"/>
  <c r="AF79" i="4" s="1"/>
  <c r="AF30" i="4" s="1"/>
  <c r="AF26" i="4" s="1"/>
  <c r="AL125" i="5"/>
  <c r="AL139" i="5" s="1"/>
  <c r="AH76" i="4" s="1"/>
  <c r="AG128" i="5"/>
  <c r="AG142" i="5" s="1"/>
  <c r="AC79" i="4" s="1"/>
  <c r="AC30" i="4" s="1"/>
  <c r="AC26" i="4" s="1"/>
  <c r="AI126" i="5"/>
  <c r="AI140" i="5" s="1"/>
  <c r="AE77" i="4" s="1"/>
  <c r="AE46" i="4" s="1"/>
  <c r="AE32" i="4" s="1"/>
  <c r="AP126" i="5"/>
  <c r="AP140" i="5" s="1"/>
  <c r="AL77" i="4" s="1"/>
  <c r="AI124" i="5"/>
  <c r="Y126" i="5"/>
  <c r="Y140" i="5" s="1"/>
  <c r="U77" i="4" s="1"/>
  <c r="Z543" i="4"/>
  <c r="Z548" i="4" s="1"/>
  <c r="AD477" i="4"/>
  <c r="AD476" i="4"/>
  <c r="AD475" i="4"/>
  <c r="X552" i="4"/>
  <c r="X563" i="4"/>
  <c r="X540" i="4"/>
  <c r="Z545" i="4"/>
  <c r="Z550" i="4" s="1"/>
  <c r="AK454" i="4"/>
  <c r="AL461" i="4"/>
  <c r="AK449" i="4"/>
  <c r="AK421" i="4"/>
  <c r="AK186" i="4"/>
  <c r="AP443" i="4"/>
  <c r="P213" i="4"/>
  <c r="P132" i="4" s="1"/>
  <c r="P122" i="4"/>
  <c r="S315" i="4"/>
  <c r="Q302" i="4"/>
  <c r="Q156" i="4" s="1"/>
  <c r="Q146" i="4"/>
  <c r="O269" i="4"/>
  <c r="O133" i="4" s="1"/>
  <c r="P269" i="4"/>
  <c r="P133" i="4" s="1"/>
  <c r="O123" i="4"/>
  <c r="X382" i="4"/>
  <c r="AI369" i="4"/>
  <c r="Q123" i="4"/>
  <c r="Q269" i="4"/>
  <c r="Q133" i="4" s="1"/>
  <c r="G85" i="4"/>
  <c r="G24" i="4" s="1"/>
  <c r="G98" i="4"/>
  <c r="G96" i="4" s="1"/>
  <c r="G106" i="4" s="1"/>
  <c r="L245" i="4"/>
  <c r="L246" i="4" s="1"/>
  <c r="X12" i="7"/>
  <c r="V71" i="2"/>
  <c r="V70" i="2" s="1"/>
  <c r="L206" i="4"/>
  <c r="Y80" i="2"/>
  <c r="V8" i="7"/>
  <c r="V13" i="7" s="1"/>
  <c r="U67" i="2"/>
  <c r="N54" i="4"/>
  <c r="N48" i="4" s="1"/>
  <c r="X23" i="2" s="1"/>
  <c r="N46" i="4"/>
  <c r="N32" i="4" s="1"/>
  <c r="X22" i="2" s="1"/>
  <c r="AF21" i="2"/>
  <c r="V54" i="4"/>
  <c r="V48" i="4" s="1"/>
  <c r="AF23" i="2" s="1"/>
  <c r="V46" i="4"/>
  <c r="V32" i="4" s="1"/>
  <c r="AF22" i="2" s="1"/>
  <c r="Y128" i="5"/>
  <c r="Y142" i="5" s="1"/>
  <c r="U79" i="4" s="1"/>
  <c r="U30" i="4" s="1"/>
  <c r="U26" i="4" s="1"/>
  <c r="Z54" i="4"/>
  <c r="Z48" i="4" s="1"/>
  <c r="AJ23" i="2" s="1"/>
  <c r="Z46" i="4"/>
  <c r="Z32" i="4" s="1"/>
  <c r="AR126" i="5"/>
  <c r="AR140" i="5" s="1"/>
  <c r="AN77" i="4" s="1"/>
  <c r="AN46" i="4" s="1"/>
  <c r="AN32" i="4" s="1"/>
  <c r="AX22" i="2" s="1"/>
  <c r="AL124" i="5"/>
  <c r="O121" i="5"/>
  <c r="K74" i="4" s="1"/>
  <c r="K20" i="4" s="1"/>
  <c r="K22" i="4" s="1"/>
  <c r="K23" i="4" s="1"/>
  <c r="U47" i="2" s="1"/>
  <c r="AQ124" i="5"/>
  <c r="AS82" i="5"/>
  <c r="AK82" i="5"/>
  <c r="AC82" i="5"/>
  <c r="U82" i="5"/>
  <c r="AP82" i="5"/>
  <c r="AG82" i="5"/>
  <c r="X82" i="5"/>
  <c r="AM82" i="5"/>
  <c r="AB82" i="5"/>
  <c r="R82" i="5"/>
  <c r="AQ82" i="5"/>
  <c r="AF82" i="5"/>
  <c r="V82" i="5"/>
  <c r="AO82" i="5"/>
  <c r="AE82" i="5"/>
  <c r="T82" i="5"/>
  <c r="AL82" i="5"/>
  <c r="W82" i="5"/>
  <c r="AJ82" i="5"/>
  <c r="S82" i="5"/>
  <c r="AI82" i="5"/>
  <c r="Q82" i="5"/>
  <c r="AT82" i="5"/>
  <c r="AR82" i="5"/>
  <c r="AH82" i="5"/>
  <c r="AD82" i="5"/>
  <c r="AA82" i="5"/>
  <c r="I83" i="5"/>
  <c r="Z82" i="5"/>
  <c r="AN82" i="5"/>
  <c r="Y82" i="5"/>
  <c r="R54" i="4"/>
  <c r="R48" i="4" s="1"/>
  <c r="AB23" i="2" s="1"/>
  <c r="R46" i="4"/>
  <c r="R32" i="4" s="1"/>
  <c r="AB22" i="2" s="1"/>
  <c r="AD124" i="5"/>
  <c r="AS57" i="5"/>
  <c r="AK57" i="5"/>
  <c r="AC57" i="5"/>
  <c r="U57" i="5"/>
  <c r="AQ57" i="5"/>
  <c r="AH57" i="5"/>
  <c r="Y57" i="5"/>
  <c r="AP57" i="5"/>
  <c r="AF57" i="5"/>
  <c r="V57" i="5"/>
  <c r="AN57" i="5"/>
  <c r="AD57" i="5"/>
  <c r="S57" i="5"/>
  <c r="AR57" i="5"/>
  <c r="AB57" i="5"/>
  <c r="AL57" i="5"/>
  <c r="X57" i="5"/>
  <c r="AJ57" i="5"/>
  <c r="W57" i="5"/>
  <c r="I58" i="5"/>
  <c r="AI57" i="5"/>
  <c r="T57" i="5"/>
  <c r="AG57" i="5"/>
  <c r="R57" i="5"/>
  <c r="Z57" i="5"/>
  <c r="Q57" i="5"/>
  <c r="AT57" i="5"/>
  <c r="AO57" i="5"/>
  <c r="AM57" i="5"/>
  <c r="AE57" i="5"/>
  <c r="AA57" i="5"/>
  <c r="O147" i="4"/>
  <c r="O335" i="4"/>
  <c r="O157" i="4" s="1"/>
  <c r="S42" i="5"/>
  <c r="S39" i="5"/>
  <c r="S40" i="5"/>
  <c r="S38" i="5"/>
  <c r="AC381" i="4"/>
  <c r="E512" i="4"/>
  <c r="C487" i="4"/>
  <c r="D487" i="4" s="1"/>
  <c r="AP438" i="4"/>
  <c r="F389" i="4"/>
  <c r="F385" i="4"/>
  <c r="F381" i="4"/>
  <c r="AP381" i="4" s="1"/>
  <c r="F382" i="4"/>
  <c r="AP382" i="4" s="1"/>
  <c r="D362" i="4"/>
  <c r="D363" i="4" s="1"/>
  <c r="F387" i="4"/>
  <c r="F384" i="4"/>
  <c r="F383" i="4"/>
  <c r="P280" i="4"/>
  <c r="P282" i="4" s="1"/>
  <c r="P284" i="4"/>
  <c r="R243" i="4"/>
  <c r="R244" i="4"/>
  <c r="S240" i="4"/>
  <c r="R242" i="4"/>
  <c r="E370" i="4"/>
  <c r="D371" i="4"/>
  <c r="AM369" i="4"/>
  <c r="AM382" i="4" s="1"/>
  <c r="AH369" i="4"/>
  <c r="AH382" i="4" s="1"/>
  <c r="AS369" i="4"/>
  <c r="AS382" i="4" s="1"/>
  <c r="X9" i="14"/>
  <c r="O219" i="4"/>
  <c r="Q97" i="4"/>
  <c r="Q180" i="4"/>
  <c r="AA6" i="2"/>
  <c r="AN381" i="4"/>
  <c r="S32" i="4"/>
  <c r="AC22" i="2" s="1"/>
  <c r="K210" i="4"/>
  <c r="K214" i="4" s="1"/>
  <c r="L205" i="4"/>
  <c r="C20" i="7"/>
  <c r="J18" i="7" s="1"/>
  <c r="H12" i="1" s="1"/>
  <c r="BB18" i="2"/>
  <c r="C21" i="7" s="1"/>
  <c r="J19" i="7" s="1"/>
  <c r="H13" i="1" s="1"/>
  <c r="BB26" i="2"/>
  <c r="AB79" i="2"/>
  <c r="Y72" i="2"/>
  <c r="Z51" i="2"/>
  <c r="AA31" i="2"/>
  <c r="AD54" i="4"/>
  <c r="AD48" i="4" s="1"/>
  <c r="AN23" i="2" s="1"/>
  <c r="AB124" i="5"/>
  <c r="U148" i="5"/>
  <c r="Q75" i="4"/>
  <c r="Q70" i="4" s="1"/>
  <c r="P54" i="4"/>
  <c r="P48" i="4" s="1"/>
  <c r="Z23" i="2" s="1"/>
  <c r="P46" i="4"/>
  <c r="P32" i="4" s="1"/>
  <c r="Z22" i="2" s="1"/>
  <c r="AJ126" i="5"/>
  <c r="AJ140" i="5" s="1"/>
  <c r="AF77" i="4" s="1"/>
  <c r="AR124" i="5"/>
  <c r="AM461" i="4"/>
  <c r="AM463" i="4" s="1"/>
  <c r="AM171" i="4" s="1"/>
  <c r="AL454" i="4"/>
  <c r="AL421" i="4"/>
  <c r="AL449" i="4"/>
  <c r="AL186" i="4"/>
  <c r="Z381" i="4"/>
  <c r="AD381" i="4"/>
  <c r="X10" i="14"/>
  <c r="O220" i="4"/>
  <c r="X532" i="4"/>
  <c r="AO369" i="4"/>
  <c r="AO382" i="4" s="1"/>
  <c r="AF369" i="4"/>
  <c r="AF382" i="4" s="1"/>
  <c r="S313" i="4"/>
  <c r="R319" i="4"/>
  <c r="R321" i="4"/>
  <c r="Z316" i="4"/>
  <c r="R314" i="4"/>
  <c r="AY369" i="4"/>
  <c r="AY382" i="4" s="1"/>
  <c r="AV369" i="4"/>
  <c r="AV382" i="4" s="1"/>
  <c r="BB369" i="4"/>
  <c r="BB382" i="4" s="1"/>
  <c r="P262" i="4"/>
  <c r="Q258" i="4"/>
  <c r="M100" i="4"/>
  <c r="W9" i="2"/>
  <c r="O122" i="4"/>
  <c r="O213" i="4"/>
  <c r="O132" i="4" s="1"/>
  <c r="J205" i="4"/>
  <c r="J206" i="4" s="1"/>
  <c r="G200" i="4"/>
  <c r="I210" i="4"/>
  <c r="I214" i="4" s="1"/>
  <c r="AA381" i="4"/>
  <c r="C80" i="7"/>
  <c r="J39" i="7" s="1"/>
  <c r="H31" i="1" s="1"/>
  <c r="J46" i="7"/>
  <c r="H3" i="1"/>
  <c r="Y75" i="2"/>
  <c r="Z75" i="2" s="1"/>
  <c r="AA75" i="2" s="1"/>
  <c r="S10" i="7"/>
  <c r="Q26" i="2"/>
  <c r="Q18" i="2"/>
  <c r="AA126" i="5"/>
  <c r="AA140" i="5" s="1"/>
  <c r="W77" i="4" s="1"/>
  <c r="W46" i="4" s="1"/>
  <c r="W32" i="4" s="1"/>
  <c r="AL462" i="4"/>
  <c r="AK455" i="4"/>
  <c r="AK94" i="4"/>
  <c r="AL381" i="4"/>
  <c r="AM381" i="4"/>
  <c r="Q42" i="5"/>
  <c r="Q38" i="5"/>
  <c r="Q39" i="5"/>
  <c r="Q40" i="5"/>
  <c r="AG369" i="4"/>
  <c r="AG382" i="4" s="1"/>
  <c r="P298" i="4"/>
  <c r="Z291" i="4"/>
  <c r="Q181" i="4"/>
  <c r="Q273" i="4"/>
  <c r="Q297" i="4"/>
  <c r="M97" i="4"/>
  <c r="L210" i="4"/>
  <c r="L214" i="4" s="1"/>
  <c r="L87" i="4"/>
  <c r="M205" i="4"/>
  <c r="M206" i="4" s="1"/>
  <c r="M165" i="4" s="1"/>
  <c r="AH381" i="4"/>
  <c r="T10" i="7"/>
  <c r="R26" i="2"/>
  <c r="R18" i="2"/>
  <c r="O57" i="4"/>
  <c r="B66" i="10"/>
  <c r="V66" i="10" s="1"/>
  <c r="P148" i="5"/>
  <c r="P147" i="5"/>
  <c r="L76" i="4"/>
  <c r="AP125" i="5"/>
  <c r="AP139" i="5" s="1"/>
  <c r="AL76" i="4" s="1"/>
  <c r="AW21" i="2"/>
  <c r="U134" i="5"/>
  <c r="AG124" i="5"/>
  <c r="AE124" i="5"/>
  <c r="T134" i="5"/>
  <c r="T138" i="5"/>
  <c r="U11" i="10"/>
  <c r="U67" i="10"/>
  <c r="U72" i="10" s="1"/>
  <c r="U73" i="10" s="1"/>
  <c r="B11" i="10"/>
  <c r="X128" i="5"/>
  <c r="X142" i="5" s="1"/>
  <c r="T79" i="4" s="1"/>
  <c r="T30" i="4" s="1"/>
  <c r="T26" i="4" s="1"/>
  <c r="AG126" i="5"/>
  <c r="AG140" i="5" s="1"/>
  <c r="AC77" i="4" s="1"/>
  <c r="AC46" i="4" s="1"/>
  <c r="AC32" i="4" s="1"/>
  <c r="AM22" i="2" s="1"/>
  <c r="AQ126" i="5"/>
  <c r="AQ140" i="5" s="1"/>
  <c r="AM77" i="4" s="1"/>
  <c r="AE126" i="5"/>
  <c r="AE140" i="5" s="1"/>
  <c r="AA77" i="4" s="1"/>
  <c r="AA46" i="4" s="1"/>
  <c r="AA32" i="4" s="1"/>
  <c r="X124" i="5"/>
  <c r="Q54" i="4"/>
  <c r="Q48" i="4" s="1"/>
  <c r="AA23" i="2" s="1"/>
  <c r="Q46" i="4"/>
  <c r="Q32" i="4" s="1"/>
  <c r="AA22" i="2" s="1"/>
  <c r="Q138" i="5"/>
  <c r="AC476" i="4"/>
  <c r="AC475" i="4"/>
  <c r="AC477" i="4"/>
  <c r="AB481" i="4"/>
  <c r="AB492" i="4" s="1"/>
  <c r="AB498" i="4"/>
  <c r="AB486" i="4"/>
  <c r="AY381" i="4"/>
  <c r="AV381" i="4"/>
  <c r="AN462" i="4"/>
  <c r="AM455" i="4"/>
  <c r="AM94" i="4"/>
  <c r="H213" i="4"/>
  <c r="J200" i="4"/>
  <c r="Q318" i="4"/>
  <c r="Q320" i="4"/>
  <c r="AW369" i="4"/>
  <c r="AW382" i="4" s="1"/>
  <c r="AN369" i="4"/>
  <c r="AN382" i="4" s="1"/>
  <c r="AC369" i="4"/>
  <c r="AC382" i="4" s="1"/>
  <c r="AB369" i="4"/>
  <c r="AB382" i="4" s="1"/>
  <c r="P327" i="4"/>
  <c r="P168" i="4" s="1"/>
  <c r="O285" i="4"/>
  <c r="O281" i="4"/>
  <c r="O282" i="4" s="1"/>
  <c r="X7" i="14"/>
  <c r="X6" i="14" s="1"/>
  <c r="O217" i="4"/>
  <c r="Q213" i="4"/>
  <c r="Q132" i="4" s="1"/>
  <c r="Q122" i="4"/>
  <c r="AT369" i="4"/>
  <c r="AT382" i="4" s="1"/>
  <c r="AU381" i="4"/>
  <c r="BE103" i="4"/>
  <c r="AB257" i="4"/>
  <c r="O98" i="4"/>
  <c r="O108" i="4" s="1"/>
  <c r="I99" i="4"/>
  <c r="I96" i="4" s="1"/>
  <c r="I106" i="4" s="1"/>
  <c r="I175" i="4"/>
  <c r="AC21" i="2"/>
  <c r="X11" i="7"/>
  <c r="X43" i="7" s="1"/>
  <c r="V34" i="2"/>
  <c r="V27" i="2"/>
  <c r="W10" i="7"/>
  <c r="U26" i="2"/>
  <c r="U18" i="2"/>
  <c r="AA32" i="2"/>
  <c r="AA52" i="2" s="1"/>
  <c r="AB29" i="2"/>
  <c r="AA50" i="2"/>
  <c r="AA21" i="2"/>
  <c r="AM128" i="5"/>
  <c r="AM142" i="5" s="1"/>
  <c r="AI79" i="4" s="1"/>
  <c r="AI30" i="4" s="1"/>
  <c r="AI26" i="4" s="1"/>
  <c r="AT125" i="5"/>
  <c r="AT139" i="5" s="1"/>
  <c r="AP76" i="4" s="1"/>
  <c r="AQ125" i="5"/>
  <c r="AQ139" i="5" s="1"/>
  <c r="AM76" i="4" s="1"/>
  <c r="AF128" i="5"/>
  <c r="AF142" i="5" s="1"/>
  <c r="AB79" i="4" s="1"/>
  <c r="AB30" i="4" s="1"/>
  <c r="AB26" i="4" s="1"/>
  <c r="S138" i="5"/>
  <c r="S134" i="5"/>
  <c r="AS126" i="5"/>
  <c r="AS140" i="5" s="1"/>
  <c r="AO77" i="4" s="1"/>
  <c r="AO46" i="4" s="1"/>
  <c r="AO32" i="4" s="1"/>
  <c r="AM126" i="5"/>
  <c r="AM140" i="5" s="1"/>
  <c r="AI77" i="4" s="1"/>
  <c r="AI46" i="4" s="1"/>
  <c r="AI32" i="4" s="1"/>
  <c r="AS22" i="2" s="1"/>
  <c r="AF124" i="5"/>
  <c r="Z528" i="4"/>
  <c r="Z530" i="4"/>
  <c r="Z529" i="4"/>
  <c r="Z575" i="4"/>
  <c r="Z574" i="4"/>
  <c r="Y532" i="4"/>
  <c r="Y553" i="4"/>
  <c r="AB497" i="4"/>
  <c r="AB496" i="4" s="1"/>
  <c r="AB474" i="4"/>
  <c r="AB480" i="4"/>
  <c r="AB485" i="4"/>
  <c r="AE470" i="4"/>
  <c r="AO443" i="4"/>
  <c r="W381" i="4"/>
  <c r="R280" i="4"/>
  <c r="R282" i="4" s="1"/>
  <c r="R284" i="4"/>
  <c r="X8" i="14"/>
  <c r="O218" i="4"/>
  <c r="AM421" i="4"/>
  <c r="AN461" i="4"/>
  <c r="AN463" i="4" s="1"/>
  <c r="AN171" i="4" s="1"/>
  <c r="AM186" i="4"/>
  <c r="AM454" i="4"/>
  <c r="AM449" i="4"/>
  <c r="AD369" i="4"/>
  <c r="AD382" i="4" s="1"/>
  <c r="R326" i="4"/>
  <c r="R327" i="4" s="1"/>
  <c r="R168" i="4" s="1"/>
  <c r="BA369" i="4"/>
  <c r="BA382" i="4" s="1"/>
  <c r="AL369" i="4"/>
  <c r="AL382" i="4" s="1"/>
  <c r="AJ369" i="4"/>
  <c r="AJ382" i="4" s="1"/>
  <c r="R249" i="4"/>
  <c r="R250" i="4" s="1"/>
  <c r="R166" i="4" s="1"/>
  <c r="Q245" i="4"/>
  <c r="Q246" i="4" s="1"/>
  <c r="Q266" i="4"/>
  <c r="Q88" i="4"/>
  <c r="N285" i="4"/>
  <c r="N281" i="4"/>
  <c r="N282" i="4" s="1"/>
  <c r="N206" i="4"/>
  <c r="N165" i="4" s="1"/>
  <c r="T198" i="4"/>
  <c r="S200" i="4"/>
  <c r="S199" i="4"/>
  <c r="AS381" i="4"/>
  <c r="AI381" i="4"/>
  <c r="P107" i="4"/>
  <c r="O270" i="4"/>
  <c r="O155" i="4" s="1"/>
  <c r="O145" i="4"/>
  <c r="BF104" i="4"/>
  <c r="U39" i="5"/>
  <c r="U40" i="5"/>
  <c r="U38" i="5"/>
  <c r="AC48" i="4"/>
  <c r="AM23" i="2" s="1"/>
  <c r="K213" i="4"/>
  <c r="L213" i="4"/>
  <c r="O107" i="4"/>
  <c r="T38" i="5"/>
  <c r="T39" i="5"/>
  <c r="T42" i="5"/>
  <c r="T40" i="5"/>
  <c r="V11" i="7"/>
  <c r="V43" i="7" s="1"/>
  <c r="T34" i="2"/>
  <c r="T27" i="2"/>
  <c r="U10" i="7"/>
  <c r="S26" i="2"/>
  <c r="S18" i="2"/>
  <c r="Z21" i="2"/>
  <c r="S21" i="7"/>
  <c r="S44" i="7"/>
  <c r="V138" i="5"/>
  <c r="V134" i="5"/>
  <c r="W22" i="2"/>
  <c r="AJ125" i="5"/>
  <c r="AJ139" i="5" s="1"/>
  <c r="AF76" i="4" s="1"/>
  <c r="R138" i="5"/>
  <c r="AF125" i="5"/>
  <c r="AF139" i="5" s="1"/>
  <c r="AB76" i="4" s="1"/>
  <c r="AT21" i="2"/>
  <c r="AK124" i="5"/>
  <c r="AH126" i="5"/>
  <c r="AH140" i="5" s="1"/>
  <c r="AD77" i="4" s="1"/>
  <c r="AD46" i="4" s="1"/>
  <c r="AD32" i="4" s="1"/>
  <c r="AL126" i="5"/>
  <c r="AL140" i="5" s="1"/>
  <c r="AH77" i="4" s="1"/>
  <c r="X21" i="2"/>
  <c r="AN124" i="5"/>
  <c r="AC54" i="4"/>
  <c r="AB487" i="4"/>
  <c r="AB482" i="4"/>
  <c r="AB493" i="4" s="1"/>
  <c r="AF381" i="4"/>
  <c r="AB381" i="4"/>
  <c r="S277" i="4"/>
  <c r="S278" i="4"/>
  <c r="T275" i="4"/>
  <c r="X276" i="4"/>
  <c r="S305" i="4"/>
  <c r="AN443" i="4"/>
  <c r="P334" i="4"/>
  <c r="P135" i="4" s="1"/>
  <c r="O334" i="4"/>
  <c r="O135" i="4" s="1"/>
  <c r="O125" i="4"/>
  <c r="AK369" i="4"/>
  <c r="AK382" i="4" s="1"/>
  <c r="AE369" i="4"/>
  <c r="AE382" i="4" s="1"/>
  <c r="AU369" i="4"/>
  <c r="AU382" i="4" s="1"/>
  <c r="AR369" i="4"/>
  <c r="AR382" i="4" s="1"/>
  <c r="Q98" i="4"/>
  <c r="Q108" i="4" s="1"/>
  <c r="AA7" i="2"/>
  <c r="M243" i="4"/>
  <c r="M242" i="4"/>
  <c r="R130" i="5"/>
  <c r="R144" i="5" s="1"/>
  <c r="L281" i="4"/>
  <c r="L282" i="4" s="1"/>
  <c r="L285" i="4"/>
  <c r="L287" i="4" s="1"/>
  <c r="L89" i="4" s="1"/>
  <c r="R232" i="4"/>
  <c r="R234" i="4"/>
  <c r="R209" i="4"/>
  <c r="R196" i="4"/>
  <c r="R235" i="4"/>
  <c r="R231" i="4"/>
  <c r="T204" i="4"/>
  <c r="R233" i="4"/>
  <c r="R201" i="4"/>
  <c r="R202" i="4" s="1"/>
  <c r="R178" i="4"/>
  <c r="BB381" i="4"/>
  <c r="AW381" i="4"/>
  <c r="AJ48" i="4"/>
  <c r="AT23" i="2" s="1"/>
  <c r="C74" i="7"/>
  <c r="J37" i="7" s="1"/>
  <c r="H29" i="1" s="1"/>
  <c r="BB70" i="2"/>
  <c r="C73" i="7" s="1"/>
  <c r="J36" i="7" s="1"/>
  <c r="H28" i="1" s="1"/>
  <c r="K288" i="4"/>
  <c r="K289" i="4" s="1"/>
  <c r="K89" i="4"/>
  <c r="T48" i="4"/>
  <c r="AD23" i="2" s="1"/>
  <c r="T32" i="4"/>
  <c r="AD22" i="2" s="1"/>
  <c r="C68" i="7"/>
  <c r="BB64" i="2"/>
  <c r="C67" i="7" s="1"/>
  <c r="J32" i="7" s="1"/>
  <c r="H24" i="1" s="1"/>
  <c r="Z68" i="2"/>
  <c r="N297" i="4" l="1"/>
  <c r="W291" i="4"/>
  <c r="N181" i="4"/>
  <c r="N273" i="4"/>
  <c r="AN22" i="2"/>
  <c r="AO22" i="2"/>
  <c r="AK22" i="2"/>
  <c r="AG22" i="2"/>
  <c r="AJ22" i="2"/>
  <c r="AQ22" i="2"/>
  <c r="AY22" i="2"/>
  <c r="L288" i="4"/>
  <c r="L289" i="4" s="1"/>
  <c r="L297" i="4"/>
  <c r="U291" i="4"/>
  <c r="L273" i="4"/>
  <c r="L181" i="4"/>
  <c r="AM104" i="4"/>
  <c r="AW13" i="2"/>
  <c r="K99" i="4"/>
  <c r="K85" i="4"/>
  <c r="K24" i="4" s="1"/>
  <c r="BC23" i="2"/>
  <c r="D26" i="7" s="1"/>
  <c r="K23" i="7" s="1"/>
  <c r="I18" i="1" s="1"/>
  <c r="AD486" i="4"/>
  <c r="AD481" i="4"/>
  <c r="AD492" i="4" s="1"/>
  <c r="AD498" i="4"/>
  <c r="AA545" i="4"/>
  <c r="AA550" i="4" s="1"/>
  <c r="AA544" i="4"/>
  <c r="AA549" i="4" s="1"/>
  <c r="AA543" i="4"/>
  <c r="AA548" i="4" s="1"/>
  <c r="Y258" i="4"/>
  <c r="AO461" i="4"/>
  <c r="AN454" i="4"/>
  <c r="AN449" i="4"/>
  <c r="AN421" i="4"/>
  <c r="AN186" i="4"/>
  <c r="AP148" i="5"/>
  <c r="AL75" i="4"/>
  <c r="AL70" i="4" s="1"/>
  <c r="AC148" i="5"/>
  <c r="Y75" i="4"/>
  <c r="Y70" i="4" s="1"/>
  <c r="AF138" i="5"/>
  <c r="AF134" i="5"/>
  <c r="P57" i="4"/>
  <c r="O56" i="4"/>
  <c r="R213" i="4"/>
  <c r="R132" i="4" s="1"/>
  <c r="R122" i="4"/>
  <c r="N249" i="4"/>
  <c r="N250" i="4" s="1"/>
  <c r="N166" i="4" s="1"/>
  <c r="M88" i="4"/>
  <c r="M266" i="4"/>
  <c r="BC21" i="2"/>
  <c r="D24" i="7" s="1"/>
  <c r="K21" i="7" s="1"/>
  <c r="I16" i="1" s="1"/>
  <c r="BC22" i="2"/>
  <c r="D25" i="7" s="1"/>
  <c r="K22" i="7" s="1"/>
  <c r="I17" i="1" s="1"/>
  <c r="T43" i="2"/>
  <c r="T83" i="2" s="1"/>
  <c r="T35" i="2"/>
  <c r="S214" i="4"/>
  <c r="S154" i="4" s="1"/>
  <c r="S210" i="4"/>
  <c r="T205" i="4"/>
  <c r="T206" i="4" s="1"/>
  <c r="T165" i="4" s="1"/>
  <c r="S144" i="4"/>
  <c r="S87" i="4"/>
  <c r="AB491" i="4"/>
  <c r="AB479" i="4"/>
  <c r="AC257" i="4"/>
  <c r="AM459" i="4"/>
  <c r="AM159" i="4" s="1"/>
  <c r="AM149" i="4"/>
  <c r="T148" i="5"/>
  <c r="P75" i="4"/>
  <c r="P70" i="4" s="1"/>
  <c r="L54" i="4"/>
  <c r="L48" i="4" s="1"/>
  <c r="L46" i="4"/>
  <c r="L32" i="4" s="1"/>
  <c r="L20" i="4" s="1"/>
  <c r="L22" i="4" s="1"/>
  <c r="L23" i="4" s="1"/>
  <c r="V47" i="2" s="1"/>
  <c r="P302" i="4"/>
  <c r="P156" i="4" s="1"/>
  <c r="P153" i="4" s="1"/>
  <c r="Z73" i="2" s="1"/>
  <c r="AB12" i="7" s="1"/>
  <c r="P146" i="4"/>
  <c r="P143" i="4" s="1"/>
  <c r="AL458" i="4"/>
  <c r="AL137" i="4" s="1"/>
  <c r="AL127" i="4"/>
  <c r="AR134" i="5"/>
  <c r="AR138" i="5"/>
  <c r="Q107" i="4"/>
  <c r="AZ370" i="4"/>
  <c r="AR370" i="4"/>
  <c r="AR383" i="4" s="1"/>
  <c r="AJ370" i="4"/>
  <c r="AJ383" i="4" s="1"/>
  <c r="AB370" i="4"/>
  <c r="T370" i="4"/>
  <c r="AX370" i="4"/>
  <c r="AO370" i="4"/>
  <c r="AO383" i="4" s="1"/>
  <c r="AF370" i="4"/>
  <c r="W370" i="4"/>
  <c r="BA370" i="4"/>
  <c r="BA383" i="4" s="1"/>
  <c r="AQ370" i="4"/>
  <c r="AH370" i="4"/>
  <c r="Y370" i="4"/>
  <c r="AS370" i="4"/>
  <c r="AS383" i="4" s="1"/>
  <c r="AE370" i="4"/>
  <c r="AE383" i="4" s="1"/>
  <c r="S370" i="4"/>
  <c r="AU370" i="4"/>
  <c r="AG370" i="4"/>
  <c r="R370" i="4"/>
  <c r="AT370" i="4"/>
  <c r="AT383" i="4" s="1"/>
  <c r="AD370" i="4"/>
  <c r="AD383" i="4" s="1"/>
  <c r="AD395" i="4" s="1"/>
  <c r="AP370" i="4"/>
  <c r="AC370" i="4"/>
  <c r="AC383" i="4" s="1"/>
  <c r="AC395" i="4" s="1"/>
  <c r="AN370" i="4"/>
  <c r="AA370" i="4"/>
  <c r="BB370" i="4"/>
  <c r="BB383" i="4" s="1"/>
  <c r="AM370" i="4"/>
  <c r="AM383" i="4" s="1"/>
  <c r="Z370" i="4"/>
  <c r="AY370" i="4"/>
  <c r="AY383" i="4" s="1"/>
  <c r="AL370" i="4"/>
  <c r="X370" i="4"/>
  <c r="AW370" i="4"/>
  <c r="AW383" i="4" s="1"/>
  <c r="AK370" i="4"/>
  <c r="AK383" i="4" s="1"/>
  <c r="V370" i="4"/>
  <c r="AI370" i="4"/>
  <c r="AV370" i="4"/>
  <c r="U370" i="4"/>
  <c r="AB6" i="2"/>
  <c r="R97" i="4"/>
  <c r="T199" i="4"/>
  <c r="T200" i="4"/>
  <c r="U198" i="4"/>
  <c r="R181" i="4"/>
  <c r="R297" i="4"/>
  <c r="R273" i="4"/>
  <c r="AA291" i="4"/>
  <c r="S148" i="5"/>
  <c r="O75" i="4"/>
  <c r="O70" i="4" s="1"/>
  <c r="W11" i="7"/>
  <c r="W43" i="7" s="1"/>
  <c r="U34" i="2"/>
  <c r="U27" i="2"/>
  <c r="O297" i="4"/>
  <c r="X291" i="4"/>
  <c r="O273" i="4"/>
  <c r="O181" i="4"/>
  <c r="Q331" i="4"/>
  <c r="Q90" i="4"/>
  <c r="Q148" i="5"/>
  <c r="M75" i="4"/>
  <c r="M70" i="4" s="1"/>
  <c r="M56" i="4" s="1"/>
  <c r="R298" i="4"/>
  <c r="BE178" i="4"/>
  <c r="G210" i="4"/>
  <c r="H205" i="4"/>
  <c r="H206" i="4" s="1"/>
  <c r="G201" i="4"/>
  <c r="G202" i="4" s="1"/>
  <c r="AB138" i="5"/>
  <c r="AB134" i="5"/>
  <c r="AC79" i="2"/>
  <c r="BC79" i="2"/>
  <c r="D82" i="7" s="1"/>
  <c r="Y9" i="14"/>
  <c r="P219" i="4"/>
  <c r="R260" i="4"/>
  <c r="R261" i="4" s="1"/>
  <c r="R245" i="4"/>
  <c r="R246" i="4" s="1"/>
  <c r="R179" i="4"/>
  <c r="R180" i="4" s="1"/>
  <c r="R265" i="4"/>
  <c r="T248" i="4"/>
  <c r="R238" i="4"/>
  <c r="AP449" i="4"/>
  <c r="AP421" i="4"/>
  <c r="AQ461" i="4"/>
  <c r="AQ463" i="4" s="1"/>
  <c r="AP454" i="4"/>
  <c r="AP186" i="4"/>
  <c r="S130" i="5"/>
  <c r="AE21" i="2"/>
  <c r="AE381" i="4"/>
  <c r="AI382" i="4"/>
  <c r="AI394" i="4" s="1"/>
  <c r="T315" i="4"/>
  <c r="U315" i="4" s="1"/>
  <c r="AQ381" i="4"/>
  <c r="AD487" i="4"/>
  <c r="AD482" i="4"/>
  <c r="AD499" i="4"/>
  <c r="AS77" i="5"/>
  <c r="AK77" i="5"/>
  <c r="AC77" i="5"/>
  <c r="U77" i="5"/>
  <c r="AL77" i="5"/>
  <c r="AB77" i="5"/>
  <c r="S77" i="5"/>
  <c r="AT77" i="5"/>
  <c r="AI77" i="5"/>
  <c r="Y77" i="5"/>
  <c r="I78" i="5"/>
  <c r="AM77" i="5"/>
  <c r="AA77" i="5"/>
  <c r="Q77" i="5"/>
  <c r="AP77" i="5"/>
  <c r="AD77" i="5"/>
  <c r="AO77" i="5"/>
  <c r="Z77" i="5"/>
  <c r="AN77" i="5"/>
  <c r="X77" i="5"/>
  <c r="W77" i="5"/>
  <c r="AR77" i="5"/>
  <c r="V77" i="5"/>
  <c r="AJ77" i="5"/>
  <c r="R77" i="5"/>
  <c r="AH77" i="5"/>
  <c r="AG77" i="5"/>
  <c r="AF77" i="5"/>
  <c r="AQ77" i="5"/>
  <c r="AE77" i="5"/>
  <c r="T77" i="5"/>
  <c r="AB576" i="4"/>
  <c r="AC524" i="4"/>
  <c r="AB525" i="4"/>
  <c r="AB542" i="4"/>
  <c r="T80" i="2"/>
  <c r="V40" i="5"/>
  <c r="V38" i="5"/>
  <c r="V39" i="5"/>
  <c r="Y54" i="4"/>
  <c r="Y48" i="4" s="1"/>
  <c r="AI23" i="2" s="1"/>
  <c r="Y46" i="4"/>
  <c r="Y32" i="4" s="1"/>
  <c r="AS148" i="5"/>
  <c r="AO75" i="4"/>
  <c r="AO70" i="4" s="1"/>
  <c r="AP134" i="5"/>
  <c r="AC134" i="5"/>
  <c r="AT134" i="5"/>
  <c r="S244" i="4"/>
  <c r="S243" i="4"/>
  <c r="S242" i="4"/>
  <c r="T240" i="4"/>
  <c r="Z547" i="4"/>
  <c r="M302" i="4"/>
  <c r="M156" i="4" s="1"/>
  <c r="M146" i="4"/>
  <c r="AO148" i="5"/>
  <c r="AK75" i="4"/>
  <c r="AK70" i="4" s="1"/>
  <c r="AS134" i="5"/>
  <c r="AH148" i="5"/>
  <c r="AD75" i="4"/>
  <c r="AD70" i="4" s="1"/>
  <c r="H22" i="4"/>
  <c r="Z11" i="14"/>
  <c r="Q221" i="4"/>
  <c r="W148" i="5"/>
  <c r="S75" i="4"/>
  <c r="S70" i="4" s="1"/>
  <c r="AT148" i="5"/>
  <c r="AP75" i="4"/>
  <c r="AP70" i="4" s="1"/>
  <c r="AJ394" i="4"/>
  <c r="Q322" i="4"/>
  <c r="Q323" i="4" s="1"/>
  <c r="Q182" i="4"/>
  <c r="Q330" i="4"/>
  <c r="Q311" i="4"/>
  <c r="AR394" i="4"/>
  <c r="W8" i="7"/>
  <c r="W13" i="7" s="1"/>
  <c r="V67" i="2"/>
  <c r="X8" i="7" s="1"/>
  <c r="X13" i="7" s="1"/>
  <c r="AK104" i="4"/>
  <c r="AU13" i="2"/>
  <c r="X560" i="4"/>
  <c r="X537" i="4"/>
  <c r="AX21" i="2"/>
  <c r="AA138" i="5"/>
  <c r="AA134" i="5"/>
  <c r="AZ21" i="2"/>
  <c r="W8" i="2"/>
  <c r="AM46" i="4"/>
  <c r="AM32" i="4" s="1"/>
  <c r="AM54" i="4"/>
  <c r="AM48" i="4" s="1"/>
  <c r="AW23" i="2" s="1"/>
  <c r="V44" i="7"/>
  <c r="V21" i="7"/>
  <c r="AQ462" i="4"/>
  <c r="AP455" i="4"/>
  <c r="AP94" i="4"/>
  <c r="AM21" i="2"/>
  <c r="AJ449" i="4"/>
  <c r="AJ421" i="4"/>
  <c r="AK461" i="4"/>
  <c r="AJ454" i="4"/>
  <c r="AJ186" i="4"/>
  <c r="AZ394" i="4"/>
  <c r="F402" i="4"/>
  <c r="F398" i="4"/>
  <c r="F400" i="4"/>
  <c r="AO381" i="4"/>
  <c r="U54" i="4"/>
  <c r="U48" i="4" s="1"/>
  <c r="AE23" i="2" s="1"/>
  <c r="U46" i="4"/>
  <c r="U32" i="4" s="1"/>
  <c r="AE22" i="2" s="1"/>
  <c r="AH134" i="5"/>
  <c r="AL21" i="2"/>
  <c r="T325" i="4"/>
  <c r="W48" i="5"/>
  <c r="W46" i="5"/>
  <c r="W49" i="5"/>
  <c r="W47" i="5"/>
  <c r="W44" i="5"/>
  <c r="W45" i="5"/>
  <c r="W43" i="5"/>
  <c r="W41" i="5"/>
  <c r="W42" i="5"/>
  <c r="S306" i="4"/>
  <c r="AI393" i="4"/>
  <c r="S321" i="4"/>
  <c r="AA316" i="4"/>
  <c r="S314" i="4"/>
  <c r="S319" i="4"/>
  <c r="T313" i="4"/>
  <c r="AM83" i="5"/>
  <c r="AE83" i="5"/>
  <c r="W83" i="5"/>
  <c r="I84" i="5"/>
  <c r="AN83" i="5"/>
  <c r="AD83" i="5"/>
  <c r="S83" i="5"/>
  <c r="AO83" i="5"/>
  <c r="AC83" i="5"/>
  <c r="Q83" i="5"/>
  <c r="AR83" i="5"/>
  <c r="AH83" i="5"/>
  <c r="X83" i="5"/>
  <c r="AQ83" i="5"/>
  <c r="AG83" i="5"/>
  <c r="T83" i="5"/>
  <c r="AP83" i="5"/>
  <c r="Z83" i="5"/>
  <c r="AL83" i="5"/>
  <c r="Y83" i="5"/>
  <c r="AK83" i="5"/>
  <c r="R83" i="5"/>
  <c r="AS83" i="5"/>
  <c r="AJ83" i="5"/>
  <c r="AF83" i="5"/>
  <c r="AB83" i="5"/>
  <c r="AA83" i="5"/>
  <c r="AT83" i="5"/>
  <c r="AI83" i="5"/>
  <c r="L298" i="4"/>
  <c r="L302" i="4" s="1"/>
  <c r="AU394" i="4"/>
  <c r="N298" i="4"/>
  <c r="BA394" i="4"/>
  <c r="Z540" i="4"/>
  <c r="Z560" i="4" s="1"/>
  <c r="Z535" i="4"/>
  <c r="Z555" i="4" s="1"/>
  <c r="AT394" i="4"/>
  <c r="AF394" i="4"/>
  <c r="F394" i="4"/>
  <c r="AP394" i="4" s="1"/>
  <c r="F399" i="4"/>
  <c r="F393" i="4"/>
  <c r="AN393" i="4" s="1"/>
  <c r="F396" i="4"/>
  <c r="F395" i="4"/>
  <c r="F397" i="4"/>
  <c r="F401" i="4"/>
  <c r="AE394" i="4"/>
  <c r="T278" i="4"/>
  <c r="T305" i="4"/>
  <c r="U275" i="4"/>
  <c r="Y276" i="4"/>
  <c r="T277" i="4"/>
  <c r="AK138" i="5"/>
  <c r="AK134" i="5"/>
  <c r="R148" i="5"/>
  <c r="N75" i="4"/>
  <c r="N70" i="4" s="1"/>
  <c r="N56" i="4" s="1"/>
  <c r="U11" i="7"/>
  <c r="U43" i="7" s="1"/>
  <c r="S27" i="2"/>
  <c r="S34" i="2"/>
  <c r="T130" i="5"/>
  <c r="AP462" i="4"/>
  <c r="AP463" i="4" s="1"/>
  <c r="AP171" i="4" s="1"/>
  <c r="AO455" i="4"/>
  <c r="AO94" i="4"/>
  <c r="Z527" i="4"/>
  <c r="Z533" i="4"/>
  <c r="Z538" i="4" s="1"/>
  <c r="AP54" i="4"/>
  <c r="AP48" i="4" s="1"/>
  <c r="AZ23" i="2" s="1"/>
  <c r="AP46" i="4"/>
  <c r="AP32" i="4" s="1"/>
  <c r="AZ22" i="2" s="1"/>
  <c r="BC50" i="2"/>
  <c r="D53" i="7" s="1"/>
  <c r="AB394" i="4"/>
  <c r="AC487" i="4"/>
  <c r="AC482" i="4"/>
  <c r="AC493" i="4" s="1"/>
  <c r="AC499" i="4"/>
  <c r="AD21" i="2"/>
  <c r="B67" i="10"/>
  <c r="AL46" i="4"/>
  <c r="AL32" i="4" s="1"/>
  <c r="AL54" i="4"/>
  <c r="AL48" i="4" s="1"/>
  <c r="AV23" i="2" s="1"/>
  <c r="T11" i="7"/>
  <c r="T43" i="7" s="1"/>
  <c r="R34" i="2"/>
  <c r="R27" i="2"/>
  <c r="L97" i="4"/>
  <c r="L85" i="4"/>
  <c r="L24" i="4" s="1"/>
  <c r="BE87" i="4"/>
  <c r="AK459" i="4"/>
  <c r="AK159" i="4" s="1"/>
  <c r="AK149" i="4"/>
  <c r="AV394" i="4"/>
  <c r="AO394" i="4"/>
  <c r="AL104" i="4"/>
  <c r="AV13" i="2"/>
  <c r="AG381" i="4"/>
  <c r="AH394" i="4"/>
  <c r="AZ381" i="4"/>
  <c r="AD134" i="5"/>
  <c r="AD138" i="5"/>
  <c r="AL138" i="5"/>
  <c r="AL134" i="5"/>
  <c r="BE88" i="4"/>
  <c r="AR381" i="4"/>
  <c r="AH54" i="4"/>
  <c r="AH48" i="4" s="1"/>
  <c r="AR23" i="2" s="1"/>
  <c r="AH46" i="4"/>
  <c r="AH32" i="4" s="1"/>
  <c r="AK462" i="4"/>
  <c r="AJ455" i="4"/>
  <c r="AJ94" i="4"/>
  <c r="AQ382" i="4"/>
  <c r="AQ394" i="4" s="1"/>
  <c r="Y134" i="5"/>
  <c r="AO104" i="4"/>
  <c r="AY13" i="2"/>
  <c r="BD23" i="2"/>
  <c r="E26" i="7" s="1"/>
  <c r="L23" i="7" s="1"/>
  <c r="J18" i="1" s="1"/>
  <c r="AA68" i="2"/>
  <c r="AB54" i="4"/>
  <c r="AB48" i="4" s="1"/>
  <c r="AL23" i="2" s="1"/>
  <c r="AB46" i="4"/>
  <c r="AB32" i="4" s="1"/>
  <c r="AL22" i="2" s="1"/>
  <c r="O298" i="4"/>
  <c r="AH393" i="4"/>
  <c r="Q124" i="4"/>
  <c r="R258" i="4"/>
  <c r="R262" i="4" s="1"/>
  <c r="Q262" i="4"/>
  <c r="U130" i="5"/>
  <c r="Y563" i="4"/>
  <c r="Y562" i="4" s="1"/>
  <c r="Y521" i="4" s="1"/>
  <c r="Y552" i="4"/>
  <c r="J201" i="4"/>
  <c r="J202" i="4" s="1"/>
  <c r="J210" i="4"/>
  <c r="J214" i="4" s="1"/>
  <c r="K205" i="4"/>
  <c r="K206" i="4" s="1"/>
  <c r="H200" i="4"/>
  <c r="AV393" i="4"/>
  <c r="C29" i="7"/>
  <c r="J26" i="7" s="1"/>
  <c r="BB27" i="2"/>
  <c r="C30" i="7" s="1"/>
  <c r="J27" i="7" s="1"/>
  <c r="H21" i="1" s="1"/>
  <c r="BB34" i="2"/>
  <c r="V148" i="5"/>
  <c r="R75" i="4"/>
  <c r="R70" i="4" s="1"/>
  <c r="V43" i="2"/>
  <c r="V83" i="2" s="1"/>
  <c r="W82" i="2" s="1"/>
  <c r="V35" i="2"/>
  <c r="AA15" i="14"/>
  <c r="AA8" i="2"/>
  <c r="BB394" i="4"/>
  <c r="AB31" i="2"/>
  <c r="AA51" i="2"/>
  <c r="AS394" i="4"/>
  <c r="R266" i="4"/>
  <c r="S249" i="4"/>
  <c r="S250" i="4" s="1"/>
  <c r="S166" i="4" s="1"/>
  <c r="R88" i="4"/>
  <c r="N80" i="4"/>
  <c r="N286" i="4" s="1"/>
  <c r="AK394" i="4"/>
  <c r="AF54" i="4"/>
  <c r="AF48" i="4" s="1"/>
  <c r="AP23" i="2" s="1"/>
  <c r="BE23" i="2" s="1"/>
  <c r="F26" i="7" s="1"/>
  <c r="M23" i="7" s="1"/>
  <c r="K18" i="1" s="1"/>
  <c r="AF46" i="4"/>
  <c r="AF32" i="4" s="1"/>
  <c r="AP22" i="2" s="1"/>
  <c r="Q270" i="4"/>
  <c r="Q155" i="4" s="1"/>
  <c r="Q145" i="4"/>
  <c r="Y8" i="14"/>
  <c r="P218" i="4"/>
  <c r="AE471" i="4"/>
  <c r="AE472" i="4" s="1"/>
  <c r="AF470" i="4"/>
  <c r="AS21" i="2"/>
  <c r="AC29" i="2"/>
  <c r="AB32" i="2"/>
  <c r="AB52" i="2" s="1"/>
  <c r="BC52" i="2" s="1"/>
  <c r="D55" i="7" s="1"/>
  <c r="AB50" i="2"/>
  <c r="BC29" i="2"/>
  <c r="D32" i="7" s="1"/>
  <c r="AC394" i="4"/>
  <c r="AC497" i="4"/>
  <c r="AC480" i="4"/>
  <c r="AC485" i="4"/>
  <c r="AC474" i="4"/>
  <c r="AE138" i="5"/>
  <c r="AE134" i="5"/>
  <c r="Q130" i="5"/>
  <c r="AY394" i="4"/>
  <c r="Z72" i="2"/>
  <c r="AM394" i="4"/>
  <c r="P181" i="4"/>
  <c r="Y291" i="4"/>
  <c r="P273" i="4"/>
  <c r="P297" i="4"/>
  <c r="AP393" i="4"/>
  <c r="AS58" i="5"/>
  <c r="AK58" i="5"/>
  <c r="AC58" i="5"/>
  <c r="U58" i="5"/>
  <c r="I59" i="5"/>
  <c r="AM58" i="5"/>
  <c r="AD58" i="5"/>
  <c r="T58" i="5"/>
  <c r="AP58" i="5"/>
  <c r="AF58" i="5"/>
  <c r="V58" i="5"/>
  <c r="AN58" i="5"/>
  <c r="AB58" i="5"/>
  <c r="R58" i="5"/>
  <c r="AL58" i="5"/>
  <c r="Y58" i="5"/>
  <c r="AH58" i="5"/>
  <c r="S58" i="5"/>
  <c r="AT58" i="5"/>
  <c r="AG58" i="5"/>
  <c r="Q58" i="5"/>
  <c r="AR58" i="5"/>
  <c r="AE58" i="5"/>
  <c r="AQ58" i="5"/>
  <c r="AA58" i="5"/>
  <c r="X58" i="5"/>
  <c r="W58" i="5"/>
  <c r="AO58" i="5"/>
  <c r="AJ58" i="5"/>
  <c r="AI58" i="5"/>
  <c r="Z58" i="5"/>
  <c r="Z80" i="2"/>
  <c r="BA381" i="4"/>
  <c r="AL463" i="4"/>
  <c r="AL171" i="4" s="1"/>
  <c r="AL459" i="4"/>
  <c r="AL159" i="4" s="1"/>
  <c r="AL149" i="4"/>
  <c r="AX394" i="4"/>
  <c r="Y148" i="5"/>
  <c r="U75" i="4"/>
  <c r="U70" i="4" s="1"/>
  <c r="AO449" i="4"/>
  <c r="AM134" i="5"/>
  <c r="AJ148" i="5"/>
  <c r="AF75" i="4"/>
  <c r="AF70" i="4" s="1"/>
  <c r="AN455" i="4"/>
  <c r="AO462" i="4"/>
  <c r="AN94" i="4"/>
  <c r="AM458" i="4"/>
  <c r="AM137" i="4" s="1"/>
  <c r="AM127" i="4"/>
  <c r="Z534" i="4"/>
  <c r="Z554" i="4" s="1"/>
  <c r="S285" i="4"/>
  <c r="S281" i="4"/>
  <c r="O248" i="4"/>
  <c r="O250" i="4" s="1"/>
  <c r="O166" i="4" s="1"/>
  <c r="M238" i="4"/>
  <c r="M265" i="4"/>
  <c r="M253" i="4"/>
  <c r="N260" i="4"/>
  <c r="M245" i="4"/>
  <c r="M246" i="4" s="1"/>
  <c r="M179" i="4"/>
  <c r="S284" i="4"/>
  <c r="S280" i="4"/>
  <c r="AN138" i="5"/>
  <c r="AN134" i="5"/>
  <c r="S235" i="4"/>
  <c r="U204" i="4"/>
  <c r="S178" i="4"/>
  <c r="S232" i="4"/>
  <c r="S234" i="4"/>
  <c r="S231" i="4"/>
  <c r="S209" i="4"/>
  <c r="S196" i="4"/>
  <c r="S201" i="4"/>
  <c r="S202" i="4" s="1"/>
  <c r="S233" i="4"/>
  <c r="AB513" i="4"/>
  <c r="BC32" i="2"/>
  <c r="D35" i="7" s="1"/>
  <c r="Y7" i="14"/>
  <c r="Y6" i="14" s="1"/>
  <c r="P217" i="4"/>
  <c r="AN394" i="4"/>
  <c r="AC486" i="4"/>
  <c r="AC481" i="4"/>
  <c r="AC498" i="4"/>
  <c r="X138" i="5"/>
  <c r="X134" i="5"/>
  <c r="AG138" i="5"/>
  <c r="AG134" i="5"/>
  <c r="M107" i="4"/>
  <c r="S11" i="7"/>
  <c r="S43" i="7" s="1"/>
  <c r="Q34" i="2"/>
  <c r="Q27" i="2"/>
  <c r="BB85" i="2"/>
  <c r="C88" i="7" s="1"/>
  <c r="J41" i="7" s="1"/>
  <c r="H32" i="1" s="1"/>
  <c r="AT381" i="4"/>
  <c r="R320" i="4"/>
  <c r="R318" i="4"/>
  <c r="Y10" i="14"/>
  <c r="P220" i="4"/>
  <c r="Q175" i="4"/>
  <c r="E371" i="4"/>
  <c r="D372" i="4"/>
  <c r="S325" i="4"/>
  <c r="AQ138" i="5"/>
  <c r="AQ134" i="5"/>
  <c r="AX381" i="4"/>
  <c r="AK458" i="4"/>
  <c r="AK137" i="4" s="1"/>
  <c r="AK127" i="4"/>
  <c r="AD497" i="4"/>
  <c r="AD496" i="4" s="1"/>
  <c r="AD485" i="4"/>
  <c r="AD474" i="4"/>
  <c r="AD480" i="4"/>
  <c r="AI138" i="5"/>
  <c r="AI134" i="5"/>
  <c r="AP21" i="2"/>
  <c r="BE21" i="2" s="1"/>
  <c r="AA575" i="4"/>
  <c r="AA574" i="4"/>
  <c r="AA528" i="4"/>
  <c r="AA529" i="4"/>
  <c r="AA530" i="4"/>
  <c r="AK381" i="4"/>
  <c r="C363" i="4"/>
  <c r="Z134" i="5"/>
  <c r="Z138" i="5"/>
  <c r="M124" i="4"/>
  <c r="BC6" i="2"/>
  <c r="AO458" i="4"/>
  <c r="AO137" i="4" s="1"/>
  <c r="AO127" i="4"/>
  <c r="AM148" i="5"/>
  <c r="AI75" i="4"/>
  <c r="AI70" i="4" s="1"/>
  <c r="AJ134" i="5"/>
  <c r="R175" i="4" l="1"/>
  <c r="F24" i="7"/>
  <c r="M21" i="7" s="1"/>
  <c r="K16" i="1" s="1"/>
  <c r="AE131" i="5"/>
  <c r="AE145" i="5" s="1"/>
  <c r="AA81" i="4" s="1"/>
  <c r="AA573" i="4" s="1"/>
  <c r="AA571" i="4" s="1"/>
  <c r="Z558" i="4"/>
  <c r="E372" i="4"/>
  <c r="D373" i="4"/>
  <c r="AX393" i="4"/>
  <c r="AA534" i="4"/>
  <c r="AA554" i="4" s="1"/>
  <c r="Z10" i="14"/>
  <c r="Q220" i="4"/>
  <c r="X148" i="5"/>
  <c r="T75" i="4"/>
  <c r="T70" i="4" s="1"/>
  <c r="M269" i="4"/>
  <c r="M133" i="4" s="1"/>
  <c r="M123" i="4"/>
  <c r="M121" i="4" s="1"/>
  <c r="N269" i="4"/>
  <c r="N133" i="4" s="1"/>
  <c r="N131" i="4" s="1"/>
  <c r="X67" i="2" s="1"/>
  <c r="Z8" i="7" s="1"/>
  <c r="N287" i="4"/>
  <c r="N292" i="4"/>
  <c r="N293" i="4" s="1"/>
  <c r="AZ393" i="4"/>
  <c r="AD513" i="4"/>
  <c r="AO131" i="5"/>
  <c r="AO145" i="5" s="1"/>
  <c r="AK81" i="4" s="1"/>
  <c r="AK573" i="4" s="1"/>
  <c r="AC491" i="4"/>
  <c r="AC479" i="4"/>
  <c r="AW393" i="4"/>
  <c r="C37" i="7"/>
  <c r="BB43" i="2"/>
  <c r="BB35" i="2"/>
  <c r="C38" i="7" s="1"/>
  <c r="AL148" i="5"/>
  <c r="AH75" i="4"/>
  <c r="AH70" i="4" s="1"/>
  <c r="T144" i="5"/>
  <c r="Z393" i="4"/>
  <c r="W38" i="5"/>
  <c r="W39" i="5"/>
  <c r="W40" i="5"/>
  <c r="AJ458" i="4"/>
  <c r="AJ137" i="4" s="1"/>
  <c r="AJ127" i="4"/>
  <c r="AP149" i="4"/>
  <c r="AP459" i="4"/>
  <c r="AP159" i="4" s="1"/>
  <c r="AA148" i="5"/>
  <c r="W75" i="4"/>
  <c r="W70" i="4" s="1"/>
  <c r="X557" i="4"/>
  <c r="X567" i="4" s="1"/>
  <c r="X565" i="4"/>
  <c r="X562" i="4" s="1"/>
  <c r="X521" i="4" s="1"/>
  <c r="H23" i="4"/>
  <c r="R47" i="2" s="1"/>
  <c r="I23" i="4"/>
  <c r="S47" i="2" s="1"/>
  <c r="AB148" i="5"/>
  <c r="X75" i="4"/>
  <c r="X70" i="4" s="1"/>
  <c r="AG394" i="4"/>
  <c r="R107" i="4"/>
  <c r="AV383" i="4"/>
  <c r="Z383" i="4"/>
  <c r="AT395" i="4"/>
  <c r="AH383" i="4"/>
  <c r="AB383" i="4"/>
  <c r="L99" i="4"/>
  <c r="L109" i="4" s="1"/>
  <c r="BE181" i="4"/>
  <c r="L175" i="4"/>
  <c r="AT393" i="4"/>
  <c r="AE148" i="5"/>
  <c r="AA75" i="4"/>
  <c r="AA70" i="4" s="1"/>
  <c r="AI22" i="2"/>
  <c r="AQ148" i="5"/>
  <c r="AM75" i="4"/>
  <c r="AM70" i="4" s="1"/>
  <c r="R322" i="4"/>
  <c r="R323" i="4" s="1"/>
  <c r="R311" i="4"/>
  <c r="R330" i="4"/>
  <c r="R182" i="4"/>
  <c r="AB517" i="4"/>
  <c r="AB160" i="4" s="1"/>
  <c r="AB150" i="4"/>
  <c r="S282" i="4"/>
  <c r="D9" i="7"/>
  <c r="K9" i="7" s="1"/>
  <c r="I4" i="1" s="1"/>
  <c r="R331" i="4"/>
  <c r="R90" i="4"/>
  <c r="AC492" i="4"/>
  <c r="S97" i="4"/>
  <c r="AC6" i="2"/>
  <c r="BA393" i="4"/>
  <c r="AC131" i="5"/>
  <c r="AC145" i="5" s="1"/>
  <c r="Y81" i="4" s="1"/>
  <c r="Y573" i="4" s="1"/>
  <c r="Y571" i="4" s="1"/>
  <c r="AC496" i="4"/>
  <c r="AS393" i="4"/>
  <c r="AR22" i="2"/>
  <c r="AG393" i="4"/>
  <c r="AV22" i="2"/>
  <c r="S35" i="2"/>
  <c r="S43" i="2"/>
  <c r="S83" i="2" s="1"/>
  <c r="AK148" i="5"/>
  <c r="AG75" i="4"/>
  <c r="AG70" i="4" s="1"/>
  <c r="Z565" i="4"/>
  <c r="S318" i="4"/>
  <c r="S320" i="4"/>
  <c r="AK463" i="4"/>
  <c r="AK171" i="4" s="1"/>
  <c r="T243" i="4"/>
  <c r="U240" i="4"/>
  <c r="T242" i="4"/>
  <c r="T244" i="4"/>
  <c r="V130" i="5"/>
  <c r="Z9" i="14"/>
  <c r="Q219" i="4"/>
  <c r="BE97" i="4"/>
  <c r="Y15" i="14"/>
  <c r="Y8" i="2"/>
  <c r="Y5" i="2" s="1"/>
  <c r="O175" i="4"/>
  <c r="U199" i="4"/>
  <c r="V204" i="4" s="1"/>
  <c r="U200" i="4"/>
  <c r="V198" i="4"/>
  <c r="AI383" i="4"/>
  <c r="AI395" i="4" s="1"/>
  <c r="AM395" i="4"/>
  <c r="AQ383" i="4"/>
  <c r="AQ395" i="4" s="1"/>
  <c r="AJ395" i="4"/>
  <c r="AD394" i="4"/>
  <c r="AF148" i="5"/>
  <c r="AB75" i="4"/>
  <c r="AB70" i="4" s="1"/>
  <c r="AN104" i="4"/>
  <c r="AX13" i="2"/>
  <c r="Y393" i="4"/>
  <c r="AF393" i="4"/>
  <c r="U206" i="4"/>
  <c r="U165" i="4" s="1"/>
  <c r="M98" i="4"/>
  <c r="BE179" i="4"/>
  <c r="BE98" i="4" s="1"/>
  <c r="BE108" i="4" s="1"/>
  <c r="M180" i="4"/>
  <c r="Z15" i="14"/>
  <c r="P175" i="4"/>
  <c r="Z8" i="2"/>
  <c r="Z5" i="2" s="1"/>
  <c r="Q144" i="5"/>
  <c r="AF471" i="4"/>
  <c r="AF472" i="4" s="1"/>
  <c r="AG470" i="4"/>
  <c r="J47" i="7"/>
  <c r="H20" i="1"/>
  <c r="AD148" i="5"/>
  <c r="Z75" i="4"/>
  <c r="Z70" i="4" s="1"/>
  <c r="V67" i="10"/>
  <c r="V72" i="10" s="1"/>
  <c r="V73" i="10" s="1"/>
  <c r="B72" i="10"/>
  <c r="B73" i="10" s="1"/>
  <c r="T284" i="4"/>
  <c r="T280" i="4"/>
  <c r="T282" i="4" s="1"/>
  <c r="AO393" i="4"/>
  <c r="W5" i="2"/>
  <c r="AJ393" i="4"/>
  <c r="Q334" i="4"/>
  <c r="Q135" i="4" s="1"/>
  <c r="Q125" i="4"/>
  <c r="Q121" i="4" s="1"/>
  <c r="U248" i="4"/>
  <c r="S265" i="4"/>
  <c r="S179" i="4"/>
  <c r="S260" i="4"/>
  <c r="S245" i="4"/>
  <c r="S246" i="4" s="1"/>
  <c r="S238" i="4"/>
  <c r="AD493" i="4"/>
  <c r="S326" i="4"/>
  <c r="S327" i="4" s="1"/>
  <c r="S168" i="4" s="1"/>
  <c r="R302" i="4"/>
  <c r="R156" i="4" s="1"/>
  <c r="R146" i="4"/>
  <c r="T210" i="4"/>
  <c r="T144" i="4"/>
  <c r="T87" i="4"/>
  <c r="U205" i="4"/>
  <c r="T214" i="4"/>
  <c r="T154" i="4" s="1"/>
  <c r="BB395" i="4"/>
  <c r="AG383" i="4"/>
  <c r="AG395" i="4" s="1"/>
  <c r="BA395" i="4"/>
  <c r="AR395" i="4"/>
  <c r="AD257" i="4"/>
  <c r="AL393" i="4"/>
  <c r="AA547" i="4"/>
  <c r="AG148" i="5"/>
  <c r="AC75" i="4"/>
  <c r="AC70" i="4" s="1"/>
  <c r="S298" i="4"/>
  <c r="AA80" i="2"/>
  <c r="AE477" i="4"/>
  <c r="AE476" i="4"/>
  <c r="AE475" i="4"/>
  <c r="R270" i="4"/>
  <c r="R155" i="4" s="1"/>
  <c r="R145" i="4"/>
  <c r="Y183" i="4"/>
  <c r="Y188" i="4"/>
  <c r="AI10" i="2" s="1"/>
  <c r="AR393" i="4"/>
  <c r="AO459" i="4"/>
  <c r="AO159" i="4" s="1"/>
  <c r="AO149" i="4"/>
  <c r="AO84" i="5"/>
  <c r="AG84" i="5"/>
  <c r="Y84" i="5"/>
  <c r="AS84" i="5"/>
  <c r="AJ84" i="5"/>
  <c r="AA84" i="5"/>
  <c r="AN84" i="5"/>
  <c r="AD84" i="5"/>
  <c r="R84" i="5"/>
  <c r="AR84" i="5"/>
  <c r="AH84" i="5"/>
  <c r="W84" i="5"/>
  <c r="AQ84" i="5"/>
  <c r="AF84" i="5"/>
  <c r="T84" i="5"/>
  <c r="AT84" i="5"/>
  <c r="AB84" i="5"/>
  <c r="AP84" i="5"/>
  <c r="Z84" i="5"/>
  <c r="AM84" i="5"/>
  <c r="X84" i="5"/>
  <c r="AK84" i="5"/>
  <c r="AI84" i="5"/>
  <c r="AC84" i="5"/>
  <c r="S84" i="5"/>
  <c r="I85" i="5"/>
  <c r="Q84" i="5"/>
  <c r="AL84" i="5"/>
  <c r="AE84" i="5"/>
  <c r="AA16" i="14"/>
  <c r="Q100" i="4"/>
  <c r="Q110" i="4" s="1"/>
  <c r="AA9" i="2"/>
  <c r="T249" i="4"/>
  <c r="T250" i="4" s="1"/>
  <c r="T166" i="4" s="1"/>
  <c r="S266" i="4"/>
  <c r="S88" i="4"/>
  <c r="W24" i="2"/>
  <c r="T232" i="4"/>
  <c r="T201" i="4"/>
  <c r="T202" i="4" s="1"/>
  <c r="T231" i="4"/>
  <c r="T178" i="4"/>
  <c r="T234" i="4"/>
  <c r="T235" i="4"/>
  <c r="T209" i="4"/>
  <c r="T196" i="4"/>
  <c r="T233" i="4"/>
  <c r="AK395" i="4"/>
  <c r="AA383" i="4"/>
  <c r="AU383" i="4"/>
  <c r="W383" i="4"/>
  <c r="AZ383" i="4"/>
  <c r="AZ395" i="4" s="1"/>
  <c r="BD21" i="2"/>
  <c r="P301" i="4"/>
  <c r="P134" i="4" s="1"/>
  <c r="P131" i="4" s="1"/>
  <c r="Z67" i="2" s="1"/>
  <c r="AB8" i="7" s="1"/>
  <c r="AB13" i="7" s="1"/>
  <c r="N301" i="4"/>
  <c r="N134" i="4" s="1"/>
  <c r="L301" i="4"/>
  <c r="M301" i="4"/>
  <c r="M134" i="4" s="1"/>
  <c r="Q301" i="4"/>
  <c r="Q134" i="4" s="1"/>
  <c r="O301" i="4"/>
  <c r="O134" i="4" s="1"/>
  <c r="O131" i="4" s="1"/>
  <c r="Y67" i="2" s="1"/>
  <c r="AA8" i="7" s="1"/>
  <c r="R301" i="4"/>
  <c r="R134" i="4" s="1"/>
  <c r="AK393" i="4"/>
  <c r="AZ371" i="4"/>
  <c r="AZ384" i="4" s="1"/>
  <c r="AZ396" i="4" s="1"/>
  <c r="AR371" i="4"/>
  <c r="AJ371" i="4"/>
  <c r="AB371" i="4"/>
  <c r="AB384" i="4" s="1"/>
  <c r="AB396" i="4" s="1"/>
  <c r="T371" i="4"/>
  <c r="AU371" i="4"/>
  <c r="AU384" i="4" s="1"/>
  <c r="AU396" i="4" s="1"/>
  <c r="AL371" i="4"/>
  <c r="AL384" i="4" s="1"/>
  <c r="AL396" i="4" s="1"/>
  <c r="AC371" i="4"/>
  <c r="S371" i="4"/>
  <c r="AW371" i="4"/>
  <c r="AW384" i="4" s="1"/>
  <c r="AW396" i="4" s="1"/>
  <c r="AN371" i="4"/>
  <c r="AN384" i="4" s="1"/>
  <c r="AN396" i="4" s="1"/>
  <c r="AE371" i="4"/>
  <c r="AE384" i="4" s="1"/>
  <c r="AE396" i="4" s="1"/>
  <c r="V371" i="4"/>
  <c r="BA371" i="4"/>
  <c r="AO371" i="4"/>
  <c r="AO384" i="4" s="1"/>
  <c r="AO396" i="4" s="1"/>
  <c r="AA371" i="4"/>
  <c r="AA384" i="4" s="1"/>
  <c r="AA396" i="4" s="1"/>
  <c r="AV371" i="4"/>
  <c r="AV384" i="4" s="1"/>
  <c r="AV396" i="4" s="1"/>
  <c r="AH371" i="4"/>
  <c r="AH384" i="4" s="1"/>
  <c r="AH396" i="4" s="1"/>
  <c r="U371" i="4"/>
  <c r="AT371" i="4"/>
  <c r="AG371" i="4"/>
  <c r="AG384" i="4" s="1"/>
  <c r="AG396" i="4" s="1"/>
  <c r="R371" i="4"/>
  <c r="AS371" i="4"/>
  <c r="AF371" i="4"/>
  <c r="AF384" i="4" s="1"/>
  <c r="AF396" i="4" s="1"/>
  <c r="AQ371" i="4"/>
  <c r="AQ384" i="4" s="1"/>
  <c r="AQ396" i="4" s="1"/>
  <c r="AD371" i="4"/>
  <c r="AD384" i="4" s="1"/>
  <c r="AP371" i="4"/>
  <c r="AP384" i="4" s="1"/>
  <c r="AP396" i="4" s="1"/>
  <c r="Z371" i="4"/>
  <c r="Z384" i="4" s="1"/>
  <c r="Z396" i="4" s="1"/>
  <c r="BB371" i="4"/>
  <c r="AM371" i="4"/>
  <c r="Y371" i="4"/>
  <c r="Y384" i="4" s="1"/>
  <c r="Y396" i="4" s="1"/>
  <c r="AY371" i="4"/>
  <c r="AK371" i="4"/>
  <c r="X371" i="4"/>
  <c r="X384" i="4" s="1"/>
  <c r="AX371" i="4"/>
  <c r="AX384" i="4" s="1"/>
  <c r="AX396" i="4" s="1"/>
  <c r="AI371" i="4"/>
  <c r="AI384" i="4" s="1"/>
  <c r="AI396" i="4" s="1"/>
  <c r="W371" i="4"/>
  <c r="W384" i="4" s="1"/>
  <c r="O146" i="4"/>
  <c r="O143" i="4" s="1"/>
  <c r="O302" i="4"/>
  <c r="O156" i="4" s="1"/>
  <c r="O153" i="4" s="1"/>
  <c r="Y73" i="2" s="1"/>
  <c r="BG94" i="4"/>
  <c r="S131" i="5"/>
  <c r="S145" i="5" s="1"/>
  <c r="O81" i="4" s="1"/>
  <c r="O573" i="4" s="1"/>
  <c r="L96" i="4"/>
  <c r="X24" i="2"/>
  <c r="X20" i="2" s="1"/>
  <c r="Z276" i="4"/>
  <c r="U277" i="4"/>
  <c r="U305" i="4"/>
  <c r="V275" i="4"/>
  <c r="U278" i="4"/>
  <c r="T131" i="5"/>
  <c r="T145" i="5" s="1"/>
  <c r="P81" i="4" s="1"/>
  <c r="P573" i="4" s="1"/>
  <c r="X44" i="7"/>
  <c r="X21" i="7"/>
  <c r="S80" i="2"/>
  <c r="AQ393" i="4"/>
  <c r="AD79" i="2"/>
  <c r="O124" i="4"/>
  <c r="O121" i="4" s="1"/>
  <c r="AW395" i="4"/>
  <c r="AN383" i="4"/>
  <c r="AF383" i="4"/>
  <c r="BB393" i="4"/>
  <c r="AU393" i="4"/>
  <c r="AN458" i="4"/>
  <c r="AN137" i="4" s="1"/>
  <c r="AN127" i="4"/>
  <c r="X15" i="14"/>
  <c r="X8" i="2"/>
  <c r="X5" i="2" s="1"/>
  <c r="N175" i="4"/>
  <c r="AS131" i="5"/>
  <c r="AS145" i="5" s="1"/>
  <c r="AO81" i="4" s="1"/>
  <c r="AO573" i="4" s="1"/>
  <c r="AA535" i="4"/>
  <c r="AA555" i="4" s="1"/>
  <c r="Z7" i="14"/>
  <c r="Q217" i="4"/>
  <c r="N261" i="4"/>
  <c r="N262" i="4"/>
  <c r="N254" i="4" s="1"/>
  <c r="AI148" i="5"/>
  <c r="AE75" i="4"/>
  <c r="AE70" i="4" s="1"/>
  <c r="N253" i="4"/>
  <c r="M252" i="4"/>
  <c r="Z539" i="4"/>
  <c r="Z559" i="4" s="1"/>
  <c r="Z564" i="4" s="1"/>
  <c r="H201" i="4"/>
  <c r="H202" i="4" s="1"/>
  <c r="H210" i="4"/>
  <c r="H214" i="4" s="1"/>
  <c r="I205" i="4"/>
  <c r="I206" i="4" s="1"/>
  <c r="U144" i="5"/>
  <c r="AJ459" i="4"/>
  <c r="AJ159" i="4" s="1"/>
  <c r="AJ149" i="4"/>
  <c r="X49" i="5"/>
  <c r="X41" i="5"/>
  <c r="X43" i="5"/>
  <c r="X48" i="5"/>
  <c r="X42" i="5"/>
  <c r="X46" i="5"/>
  <c r="X47" i="5"/>
  <c r="X45" i="5"/>
  <c r="X44" i="5"/>
  <c r="T306" i="4"/>
  <c r="N302" i="4"/>
  <c r="N156" i="4" s="1"/>
  <c r="N153" i="4" s="1"/>
  <c r="X73" i="2" s="1"/>
  <c r="N146" i="4"/>
  <c r="N143" i="4" s="1"/>
  <c r="W44" i="7"/>
  <c r="W21" i="7"/>
  <c r="AB545" i="4"/>
  <c r="AB550" i="4" s="1"/>
  <c r="AB544" i="4"/>
  <c r="AB549" i="4" s="1"/>
  <c r="AB543" i="4"/>
  <c r="AB548" i="4" s="1"/>
  <c r="AS78" i="5"/>
  <c r="AK78" i="5"/>
  <c r="AC78" i="5"/>
  <c r="U78" i="5"/>
  <c r="AP78" i="5"/>
  <c r="AG78" i="5"/>
  <c r="X78" i="5"/>
  <c r="AR78" i="5"/>
  <c r="AH78" i="5"/>
  <c r="W78" i="5"/>
  <c r="AJ78" i="5"/>
  <c r="Z78" i="5"/>
  <c r="AL78" i="5"/>
  <c r="V78" i="5"/>
  <c r="I79" i="5"/>
  <c r="AI78" i="5"/>
  <c r="T78" i="5"/>
  <c r="AF78" i="5"/>
  <c r="S78" i="5"/>
  <c r="AM78" i="5"/>
  <c r="AE78" i="5"/>
  <c r="AB78" i="5"/>
  <c r="AT78" i="5"/>
  <c r="AA78" i="5"/>
  <c r="AQ78" i="5"/>
  <c r="Y78" i="5"/>
  <c r="AO78" i="5"/>
  <c r="R78" i="5"/>
  <c r="AD78" i="5"/>
  <c r="Q78" i="5"/>
  <c r="AN78" i="5"/>
  <c r="S144" i="5"/>
  <c r="R123" i="4"/>
  <c r="R269" i="4"/>
  <c r="R133" i="4" s="1"/>
  <c r="X383" i="4"/>
  <c r="AE395" i="4"/>
  <c r="AO395" i="4"/>
  <c r="AM393" i="4"/>
  <c r="Y24" i="2"/>
  <c r="Y20" i="2" s="1"/>
  <c r="AO463" i="4"/>
  <c r="AO171" i="4" s="1"/>
  <c r="AN459" i="4"/>
  <c r="AN159" i="4" s="1"/>
  <c r="AN149" i="4"/>
  <c r="Z8" i="14"/>
  <c r="Q218" i="4"/>
  <c r="AR131" i="5"/>
  <c r="AR145" i="5" s="1"/>
  <c r="AN81" i="4" s="1"/>
  <c r="AN573" i="4" s="1"/>
  <c r="AA72" i="2"/>
  <c r="T285" i="4"/>
  <c r="T281" i="4"/>
  <c r="AA11" i="14"/>
  <c r="R221" i="4"/>
  <c r="AD393" i="4"/>
  <c r="AB530" i="4"/>
  <c r="AB574" i="4"/>
  <c r="AB575" i="4"/>
  <c r="AB528" i="4"/>
  <c r="AB529" i="4"/>
  <c r="AP104" i="4"/>
  <c r="AZ13" i="2"/>
  <c r="R98" i="4"/>
  <c r="R108" i="4" s="1"/>
  <c r="AB7" i="2"/>
  <c r="BC7" i="2" s="1"/>
  <c r="D10" i="7" s="1"/>
  <c r="K10" i="7" s="1"/>
  <c r="I5" i="1" s="1"/>
  <c r="AB75" i="2"/>
  <c r="BE90" i="4"/>
  <c r="R124" i="4"/>
  <c r="AB393" i="4"/>
  <c r="AC393" i="4"/>
  <c r="AL383" i="4"/>
  <c r="AP383" i="4"/>
  <c r="AS395" i="4"/>
  <c r="AX383" i="4"/>
  <c r="AX395" i="4" s="1"/>
  <c r="Z45" i="2"/>
  <c r="P141" i="4"/>
  <c r="AC507" i="4"/>
  <c r="AB512" i="4"/>
  <c r="AB467" i="4"/>
  <c r="AB185" i="4" s="1"/>
  <c r="Q57" i="4"/>
  <c r="P56" i="4"/>
  <c r="Z258" i="4"/>
  <c r="K109" i="4"/>
  <c r="K96" i="4"/>
  <c r="K106" i="4" s="1"/>
  <c r="S213" i="4"/>
  <c r="S132" i="4" s="1"/>
  <c r="S122" i="4"/>
  <c r="Z148" i="5"/>
  <c r="V75" i="4"/>
  <c r="V70" i="4" s="1"/>
  <c r="AA527" i="4"/>
  <c r="AA533" i="4"/>
  <c r="AD491" i="4"/>
  <c r="AD479" i="4"/>
  <c r="Q35" i="2"/>
  <c r="Q43" i="2"/>
  <c r="AC31" i="2"/>
  <c r="AB51" i="2"/>
  <c r="BC51" i="2" s="1"/>
  <c r="D54" i="7" s="1"/>
  <c r="BC31" i="2"/>
  <c r="D34" i="7" s="1"/>
  <c r="R35" i="2"/>
  <c r="R43" i="2"/>
  <c r="R83" i="2" s="1"/>
  <c r="AW22" i="2"/>
  <c r="BE22" i="2" s="1"/>
  <c r="AN148" i="5"/>
  <c r="AJ75" i="4"/>
  <c r="AJ70" i="4" s="1"/>
  <c r="AA393" i="4"/>
  <c r="AJ131" i="5"/>
  <c r="AJ145" i="5" s="1"/>
  <c r="AF81" i="4" s="1"/>
  <c r="AF573" i="4" s="1"/>
  <c r="AS59" i="5"/>
  <c r="AK59" i="5"/>
  <c r="AK131" i="5" s="1"/>
  <c r="AK145" i="5" s="1"/>
  <c r="AG81" i="4" s="1"/>
  <c r="AG573" i="4" s="1"/>
  <c r="AC59" i="5"/>
  <c r="U59" i="5"/>
  <c r="AQ59" i="5"/>
  <c r="AQ131" i="5" s="1"/>
  <c r="AQ145" i="5" s="1"/>
  <c r="AM81" i="4" s="1"/>
  <c r="AM573" i="4" s="1"/>
  <c r="AH59" i="5"/>
  <c r="Y59" i="5"/>
  <c r="AO59" i="5"/>
  <c r="AE59" i="5"/>
  <c r="T59" i="5"/>
  <c r="AM59" i="5"/>
  <c r="AM131" i="5" s="1"/>
  <c r="AM145" i="5" s="1"/>
  <c r="AI81" i="4" s="1"/>
  <c r="AI573" i="4" s="1"/>
  <c r="AB59" i="5"/>
  <c r="R59" i="5"/>
  <c r="AI59" i="5"/>
  <c r="AI131" i="5" s="1"/>
  <c r="AI145" i="5" s="1"/>
  <c r="AE81" i="4" s="1"/>
  <c r="AE573" i="4" s="1"/>
  <c r="V59" i="5"/>
  <c r="V131" i="5" s="1"/>
  <c r="V145" i="5" s="1"/>
  <c r="R81" i="4" s="1"/>
  <c r="AR59" i="5"/>
  <c r="AD59" i="5"/>
  <c r="AD131" i="5" s="1"/>
  <c r="AD145" i="5" s="1"/>
  <c r="Z81" i="4" s="1"/>
  <c r="Z573" i="4" s="1"/>
  <c r="Z571" i="4" s="1"/>
  <c r="AP59" i="5"/>
  <c r="AP131" i="5" s="1"/>
  <c r="AP145" i="5" s="1"/>
  <c r="AL81" i="4" s="1"/>
  <c r="AL573" i="4" s="1"/>
  <c r="AA59" i="5"/>
  <c r="AN59" i="5"/>
  <c r="AN131" i="5" s="1"/>
  <c r="AN145" i="5" s="1"/>
  <c r="AJ81" i="4" s="1"/>
  <c r="AJ573" i="4" s="1"/>
  <c r="Z59" i="5"/>
  <c r="AL59" i="5"/>
  <c r="X59" i="5"/>
  <c r="W59" i="5"/>
  <c r="S59" i="5"/>
  <c r="AT59" i="5"/>
  <c r="AT131" i="5" s="1"/>
  <c r="AT145" i="5" s="1"/>
  <c r="AP81" i="4" s="1"/>
  <c r="AP573" i="4" s="1"/>
  <c r="AJ59" i="5"/>
  <c r="AG59" i="5"/>
  <c r="AF59" i="5"/>
  <c r="AF131" i="5" s="1"/>
  <c r="AF145" i="5" s="1"/>
  <c r="AB81" i="4" s="1"/>
  <c r="AB573" i="4" s="1"/>
  <c r="AB571" i="4" s="1"/>
  <c r="Q59" i="5"/>
  <c r="Q131" i="5" s="1"/>
  <c r="Q145" i="5" s="1"/>
  <c r="M81" i="4" s="1"/>
  <c r="M573" i="4" s="1"/>
  <c r="P124" i="4"/>
  <c r="P121" i="4" s="1"/>
  <c r="AC513" i="4"/>
  <c r="AC32" i="2"/>
  <c r="AC50" i="2"/>
  <c r="AD29" i="2"/>
  <c r="Q153" i="4"/>
  <c r="AA73" i="2" s="1"/>
  <c r="AC12" i="7" s="1"/>
  <c r="Z553" i="4"/>
  <c r="Z532" i="4"/>
  <c r="AY393" i="4"/>
  <c r="U313" i="4"/>
  <c r="T314" i="4"/>
  <c r="T319" i="4"/>
  <c r="T321" i="4"/>
  <c r="AB316" i="4"/>
  <c r="AT13" i="2"/>
  <c r="AJ104" i="4"/>
  <c r="BG186" i="4"/>
  <c r="BG104" i="4" s="1"/>
  <c r="AL394" i="4"/>
  <c r="AC576" i="4"/>
  <c r="AD524" i="4"/>
  <c r="AC525" i="4"/>
  <c r="AC542" i="4"/>
  <c r="AE393" i="4"/>
  <c r="AP458" i="4"/>
  <c r="AP137" i="4" s="1"/>
  <c r="AP127" i="4"/>
  <c r="Q335" i="4"/>
  <c r="Q157" i="4" s="1"/>
  <c r="Q147" i="4"/>
  <c r="Q143" i="4" s="1"/>
  <c r="U35" i="2"/>
  <c r="U43" i="2"/>
  <c r="U83" i="2" s="1"/>
  <c r="U82" i="2" s="1"/>
  <c r="T82" i="2" s="1"/>
  <c r="S82" i="2" s="1"/>
  <c r="R82" i="2" s="1"/>
  <c r="AB15" i="14"/>
  <c r="AB8" i="2"/>
  <c r="AY395" i="4"/>
  <c r="Y383" i="4"/>
  <c r="AR148" i="5"/>
  <c r="AN75" i="4"/>
  <c r="AN70" i="4" s="1"/>
  <c r="AW394" i="4"/>
  <c r="M270" i="4"/>
  <c r="M155" i="4" s="1"/>
  <c r="M153" i="4" s="1"/>
  <c r="W73" i="2" s="1"/>
  <c r="M145" i="4"/>
  <c r="M143" i="4" s="1"/>
  <c r="N124" i="4"/>
  <c r="N121" i="4" s="1"/>
  <c r="AB568" i="4" l="1"/>
  <c r="AB91" i="4"/>
  <c r="AA45" i="2"/>
  <c r="Q141" i="4"/>
  <c r="Z568" i="4"/>
  <c r="Z91" i="4"/>
  <c r="R131" i="4"/>
  <c r="AB67" i="2" s="1"/>
  <c r="AD503" i="4"/>
  <c r="F25" i="7"/>
  <c r="M22" i="7" s="1"/>
  <c r="K17" i="1" s="1"/>
  <c r="N141" i="4"/>
  <c r="X45" i="2"/>
  <c r="Q80" i="4"/>
  <c r="Q286" i="4" s="1"/>
  <c r="U284" i="4"/>
  <c r="U280" i="4"/>
  <c r="O141" i="4"/>
  <c r="Y45" i="2"/>
  <c r="AK384" i="4"/>
  <c r="E24" i="7"/>
  <c r="L21" i="7" s="1"/>
  <c r="J16" i="1" s="1"/>
  <c r="AA395" i="4"/>
  <c r="T97" i="4"/>
  <c r="AD6" i="2"/>
  <c r="AI17" i="14"/>
  <c r="Q119" i="4"/>
  <c r="AA44" i="2"/>
  <c r="M175" i="4"/>
  <c r="BE180" i="4"/>
  <c r="BE175" i="4" s="1"/>
  <c r="R335" i="4"/>
  <c r="R157" i="4" s="1"/>
  <c r="R153" i="4" s="1"/>
  <c r="AB73" i="2" s="1"/>
  <c r="R147" i="4"/>
  <c r="AA539" i="4"/>
  <c r="AA559" i="4" s="1"/>
  <c r="AA564" i="4" s="1"/>
  <c r="Z537" i="4"/>
  <c r="AC384" i="4"/>
  <c r="AB80" i="2"/>
  <c r="M80" i="4"/>
  <c r="M286" i="4" s="1"/>
  <c r="AA9" i="7"/>
  <c r="Y17" i="2"/>
  <c r="S331" i="4"/>
  <c r="S90" i="4"/>
  <c r="AH395" i="4"/>
  <c r="AD517" i="4"/>
  <c r="AD160" i="4" s="1"/>
  <c r="AD150" i="4"/>
  <c r="M119" i="4"/>
  <c r="W44" i="2"/>
  <c r="AA568" i="4"/>
  <c r="AA91" i="4"/>
  <c r="AD576" i="4"/>
  <c r="AD542" i="4"/>
  <c r="AE524" i="4"/>
  <c r="AD525" i="4"/>
  <c r="P119" i="4"/>
  <c r="Z44" i="2"/>
  <c r="Q82" i="2"/>
  <c r="BC82" i="2" s="1"/>
  <c r="D85" i="7" s="1"/>
  <c r="AA553" i="4"/>
  <c r="AA532" i="4"/>
  <c r="AL12" i="2"/>
  <c r="AB11" i="14"/>
  <c r="S221" i="4"/>
  <c r="T320" i="4"/>
  <c r="T318" i="4"/>
  <c r="AB516" i="4"/>
  <c r="AB138" i="4" s="1"/>
  <c r="AB128" i="4"/>
  <c r="AA8" i="14"/>
  <c r="R218" i="4"/>
  <c r="AB547" i="4"/>
  <c r="X38" i="5"/>
  <c r="X40" i="5"/>
  <c r="X39" i="5"/>
  <c r="AS384" i="4"/>
  <c r="S145" i="4"/>
  <c r="S270" i="4"/>
  <c r="S155" i="4" s="1"/>
  <c r="T326" i="4"/>
  <c r="T327" i="4" s="1"/>
  <c r="T168" i="4" s="1"/>
  <c r="R143" i="4"/>
  <c r="S302" i="4"/>
  <c r="S156" i="4" s="1"/>
  <c r="S146" i="4"/>
  <c r="T297" i="4"/>
  <c r="T273" i="4"/>
  <c r="AC291" i="4"/>
  <c r="T181" i="4"/>
  <c r="AB68" i="2"/>
  <c r="AB9" i="7"/>
  <c r="Z17" i="2"/>
  <c r="M108" i="4"/>
  <c r="S322" i="4"/>
  <c r="S323" i="4" s="1"/>
  <c r="S330" i="4"/>
  <c r="S311" i="4"/>
  <c r="S182" i="4"/>
  <c r="AB16" i="14"/>
  <c r="R100" i="4"/>
  <c r="R110" i="4" s="1"/>
  <c r="AB9" i="2"/>
  <c r="BD22" i="2"/>
  <c r="E25" i="7" s="1"/>
  <c r="L22" i="7" s="1"/>
  <c r="J17" i="1" s="1"/>
  <c r="M131" i="4"/>
  <c r="W67" i="2" s="1"/>
  <c r="Y8" i="7" s="1"/>
  <c r="Y13" i="7" s="1"/>
  <c r="M141" i="4"/>
  <c r="W45" i="2"/>
  <c r="Y395" i="4"/>
  <c r="U319" i="4"/>
  <c r="U321" i="4"/>
  <c r="AC316" i="4"/>
  <c r="U314" i="4"/>
  <c r="V313" i="4"/>
  <c r="AC51" i="2"/>
  <c r="AD31" i="2"/>
  <c r="AA538" i="4"/>
  <c r="AP395" i="4"/>
  <c r="X14" i="14"/>
  <c r="O254" i="4"/>
  <c r="BA384" i="4"/>
  <c r="Y9" i="7"/>
  <c r="W17" i="2"/>
  <c r="S107" i="4"/>
  <c r="N119" i="4"/>
  <c r="X44" i="2"/>
  <c r="BC75" i="2"/>
  <c r="D78" i="7" s="1"/>
  <c r="K38" i="7" s="1"/>
  <c r="I30" i="1" s="1"/>
  <c r="AC75" i="2"/>
  <c r="AB534" i="4"/>
  <c r="AB554" i="4" s="1"/>
  <c r="Z9" i="7"/>
  <c r="X17" i="2"/>
  <c r="O119" i="4"/>
  <c r="Y44" i="2"/>
  <c r="AM384" i="4"/>
  <c r="AB21" i="7"/>
  <c r="AB44" i="7"/>
  <c r="V144" i="5"/>
  <c r="R334" i="4"/>
  <c r="R135" i="4" s="1"/>
  <c r="R125" i="4"/>
  <c r="R121" i="4" s="1"/>
  <c r="X183" i="4"/>
  <c r="X188" i="4"/>
  <c r="AH10" i="2" s="1"/>
  <c r="C46" i="7"/>
  <c r="BB58" i="2"/>
  <c r="Y12" i="7"/>
  <c r="AC52" i="2"/>
  <c r="AA258" i="4"/>
  <c r="AB533" i="4"/>
  <c r="AB538" i="4"/>
  <c r="AB527" i="4"/>
  <c r="AF395" i="4"/>
  <c r="L106" i="4"/>
  <c r="BB384" i="4"/>
  <c r="BE182" i="4"/>
  <c r="BE100" i="4" s="1"/>
  <c r="BE110" i="4" s="1"/>
  <c r="AE497" i="4"/>
  <c r="AE480" i="4"/>
  <c r="AE474" i="4"/>
  <c r="AE485" i="4"/>
  <c r="S261" i="4"/>
  <c r="S262" i="4"/>
  <c r="BC8" i="2"/>
  <c r="AB5" i="2"/>
  <c r="BE107" i="4"/>
  <c r="Z395" i="4"/>
  <c r="U326" i="4"/>
  <c r="AT132" i="5"/>
  <c r="AT146" i="5" s="1"/>
  <c r="AP82" i="4" s="1"/>
  <c r="V325" i="4"/>
  <c r="AY384" i="4"/>
  <c r="T122" i="4"/>
  <c r="T213" i="4"/>
  <c r="T132" i="4" s="1"/>
  <c r="AA5" i="2"/>
  <c r="BC9" i="2"/>
  <c r="D12" i="7" s="1"/>
  <c r="K12" i="7" s="1"/>
  <c r="I7" i="1" s="1"/>
  <c r="S98" i="4"/>
  <c r="S108" i="4" s="1"/>
  <c r="AC7" i="2"/>
  <c r="W198" i="4"/>
  <c r="V200" i="4"/>
  <c r="V199" i="4"/>
  <c r="AS79" i="5"/>
  <c r="AK79" i="5"/>
  <c r="AC79" i="5"/>
  <c r="AC132" i="5" s="1"/>
  <c r="AC146" i="5" s="1"/>
  <c r="Y82" i="4" s="1"/>
  <c r="U79" i="5"/>
  <c r="AL79" i="5"/>
  <c r="AH503" i="4" s="1"/>
  <c r="AB79" i="5"/>
  <c r="S79" i="5"/>
  <c r="S132" i="5" s="1"/>
  <c r="AQ79" i="5"/>
  <c r="AG79" i="5"/>
  <c r="W79" i="5"/>
  <c r="AT79" i="5"/>
  <c r="AI79" i="5"/>
  <c r="AE503" i="4" s="1"/>
  <c r="Y79" i="5"/>
  <c r="Y132" i="5" s="1"/>
  <c r="Y146" i="5" s="1"/>
  <c r="U82" i="4" s="1"/>
  <c r="AR79" i="5"/>
  <c r="AN503" i="4" s="1"/>
  <c r="AE79" i="5"/>
  <c r="Q79" i="5"/>
  <c r="AP79" i="5"/>
  <c r="AD79" i="5"/>
  <c r="AO79" i="5"/>
  <c r="AK503" i="4" s="1"/>
  <c r="AA79" i="5"/>
  <c r="V79" i="5"/>
  <c r="V132" i="5" s="1"/>
  <c r="AN79" i="5"/>
  <c r="AJ503" i="4" s="1"/>
  <c r="T79" i="5"/>
  <c r="AJ79" i="5"/>
  <c r="AH79" i="5"/>
  <c r="AF79" i="5"/>
  <c r="AB503" i="4" s="1"/>
  <c r="Z79" i="5"/>
  <c r="AM79" i="5"/>
  <c r="AI503" i="4" s="1"/>
  <c r="X79" i="5"/>
  <c r="R79" i="5"/>
  <c r="Q83" i="2"/>
  <c r="Q58" i="2"/>
  <c r="T298" i="4"/>
  <c r="R80" i="2"/>
  <c r="U285" i="4"/>
  <c r="U281" i="4"/>
  <c r="AE486" i="4"/>
  <c r="AE481" i="4"/>
  <c r="AE492" i="4" s="1"/>
  <c r="AE498" i="4"/>
  <c r="T245" i="4"/>
  <c r="T246" i="4" s="1"/>
  <c r="T260" i="4"/>
  <c r="T238" i="4"/>
  <c r="V248" i="4"/>
  <c r="T265" i="4"/>
  <c r="T179" i="4"/>
  <c r="Y577" i="4"/>
  <c r="Y568" i="4"/>
  <c r="Y569" i="4" s="1"/>
  <c r="Y169" i="4" s="1"/>
  <c r="Y91" i="4"/>
  <c r="Y101" i="4" s="1"/>
  <c r="Y111" i="4" s="1"/>
  <c r="S180" i="4"/>
  <c r="T67" i="7"/>
  <c r="N167" i="4"/>
  <c r="E373" i="4"/>
  <c r="D374" i="4"/>
  <c r="AC543" i="4"/>
  <c r="AC548" i="4" s="1"/>
  <c r="AC544" i="4"/>
  <c r="AC549" i="4" s="1"/>
  <c r="AC545" i="4"/>
  <c r="AC550" i="4" s="1"/>
  <c r="Z552" i="4"/>
  <c r="Z563" i="4"/>
  <c r="Z562" i="4" s="1"/>
  <c r="Z521" i="4" s="1"/>
  <c r="AC517" i="4"/>
  <c r="AC160" i="4" s="1"/>
  <c r="AC150" i="4"/>
  <c r="Z24" i="2"/>
  <c r="Z20" i="2" s="1"/>
  <c r="V315" i="4"/>
  <c r="W315" i="4" s="1"/>
  <c r="AM503" i="4"/>
  <c r="Z6" i="14"/>
  <c r="V278" i="4"/>
  <c r="V277" i="4"/>
  <c r="V305" i="4"/>
  <c r="AA276" i="4"/>
  <c r="W275" i="4"/>
  <c r="AJ384" i="4"/>
  <c r="AU395" i="4"/>
  <c r="W20" i="2"/>
  <c r="AQ85" i="5"/>
  <c r="AQ132" i="5" s="1"/>
  <c r="AQ146" i="5" s="1"/>
  <c r="AM82" i="4" s="1"/>
  <c r="AI85" i="5"/>
  <c r="AE501" i="4" s="1"/>
  <c r="AA85" i="5"/>
  <c r="Q85" i="5"/>
  <c r="AP85" i="5"/>
  <c r="AL501" i="4" s="1"/>
  <c r="AG85" i="5"/>
  <c r="X85" i="5"/>
  <c r="X131" i="5" s="1"/>
  <c r="X145" i="5" s="1"/>
  <c r="T81" i="4" s="1"/>
  <c r="AO85" i="5"/>
  <c r="AE85" i="5"/>
  <c r="S85" i="5"/>
  <c r="S115" i="5" s="1"/>
  <c r="AT85" i="5"/>
  <c r="AP501" i="4" s="1"/>
  <c r="AJ85" i="5"/>
  <c r="AF501" i="4" s="1"/>
  <c r="Y85" i="5"/>
  <c r="Y131" i="5" s="1"/>
  <c r="Y145" i="5" s="1"/>
  <c r="U81" i="4" s="1"/>
  <c r="AS85" i="5"/>
  <c r="AO501" i="4" s="1"/>
  <c r="AH85" i="5"/>
  <c r="W85" i="5"/>
  <c r="AD85" i="5"/>
  <c r="AD132" i="5" s="1"/>
  <c r="AD146" i="5" s="1"/>
  <c r="Z82" i="4" s="1"/>
  <c r="AC85" i="5"/>
  <c r="AR85" i="5"/>
  <c r="AN501" i="4" s="1"/>
  <c r="AB85" i="5"/>
  <c r="AB131" i="5" s="1"/>
  <c r="AB145" i="5" s="1"/>
  <c r="X81" i="4" s="1"/>
  <c r="X573" i="4" s="1"/>
  <c r="X571" i="4" s="1"/>
  <c r="AK85" i="5"/>
  <c r="AG501" i="4" s="1"/>
  <c r="AF85" i="5"/>
  <c r="AB501" i="4" s="1"/>
  <c r="AB502" i="4" s="1"/>
  <c r="T85" i="5"/>
  <c r="T115" i="5" s="1"/>
  <c r="R85" i="5"/>
  <c r="AN85" i="5"/>
  <c r="AJ501" i="4" s="1"/>
  <c r="AM85" i="5"/>
  <c r="Z85" i="5"/>
  <c r="AL85" i="5"/>
  <c r="AE487" i="4"/>
  <c r="AE482" i="4"/>
  <c r="AE493" i="4" s="1"/>
  <c r="AE499" i="4"/>
  <c r="AE257" i="4"/>
  <c r="S269" i="4"/>
  <c r="S133" i="4" s="1"/>
  <c r="S123" i="4"/>
  <c r="AG471" i="4"/>
  <c r="AG472" i="4" s="1"/>
  <c r="AH470" i="4"/>
  <c r="V205" i="4"/>
  <c r="V206" i="4" s="1"/>
  <c r="V165" i="4" s="1"/>
  <c r="U214" i="4"/>
  <c r="U154" i="4" s="1"/>
  <c r="U210" i="4"/>
  <c r="U87" i="4"/>
  <c r="U144" i="4"/>
  <c r="AA9" i="14"/>
  <c r="R219" i="4"/>
  <c r="V240" i="4"/>
  <c r="U243" i="4"/>
  <c r="U244" i="4"/>
  <c r="U242" i="4"/>
  <c r="AV395" i="4"/>
  <c r="AP503" i="4"/>
  <c r="W115" i="5"/>
  <c r="W130" i="5"/>
  <c r="P80" i="4"/>
  <c r="P286" i="4" s="1"/>
  <c r="AD507" i="4"/>
  <c r="AC512" i="4"/>
  <c r="AC467" i="4"/>
  <c r="AC185" i="4" s="1"/>
  <c r="BF185" i="4" s="1"/>
  <c r="N89" i="4"/>
  <c r="N288" i="4"/>
  <c r="AA10" i="14"/>
  <c r="R220" i="4"/>
  <c r="AZ372" i="4"/>
  <c r="AR372" i="4"/>
  <c r="AR385" i="4" s="1"/>
  <c r="AR397" i="4" s="1"/>
  <c r="AJ372" i="4"/>
  <c r="AJ385" i="4" s="1"/>
  <c r="AJ397" i="4" s="1"/>
  <c r="AB372" i="4"/>
  <c r="AB385" i="4" s="1"/>
  <c r="AB397" i="4" s="1"/>
  <c r="T372" i="4"/>
  <c r="BA372" i="4"/>
  <c r="BA385" i="4" s="1"/>
  <c r="BA397" i="4" s="1"/>
  <c r="AQ372" i="4"/>
  <c r="AQ385" i="4" s="1"/>
  <c r="AQ397" i="4" s="1"/>
  <c r="AH372" i="4"/>
  <c r="Y372" i="4"/>
  <c r="AT372" i="4"/>
  <c r="AT385" i="4" s="1"/>
  <c r="AT397" i="4" s="1"/>
  <c r="AK372" i="4"/>
  <c r="AK385" i="4" s="1"/>
  <c r="AK397" i="4" s="1"/>
  <c r="AA372" i="4"/>
  <c r="AA385" i="4" s="1"/>
  <c r="AA397" i="4" s="1"/>
  <c r="R372" i="4"/>
  <c r="AW372" i="4"/>
  <c r="AL372" i="4"/>
  <c r="AL385" i="4" s="1"/>
  <c r="AL397" i="4" s="1"/>
  <c r="X372" i="4"/>
  <c r="AX372" i="4"/>
  <c r="AI372" i="4"/>
  <c r="AI385" i="4" s="1"/>
  <c r="AI397" i="4" s="1"/>
  <c r="V372" i="4"/>
  <c r="AV372" i="4"/>
  <c r="AV385" i="4" s="1"/>
  <c r="AV397" i="4" s="1"/>
  <c r="AG372" i="4"/>
  <c r="U372" i="4"/>
  <c r="AU372" i="4"/>
  <c r="AU385" i="4" s="1"/>
  <c r="AU397" i="4" s="1"/>
  <c r="AF372" i="4"/>
  <c r="AF385" i="4" s="1"/>
  <c r="AF397" i="4" s="1"/>
  <c r="S372" i="4"/>
  <c r="AS372" i="4"/>
  <c r="AS385" i="4" s="1"/>
  <c r="AS397" i="4" s="1"/>
  <c r="AE372" i="4"/>
  <c r="AP372" i="4"/>
  <c r="AD372" i="4"/>
  <c r="AO372" i="4"/>
  <c r="AC372" i="4"/>
  <c r="AC385" i="4" s="1"/>
  <c r="AC397" i="4" s="1"/>
  <c r="BB372" i="4"/>
  <c r="BB385" i="4" s="1"/>
  <c r="BB397" i="4" s="1"/>
  <c r="AN372" i="4"/>
  <c r="Z372" i="4"/>
  <c r="Z385" i="4" s="1"/>
  <c r="Z397" i="4" s="1"/>
  <c r="AY372" i="4"/>
  <c r="AY385" i="4" s="1"/>
  <c r="AY397" i="4" s="1"/>
  <c r="W372" i="4"/>
  <c r="AM372" i="4"/>
  <c r="AM385" i="4" s="1"/>
  <c r="AM397" i="4" s="1"/>
  <c r="Z12" i="7"/>
  <c r="Z13" i="7" s="1"/>
  <c r="AE29" i="2"/>
  <c r="AD50" i="2"/>
  <c r="AD32" i="2"/>
  <c r="AD52" i="2" s="1"/>
  <c r="BD13" i="2"/>
  <c r="E16" i="7" s="1"/>
  <c r="BC13" i="2"/>
  <c r="D16" i="7" s="1"/>
  <c r="BE13" i="2"/>
  <c r="F16" i="7" s="1"/>
  <c r="AL395" i="4"/>
  <c r="O80" i="4"/>
  <c r="O286" i="4" s="1"/>
  <c r="AA7" i="14"/>
  <c r="R217" i="4"/>
  <c r="AE79" i="2"/>
  <c r="AT384" i="4"/>
  <c r="AC575" i="4"/>
  <c r="AC528" i="4"/>
  <c r="AC574" i="4"/>
  <c r="AC529" i="4"/>
  <c r="AC530" i="4"/>
  <c r="AD467" i="4"/>
  <c r="AD185" i="4" s="1"/>
  <c r="AD512" i="4"/>
  <c r="AE507" i="4"/>
  <c r="Q56" i="4"/>
  <c r="R57" i="4"/>
  <c r="AB535" i="4"/>
  <c r="AB555" i="4" s="1"/>
  <c r="AB72" i="2"/>
  <c r="X13" i="14"/>
  <c r="X12" i="14" s="1"/>
  <c r="X5" i="14" s="1"/>
  <c r="N252" i="4"/>
  <c r="O253" i="4"/>
  <c r="AA540" i="4"/>
  <c r="AA560" i="4" s="1"/>
  <c r="AA565" i="4" s="1"/>
  <c r="AN395" i="4"/>
  <c r="Y42" i="5"/>
  <c r="Y48" i="5"/>
  <c r="Y47" i="5"/>
  <c r="Y43" i="5"/>
  <c r="Y46" i="5"/>
  <c r="Y41" i="5"/>
  <c r="Y44" i="5"/>
  <c r="Y49" i="5"/>
  <c r="Y45" i="5"/>
  <c r="U306" i="4"/>
  <c r="AA12" i="7"/>
  <c r="AA13" i="7" s="1"/>
  <c r="AD396" i="4"/>
  <c r="AR384" i="4"/>
  <c r="Q131" i="4"/>
  <c r="AA67" i="2" s="1"/>
  <c r="AC8" i="7" s="1"/>
  <c r="AC13" i="7" s="1"/>
  <c r="AF476" i="4"/>
  <c r="AF475" i="4"/>
  <c r="AF477" i="4"/>
  <c r="U233" i="4"/>
  <c r="U235" i="4"/>
  <c r="W204" i="4"/>
  <c r="U201" i="4"/>
  <c r="U202" i="4" s="1"/>
  <c r="U178" i="4"/>
  <c r="U234" i="4"/>
  <c r="U231" i="4"/>
  <c r="U209" i="4"/>
  <c r="U196" i="4"/>
  <c r="U232" i="4"/>
  <c r="T266" i="4"/>
  <c r="T88" i="4"/>
  <c r="U249" i="4"/>
  <c r="U250" i="4" s="1"/>
  <c r="U166" i="4" s="1"/>
  <c r="S297" i="4"/>
  <c r="S273" i="4"/>
  <c r="S181" i="4"/>
  <c r="AB291" i="4"/>
  <c r="AB395" i="4"/>
  <c r="U325" i="4"/>
  <c r="U327" i="4" s="1"/>
  <c r="U168" i="4" s="1"/>
  <c r="Z557" i="4"/>
  <c r="Z567" i="4" s="1"/>
  <c r="Z569" i="4" s="1"/>
  <c r="Z169" i="4" s="1"/>
  <c r="AA21" i="7" l="1"/>
  <c r="AA44" i="7"/>
  <c r="Z44" i="7"/>
  <c r="Z21" i="7"/>
  <c r="T117" i="5"/>
  <c r="T118" i="5"/>
  <c r="T121" i="5" s="1"/>
  <c r="P74" i="4" s="1"/>
  <c r="P20" i="4" s="1"/>
  <c r="P22" i="4" s="1"/>
  <c r="T116" i="5"/>
  <c r="S146" i="5"/>
  <c r="S133" i="5"/>
  <c r="S135" i="5"/>
  <c r="R119" i="4"/>
  <c r="AB44" i="2"/>
  <c r="AD12" i="7"/>
  <c r="BC73" i="2"/>
  <c r="D76" i="7" s="1"/>
  <c r="V146" i="5"/>
  <c r="R82" i="4" s="1"/>
  <c r="V135" i="5"/>
  <c r="V133" i="5"/>
  <c r="S117" i="5"/>
  <c r="S116" i="5"/>
  <c r="S118" i="5"/>
  <c r="S121" i="5" s="1"/>
  <c r="O74" i="4" s="1"/>
  <c r="O20" i="4" s="1"/>
  <c r="O22" i="4" s="1"/>
  <c r="AR396" i="4"/>
  <c r="W118" i="5"/>
  <c r="W121" i="5" s="1"/>
  <c r="S74" i="4" s="1"/>
  <c r="W117" i="5"/>
  <c r="W116" i="5"/>
  <c r="W131" i="5"/>
  <c r="W145" i="5" s="1"/>
  <c r="S81" i="4" s="1"/>
  <c r="W132" i="5"/>
  <c r="W146" i="5" s="1"/>
  <c r="S82" i="4" s="1"/>
  <c r="AF497" i="4"/>
  <c r="AF480" i="4"/>
  <c r="AF474" i="4"/>
  <c r="AF485" i="4"/>
  <c r="AT396" i="4"/>
  <c r="U320" i="4"/>
  <c r="U318" i="4"/>
  <c r="AM501" i="4"/>
  <c r="AC15" i="14"/>
  <c r="AC8" i="2"/>
  <c r="Y40" i="5"/>
  <c r="Y38" i="5"/>
  <c r="Y39" i="5"/>
  <c r="W248" i="4"/>
  <c r="U265" i="4"/>
  <c r="U238" i="4"/>
  <c r="U260" i="4"/>
  <c r="U245" i="4"/>
  <c r="U246" i="4" s="1"/>
  <c r="U179" i="4"/>
  <c r="T132" i="5"/>
  <c r="Z188" i="4"/>
  <c r="AJ10" i="2" s="1"/>
  <c r="Z183" i="4"/>
  <c r="N117" i="4"/>
  <c r="X46" i="2" s="1"/>
  <c r="N163" i="4"/>
  <c r="R41" i="2"/>
  <c r="R58" i="2" s="1"/>
  <c r="Q66" i="2"/>
  <c r="AP132" i="5"/>
  <c r="AP146" i="5" s="1"/>
  <c r="AL82" i="4" s="1"/>
  <c r="AG132" i="5"/>
  <c r="AG146" i="5" s="1"/>
  <c r="AC82" i="4" s="1"/>
  <c r="AO503" i="4"/>
  <c r="AS132" i="5"/>
  <c r="AS146" i="5" s="1"/>
  <c r="AO82" i="4" s="1"/>
  <c r="AB532" i="4"/>
  <c r="AB553" i="4"/>
  <c r="S143" i="4"/>
  <c r="AC11" i="14"/>
  <c r="T221" i="4"/>
  <c r="AK396" i="4"/>
  <c r="AN132" i="5"/>
  <c r="AN146" i="5" s="1"/>
  <c r="AJ82" i="4" s="1"/>
  <c r="AD516" i="4"/>
  <c r="AD138" i="4" s="1"/>
  <c r="AD128" i="4"/>
  <c r="AP385" i="4"/>
  <c r="V242" i="4"/>
  <c r="W240" i="4"/>
  <c r="V244" i="4"/>
  <c r="V243" i="4"/>
  <c r="R131" i="5"/>
  <c r="R115" i="5"/>
  <c r="AK501" i="4"/>
  <c r="AO132" i="5"/>
  <c r="AO146" i="5" s="1"/>
  <c r="AK82" i="4" s="1"/>
  <c r="U97" i="4"/>
  <c r="U180" i="4"/>
  <c r="AE6" i="2"/>
  <c r="X385" i="4"/>
  <c r="AH385" i="4"/>
  <c r="AB10" i="14"/>
  <c r="S220" i="4"/>
  <c r="X568" i="4"/>
  <c r="X569" i="4" s="1"/>
  <c r="X169" i="4" s="1"/>
  <c r="X577" i="4"/>
  <c r="X91" i="4"/>
  <c r="X101" i="4" s="1"/>
  <c r="X111" i="4" s="1"/>
  <c r="T302" i="4"/>
  <c r="T156" i="4" s="1"/>
  <c r="T146" i="4"/>
  <c r="AK132" i="5"/>
  <c r="AK146" i="5" s="1"/>
  <c r="AG82" i="4" s="1"/>
  <c r="AG503" i="4"/>
  <c r="AE513" i="4"/>
  <c r="AB558" i="4"/>
  <c r="AB557" i="4" s="1"/>
  <c r="AB567" i="4" s="1"/>
  <c r="AB569" i="4" s="1"/>
  <c r="AB169" i="4" s="1"/>
  <c r="AH17" i="14"/>
  <c r="R80" i="4"/>
  <c r="R286" i="4" s="1"/>
  <c r="V149" i="5"/>
  <c r="V147" i="5"/>
  <c r="Y21" i="7"/>
  <c r="Y44" i="7"/>
  <c r="X130" i="5"/>
  <c r="X115" i="5"/>
  <c r="T90" i="4"/>
  <c r="T331" i="4"/>
  <c r="M287" i="4"/>
  <c r="M292" i="4"/>
  <c r="M293" i="4" s="1"/>
  <c r="AB7" i="14"/>
  <c r="S217" i="4"/>
  <c r="Z131" i="5"/>
  <c r="Z145" i="5" s="1"/>
  <c r="V81" i="4" s="1"/>
  <c r="Z132" i="5"/>
  <c r="Z146" i="5" s="1"/>
  <c r="V82" i="4" s="1"/>
  <c r="AA132" i="5"/>
  <c r="AA146" i="5" s="1"/>
  <c r="W82" i="4" s="1"/>
  <c r="AA131" i="5"/>
  <c r="AA145" i="5" s="1"/>
  <c r="W81" i="4" s="1"/>
  <c r="AH132" i="5"/>
  <c r="AH146" i="5" s="1"/>
  <c r="AD82" i="4" s="1"/>
  <c r="AC44" i="7"/>
  <c r="AC21" i="7"/>
  <c r="AC72" i="2"/>
  <c r="BC72" i="2"/>
  <c r="D75" i="7" s="1"/>
  <c r="AC527" i="4"/>
  <c r="AC533" i="4"/>
  <c r="AC538" i="4"/>
  <c r="AA6" i="14"/>
  <c r="AO385" i="4"/>
  <c r="AW385" i="4"/>
  <c r="T68" i="7"/>
  <c r="N289" i="4"/>
  <c r="T69" i="7" s="1"/>
  <c r="P287" i="4"/>
  <c r="P292" i="4"/>
  <c r="P293" i="4" s="1"/>
  <c r="AI501" i="4"/>
  <c r="AM132" i="5"/>
  <c r="AM146" i="5" s="1"/>
  <c r="AI82" i="4" s="1"/>
  <c r="AE502" i="4"/>
  <c r="AE504" i="4" s="1"/>
  <c r="AJ396" i="4"/>
  <c r="T98" i="4"/>
  <c r="T108" i="4" s="1"/>
  <c r="AD7" i="2"/>
  <c r="AJ132" i="5"/>
  <c r="AJ146" i="5" s="1"/>
  <c r="AF82" i="4" s="1"/>
  <c r="AF503" i="4"/>
  <c r="AE491" i="4"/>
  <c r="AE479" i="4"/>
  <c r="Z10" i="7"/>
  <c r="X26" i="2"/>
  <c r="X18" i="2"/>
  <c r="AA558" i="4"/>
  <c r="AA557" i="4" s="1"/>
  <c r="AA567" i="4" s="1"/>
  <c r="AA569" i="4" s="1"/>
  <c r="AA169" i="4" s="1"/>
  <c r="AA537" i="4"/>
  <c r="V326" i="4"/>
  <c r="AC16" i="14"/>
  <c r="S100" i="4"/>
  <c r="S110" i="4" s="1"/>
  <c r="AC9" i="2"/>
  <c r="AB10" i="7"/>
  <c r="Z26" i="2"/>
  <c r="Z18" i="2"/>
  <c r="AL503" i="4"/>
  <c r="T107" i="4"/>
  <c r="Q287" i="4"/>
  <c r="Q292" i="4"/>
  <c r="Q293" i="4" s="1"/>
  <c r="AR132" i="5"/>
  <c r="AR146" i="5" s="1"/>
  <c r="AN82" i="4" s="1"/>
  <c r="S124" i="4"/>
  <c r="S121" i="4" s="1"/>
  <c r="S301" i="4"/>
  <c r="S134" i="4" s="1"/>
  <c r="S131" i="4" s="1"/>
  <c r="AC67" i="2" s="1"/>
  <c r="AE8" i="7" s="1"/>
  <c r="AE13" i="7" s="1"/>
  <c r="T301" i="4"/>
  <c r="T134" i="4" s="1"/>
  <c r="U213" i="4"/>
  <c r="U132" i="4" s="1"/>
  <c r="U122" i="4"/>
  <c r="AD385" i="4"/>
  <c r="AG385" i="4"/>
  <c r="N85" i="4"/>
  <c r="X20" i="14" s="1"/>
  <c r="X22" i="14" s="1"/>
  <c r="X23" i="14" s="1"/>
  <c r="N99" i="4"/>
  <c r="W144" i="5"/>
  <c r="W135" i="5"/>
  <c r="W133" i="5"/>
  <c r="V249" i="4"/>
  <c r="V250" i="4" s="1"/>
  <c r="V166" i="4" s="1"/>
  <c r="U266" i="4"/>
  <c r="U88" i="4"/>
  <c r="AF257" i="4"/>
  <c r="AB276" i="4"/>
  <c r="W305" i="4"/>
  <c r="W278" i="4"/>
  <c r="W277" i="4"/>
  <c r="X275" i="4"/>
  <c r="T269" i="4"/>
  <c r="T133" i="4" s="1"/>
  <c r="T123" i="4"/>
  <c r="AE132" i="5"/>
  <c r="AE146" i="5" s="1"/>
  <c r="AA82" i="4" s="1"/>
  <c r="AY396" i="4"/>
  <c r="AD9" i="7"/>
  <c r="AE496" i="4"/>
  <c r="AE31" i="2"/>
  <c r="AD51" i="2"/>
  <c r="W325" i="4"/>
  <c r="AS396" i="4"/>
  <c r="AB8" i="14"/>
  <c r="S218" i="4"/>
  <c r="AD575" i="4"/>
  <c r="AD530" i="4"/>
  <c r="AD529" i="4"/>
  <c r="AD528" i="4"/>
  <c r="AD574" i="4"/>
  <c r="BC44" i="2"/>
  <c r="D47" i="7" s="1"/>
  <c r="S335" i="4"/>
  <c r="S157" i="4" s="1"/>
  <c r="S147" i="4"/>
  <c r="BC80" i="2"/>
  <c r="D83" i="7" s="1"/>
  <c r="AC80" i="2"/>
  <c r="T180" i="4"/>
  <c r="U298" i="4"/>
  <c r="R132" i="5"/>
  <c r="R146" i="5" s="1"/>
  <c r="N82" i="4" s="1"/>
  <c r="V233" i="4"/>
  <c r="V196" i="4"/>
  <c r="X204" i="4"/>
  <c r="V178" i="4"/>
  <c r="V232" i="4"/>
  <c r="V201" i="4"/>
  <c r="V202" i="4" s="1"/>
  <c r="V235" i="4"/>
  <c r="V209" i="4"/>
  <c r="V234" i="4"/>
  <c r="AB132" i="5"/>
  <c r="AB146" i="5" s="1"/>
  <c r="X82" i="4" s="1"/>
  <c r="D11" i="7"/>
  <c r="K11" i="7" s="1"/>
  <c r="I6" i="1" s="1"/>
  <c r="BC5" i="2"/>
  <c r="D8" i="7" s="1"/>
  <c r="K16" i="7" s="1"/>
  <c r="AB258" i="4"/>
  <c r="AB539" i="4"/>
  <c r="AB559" i="4" s="1"/>
  <c r="S125" i="4"/>
  <c r="S334" i="4"/>
  <c r="S135" i="4" s="1"/>
  <c r="BC68" i="2"/>
  <c r="D71" i="7" s="1"/>
  <c r="K35" i="7" s="1"/>
  <c r="I27" i="1" s="1"/>
  <c r="AC68" i="2"/>
  <c r="AF132" i="5"/>
  <c r="AF146" i="5" s="1"/>
  <c r="AB82" i="4" s="1"/>
  <c r="AE525" i="4"/>
  <c r="AF524" i="4"/>
  <c r="AE576" i="4"/>
  <c r="AE542" i="4"/>
  <c r="AA10" i="7"/>
  <c r="Y26" i="2"/>
  <c r="Y18" i="2"/>
  <c r="U282" i="4"/>
  <c r="Z577" i="4"/>
  <c r="AF482" i="4"/>
  <c r="AF493" i="4" s="1"/>
  <c r="AF487" i="4"/>
  <c r="AF499" i="4"/>
  <c r="AB540" i="4"/>
  <c r="AB560" i="4" s="1"/>
  <c r="AN12" i="2"/>
  <c r="O292" i="4"/>
  <c r="O293" i="4" s="1"/>
  <c r="O287" i="4"/>
  <c r="AE385" i="4"/>
  <c r="AB9" i="14"/>
  <c r="S219" i="4"/>
  <c r="AI470" i="4"/>
  <c r="AH471" i="4"/>
  <c r="AH472" i="4" s="1"/>
  <c r="AH131" i="5"/>
  <c r="AH145" i="5" s="1"/>
  <c r="AD81" i="4" s="1"/>
  <c r="AD573" i="4" s="1"/>
  <c r="AD501" i="4"/>
  <c r="AD502" i="4" s="1"/>
  <c r="AD504" i="4" s="1"/>
  <c r="Z43" i="5"/>
  <c r="Z45" i="5"/>
  <c r="Z48" i="5"/>
  <c r="Z46" i="5"/>
  <c r="Z41" i="5"/>
  <c r="Z44" i="5"/>
  <c r="Z47" i="5"/>
  <c r="Z49" i="5"/>
  <c r="Z42" i="5"/>
  <c r="V306" i="4"/>
  <c r="S175" i="4"/>
  <c r="Q80" i="2"/>
  <c r="AL132" i="5"/>
  <c r="AL146" i="5" s="1"/>
  <c r="AH82" i="4" s="1"/>
  <c r="V214" i="4"/>
  <c r="V154" i="4" s="1"/>
  <c r="V210" i="4"/>
  <c r="V144" i="4"/>
  <c r="W205" i="4"/>
  <c r="W206" i="4" s="1"/>
  <c r="W165" i="4" s="1"/>
  <c r="V87" i="4"/>
  <c r="AC9" i="7"/>
  <c r="AA15" i="2"/>
  <c r="V327" i="4"/>
  <c r="V168" i="4" s="1"/>
  <c r="C61" i="7"/>
  <c r="BC41" i="2"/>
  <c r="AB564" i="4"/>
  <c r="BA396" i="4"/>
  <c r="AD15" i="14"/>
  <c r="AD8" i="2"/>
  <c r="AD545" i="4"/>
  <c r="AD550" i="4" s="1"/>
  <c r="AD544" i="4"/>
  <c r="AD549" i="4" s="1"/>
  <c r="AD543" i="4"/>
  <c r="AD548" i="4" s="1"/>
  <c r="X132" i="5"/>
  <c r="X146" i="5" s="1"/>
  <c r="T82" i="4" s="1"/>
  <c r="AI132" i="5"/>
  <c r="AI146" i="5" s="1"/>
  <c r="AE82" i="4" s="1"/>
  <c r="AD8" i="7"/>
  <c r="AD13" i="7" s="1"/>
  <c r="BC67" i="2"/>
  <c r="D70" i="7" s="1"/>
  <c r="K34" i="7" s="1"/>
  <c r="I26" i="1" s="1"/>
  <c r="AC516" i="4"/>
  <c r="AC138" i="4" s="1"/>
  <c r="AC128" i="4"/>
  <c r="AG475" i="4"/>
  <c r="AG476" i="4"/>
  <c r="AG477" i="4"/>
  <c r="AB504" i="4"/>
  <c r="AG131" i="5"/>
  <c r="AG145" i="5" s="1"/>
  <c r="AC81" i="4" s="1"/>
  <c r="AC573" i="4" s="1"/>
  <c r="AC571" i="4" s="1"/>
  <c r="AC501" i="4"/>
  <c r="AC502" i="4" s="1"/>
  <c r="AC504" i="4" s="1"/>
  <c r="V284" i="4"/>
  <c r="V280" i="4"/>
  <c r="AC547" i="4"/>
  <c r="T262" i="4"/>
  <c r="T261" i="4"/>
  <c r="U131" i="5"/>
  <c r="U132" i="5"/>
  <c r="U146" i="5" s="1"/>
  <c r="Q82" i="4" s="1"/>
  <c r="X198" i="4"/>
  <c r="W200" i="4"/>
  <c r="W199" i="4"/>
  <c r="AM396" i="4"/>
  <c r="AD75" i="2"/>
  <c r="AE75" i="2" s="1"/>
  <c r="Y14" i="14"/>
  <c r="P254" i="4"/>
  <c r="U115" i="5"/>
  <c r="V115" i="5"/>
  <c r="R141" i="4"/>
  <c r="AB45" i="2"/>
  <c r="BC45" i="2" s="1"/>
  <c r="D48" i="7" s="1"/>
  <c r="AC396" i="4"/>
  <c r="AC503" i="4"/>
  <c r="W385" i="4"/>
  <c r="AE50" i="2"/>
  <c r="AF29" i="2"/>
  <c r="AE32" i="2"/>
  <c r="AE52" i="2" s="1"/>
  <c r="AF481" i="4"/>
  <c r="AF498" i="4"/>
  <c r="AF486" i="4"/>
  <c r="Y13" i="14"/>
  <c r="Y12" i="14" s="1"/>
  <c r="Y5" i="14" s="1"/>
  <c r="P253" i="4"/>
  <c r="O252" i="4"/>
  <c r="S57" i="4"/>
  <c r="R56" i="4"/>
  <c r="AC535" i="4"/>
  <c r="AC555" i="4" s="1"/>
  <c r="AC540" i="4"/>
  <c r="AC560" i="4" s="1"/>
  <c r="AF79" i="2"/>
  <c r="AN385" i="4"/>
  <c r="AX385" i="4"/>
  <c r="Y385" i="4"/>
  <c r="AZ385" i="4"/>
  <c r="V281" i="4"/>
  <c r="V285" i="4"/>
  <c r="D375" i="4"/>
  <c r="E374" i="4"/>
  <c r="BB396" i="4"/>
  <c r="V319" i="4"/>
  <c r="V321" i="4"/>
  <c r="V314" i="4"/>
  <c r="W313" i="4"/>
  <c r="AD316" i="4"/>
  <c r="T311" i="4"/>
  <c r="T322" i="4"/>
  <c r="T323" i="4" s="1"/>
  <c r="T182" i="4"/>
  <c r="T330" i="4"/>
  <c r="AA552" i="4"/>
  <c r="AA563" i="4"/>
  <c r="AA562" i="4" s="1"/>
  <c r="AB565" i="4"/>
  <c r="AM12" i="2"/>
  <c r="BD12" i="2" s="1"/>
  <c r="E15" i="7" s="1"/>
  <c r="L15" i="7" s="1"/>
  <c r="J10" i="1" s="1"/>
  <c r="T270" i="4"/>
  <c r="T155" i="4" s="1"/>
  <c r="T145" i="4"/>
  <c r="AA24" i="2"/>
  <c r="AA20" i="2" s="1"/>
  <c r="AC534" i="4"/>
  <c r="AC554" i="4" s="1"/>
  <c r="AC539" i="4"/>
  <c r="AC559" i="4" s="1"/>
  <c r="AH501" i="4"/>
  <c r="AL131" i="5"/>
  <c r="AL145" i="5" s="1"/>
  <c r="AH81" i="4" s="1"/>
  <c r="AH573" i="4" s="1"/>
  <c r="Q115" i="5"/>
  <c r="Q132" i="5"/>
  <c r="AZ373" i="4"/>
  <c r="AZ386" i="4" s="1"/>
  <c r="AZ398" i="4" s="1"/>
  <c r="AR373" i="4"/>
  <c r="AJ373" i="4"/>
  <c r="AJ386" i="4" s="1"/>
  <c r="AJ398" i="4" s="1"/>
  <c r="AB373" i="4"/>
  <c r="AB386" i="4" s="1"/>
  <c r="AB398" i="4" s="1"/>
  <c r="T373" i="4"/>
  <c r="AW373" i="4"/>
  <c r="AW386" i="4" s="1"/>
  <c r="AW398" i="4" s="1"/>
  <c r="AN373" i="4"/>
  <c r="AN386" i="4" s="1"/>
  <c r="AN398" i="4" s="1"/>
  <c r="AE373" i="4"/>
  <c r="AE386" i="4" s="1"/>
  <c r="AE398" i="4" s="1"/>
  <c r="V373" i="4"/>
  <c r="AY373" i="4"/>
  <c r="AY386" i="4" s="1"/>
  <c r="AY398" i="4" s="1"/>
  <c r="AP373" i="4"/>
  <c r="AP386" i="4" s="1"/>
  <c r="AP398" i="4" s="1"/>
  <c r="AG373" i="4"/>
  <c r="AG386" i="4" s="1"/>
  <c r="AG398" i="4" s="1"/>
  <c r="X373" i="4"/>
  <c r="X386" i="4" s="1"/>
  <c r="AT373" i="4"/>
  <c r="AT386" i="4" s="1"/>
  <c r="AT398" i="4" s="1"/>
  <c r="AH373" i="4"/>
  <c r="AH386" i="4" s="1"/>
  <c r="AH398" i="4" s="1"/>
  <c r="U373" i="4"/>
  <c r="BA373" i="4"/>
  <c r="BA386" i="4" s="1"/>
  <c r="BA398" i="4" s="1"/>
  <c r="AL373" i="4"/>
  <c r="AL386" i="4" s="1"/>
  <c r="Y373" i="4"/>
  <c r="Y386" i="4" s="1"/>
  <c r="Y398" i="4" s="1"/>
  <c r="AX373" i="4"/>
  <c r="AX386" i="4" s="1"/>
  <c r="AX398" i="4" s="1"/>
  <c r="AK373" i="4"/>
  <c r="AK386" i="4" s="1"/>
  <c r="AK398" i="4" s="1"/>
  <c r="W373" i="4"/>
  <c r="W386" i="4" s="1"/>
  <c r="AV373" i="4"/>
  <c r="AV386" i="4" s="1"/>
  <c r="AV398" i="4" s="1"/>
  <c r="AI373" i="4"/>
  <c r="AI386" i="4" s="1"/>
  <c r="AI398" i="4" s="1"/>
  <c r="S373" i="4"/>
  <c r="AU373" i="4"/>
  <c r="AF373" i="4"/>
  <c r="AF386" i="4" s="1"/>
  <c r="AF398" i="4" s="1"/>
  <c r="R373" i="4"/>
  <c r="AS373" i="4"/>
  <c r="AS386" i="4" s="1"/>
  <c r="AS398" i="4" s="1"/>
  <c r="AD373" i="4"/>
  <c r="AD386" i="4" s="1"/>
  <c r="AD398" i="4" s="1"/>
  <c r="AQ373" i="4"/>
  <c r="AC373" i="4"/>
  <c r="AC386" i="4" s="1"/>
  <c r="AC398" i="4" s="1"/>
  <c r="AO373" i="4"/>
  <c r="AO386" i="4" s="1"/>
  <c r="AO398" i="4" s="1"/>
  <c r="AA373" i="4"/>
  <c r="AA386" i="4" s="1"/>
  <c r="AA398" i="4" s="1"/>
  <c r="BB373" i="4"/>
  <c r="BB386" i="4" s="1"/>
  <c r="BB398" i="4" s="1"/>
  <c r="Z373" i="4"/>
  <c r="Z386" i="4" s="1"/>
  <c r="Z398" i="4" s="1"/>
  <c r="AM373" i="4"/>
  <c r="AM386" i="4" s="1"/>
  <c r="AM398" i="4" s="1"/>
  <c r="Y10" i="7"/>
  <c r="W18" i="2"/>
  <c r="W26" i="2"/>
  <c r="T124" i="4"/>
  <c r="S153" i="4"/>
  <c r="AC73" i="2" s="1"/>
  <c r="AE12" i="7" s="1"/>
  <c r="AE44" i="7" l="1"/>
  <c r="AE21" i="7"/>
  <c r="S119" i="4"/>
  <c r="AC44" i="2"/>
  <c r="M89" i="4"/>
  <c r="M288" i="4"/>
  <c r="AE517" i="4"/>
  <c r="AE160" i="4" s="1"/>
  <c r="AE150" i="4"/>
  <c r="R145" i="5"/>
  <c r="R133" i="5"/>
  <c r="T146" i="5"/>
  <c r="T133" i="5"/>
  <c r="T135" i="5"/>
  <c r="U330" i="4"/>
  <c r="U311" i="4"/>
  <c r="U322" i="4"/>
  <c r="U323" i="4" s="1"/>
  <c r="U182" i="4"/>
  <c r="AF496" i="4"/>
  <c r="AF502" i="4" s="1"/>
  <c r="AF504" i="4" s="1"/>
  <c r="V298" i="4"/>
  <c r="AZ397" i="4"/>
  <c r="U67" i="7"/>
  <c r="O167" i="4"/>
  <c r="AC565" i="4"/>
  <c r="AG487" i="4"/>
  <c r="AG482" i="4"/>
  <c r="AG499" i="4"/>
  <c r="D44" i="7"/>
  <c r="AC9" i="14"/>
  <c r="T219" i="4"/>
  <c r="AD80" i="2"/>
  <c r="AD535" i="4"/>
  <c r="AD555" i="4" s="1"/>
  <c r="AF31" i="2"/>
  <c r="AE51" i="2"/>
  <c r="AG257" i="4"/>
  <c r="N109" i="4"/>
  <c r="N96" i="4"/>
  <c r="N106" i="4" s="1"/>
  <c r="V67" i="7"/>
  <c r="P167" i="4"/>
  <c r="AO397" i="4"/>
  <c r="V266" i="4"/>
  <c r="W249" i="4"/>
  <c r="V88" i="4"/>
  <c r="Y115" i="5"/>
  <c r="Y130" i="5"/>
  <c r="U331" i="4"/>
  <c r="U90" i="4"/>
  <c r="AD44" i="7"/>
  <c r="AD21" i="7"/>
  <c r="AJ470" i="4"/>
  <c r="AI471" i="4"/>
  <c r="AI472" i="4" s="1"/>
  <c r="AE545" i="4"/>
  <c r="AE550" i="4" s="1"/>
  <c r="AE543" i="4"/>
  <c r="AE548" i="4" s="1"/>
  <c r="AE544" i="4"/>
  <c r="AE549" i="4" s="1"/>
  <c r="S80" i="4"/>
  <c r="S286" i="4" s="1"/>
  <c r="W149" i="5"/>
  <c r="W147" i="5"/>
  <c r="X313" i="4"/>
  <c r="AE316" i="4"/>
  <c r="W321" i="4"/>
  <c r="W314" i="4"/>
  <c r="W319" i="4"/>
  <c r="U297" i="4"/>
  <c r="AD291" i="4"/>
  <c r="U273" i="4"/>
  <c r="U181" i="4"/>
  <c r="U175" i="4" s="1"/>
  <c r="P89" i="4"/>
  <c r="P288" i="4"/>
  <c r="AC7" i="14"/>
  <c r="T217" i="4"/>
  <c r="T335" i="4"/>
  <c r="T157" i="4" s="1"/>
  <c r="T147" i="4"/>
  <c r="R292" i="4"/>
  <c r="R293" i="4" s="1"/>
  <c r="R287" i="4"/>
  <c r="S7" i="7"/>
  <c r="S20" i="7" s="1"/>
  <c r="S42" i="7" s="1"/>
  <c r="Q65" i="2"/>
  <c r="Q64" i="2" s="1"/>
  <c r="Q81" i="2" s="1"/>
  <c r="Q77" i="2" s="1"/>
  <c r="Q85" i="2" s="1"/>
  <c r="U98" i="4"/>
  <c r="U108" i="4" s="1"/>
  <c r="AE7" i="2"/>
  <c r="AD534" i="4"/>
  <c r="AD554" i="4" s="1"/>
  <c r="AF492" i="4"/>
  <c r="Z40" i="5"/>
  <c r="Z39" i="5"/>
  <c r="Z38" i="5"/>
  <c r="AF525" i="4"/>
  <c r="AF576" i="4"/>
  <c r="AF542" i="4"/>
  <c r="AG524" i="4"/>
  <c r="AX397" i="4"/>
  <c r="V213" i="4"/>
  <c r="V132" i="4" s="1"/>
  <c r="V122" i="4"/>
  <c r="AC8" i="14"/>
  <c r="T218" i="4"/>
  <c r="AB6" i="14"/>
  <c r="AC10" i="14"/>
  <c r="T220" i="4"/>
  <c r="U107" i="4"/>
  <c r="X240" i="4"/>
  <c r="W243" i="4"/>
  <c r="W244" i="4"/>
  <c r="W242" i="4"/>
  <c r="AB563" i="4"/>
  <c r="AB562" i="4" s="1"/>
  <c r="AB552" i="4"/>
  <c r="S41" i="2"/>
  <c r="S58" i="2" s="1"/>
  <c r="R66" i="2"/>
  <c r="O82" i="4"/>
  <c r="S147" i="5"/>
  <c r="S149" i="5"/>
  <c r="V116" i="5"/>
  <c r="V117" i="5"/>
  <c r="V118" i="5"/>
  <c r="V121" i="5" s="1"/>
  <c r="R74" i="4" s="1"/>
  <c r="R20" i="4" s="1"/>
  <c r="R22" i="4" s="1"/>
  <c r="R23" i="4" s="1"/>
  <c r="AB47" i="2" s="1"/>
  <c r="AB488" i="4"/>
  <c r="AB484" i="4" s="1"/>
  <c r="AB508" i="4"/>
  <c r="AB509" i="4" s="1"/>
  <c r="AB172" i="4" s="1"/>
  <c r="Z11" i="7"/>
  <c r="Z43" i="7" s="1"/>
  <c r="X30" i="2"/>
  <c r="X48" i="2" s="1"/>
  <c r="X27" i="2"/>
  <c r="AC564" i="4"/>
  <c r="Y397" i="4"/>
  <c r="AU386" i="4"/>
  <c r="AL398" i="4"/>
  <c r="AR386" i="4"/>
  <c r="AA521" i="4"/>
  <c r="AA577" i="4"/>
  <c r="AB24" i="2"/>
  <c r="AB20" i="2" s="1"/>
  <c r="BC20" i="2" s="1"/>
  <c r="D23" i="7" s="1"/>
  <c r="K25" i="7" s="1"/>
  <c r="I15" i="1" s="1"/>
  <c r="U117" i="5"/>
  <c r="U116" i="5"/>
  <c r="U118" i="5" s="1"/>
  <c r="U121" i="5" s="1"/>
  <c r="Q74" i="4" s="1"/>
  <c r="Q20" i="4" s="1"/>
  <c r="Q22" i="4" s="1"/>
  <c r="Q23" i="4" s="1"/>
  <c r="AA47" i="2" s="1"/>
  <c r="AG486" i="4"/>
  <c r="AG481" i="4"/>
  <c r="AG498" i="4"/>
  <c r="V318" i="4"/>
  <c r="V320" i="4"/>
  <c r="T57" i="4"/>
  <c r="S56" i="4"/>
  <c r="Z14" i="14"/>
  <c r="Q254" i="4"/>
  <c r="W233" i="4"/>
  <c r="W209" i="4"/>
  <c r="W178" i="4"/>
  <c r="W235" i="4"/>
  <c r="W232" i="4"/>
  <c r="W201" i="4"/>
  <c r="W202" i="4" s="1"/>
  <c r="W196" i="4"/>
  <c r="W234" i="4"/>
  <c r="V282" i="4"/>
  <c r="AG474" i="4"/>
  <c r="AG480" i="4"/>
  <c r="AG485" i="4"/>
  <c r="AG497" i="4"/>
  <c r="AG496" i="4" s="1"/>
  <c r="AG502" i="4" s="1"/>
  <c r="AG504" i="4" s="1"/>
  <c r="AE529" i="4"/>
  <c r="AE528" i="4"/>
  <c r="AE575" i="4"/>
  <c r="AE530" i="4"/>
  <c r="AE574" i="4"/>
  <c r="AE571" i="4" s="1"/>
  <c r="X315" i="4"/>
  <c r="Y315" i="4" s="1"/>
  <c r="AE512" i="4"/>
  <c r="AE467" i="4"/>
  <c r="AE185" i="4" s="1"/>
  <c r="AF507" i="4"/>
  <c r="AC537" i="4"/>
  <c r="AC558" i="4"/>
  <c r="AC557" i="4" s="1"/>
  <c r="AC567" i="4" s="1"/>
  <c r="Y11" i="7"/>
  <c r="Y43" i="7" s="1"/>
  <c r="W34" i="2"/>
  <c r="W30" i="2"/>
  <c r="W27" i="2"/>
  <c r="Q146" i="5"/>
  <c r="Q133" i="5"/>
  <c r="T334" i="4"/>
  <c r="T135" i="4" s="1"/>
  <c r="T131" i="4" s="1"/>
  <c r="AD67" i="2" s="1"/>
  <c r="AF8" i="7" s="1"/>
  <c r="AF13" i="7" s="1"/>
  <c r="T125" i="4"/>
  <c r="T121" i="4" s="1"/>
  <c r="W326" i="4"/>
  <c r="X205" i="4"/>
  <c r="X206" i="4" s="1"/>
  <c r="X165" i="4" s="1"/>
  <c r="W144" i="4"/>
  <c r="W214" i="4"/>
  <c r="W154" i="4" s="1"/>
  <c r="W87" i="4"/>
  <c r="W210" i="4"/>
  <c r="BC24" i="2"/>
  <c r="D27" i="7" s="1"/>
  <c r="K24" i="7" s="1"/>
  <c r="I19" i="1" s="1"/>
  <c r="Y275" i="4"/>
  <c r="X278" i="4"/>
  <c r="X305" i="4"/>
  <c r="AC276" i="4"/>
  <c r="X277" i="4"/>
  <c r="U270" i="4"/>
  <c r="U155" i="4" s="1"/>
  <c r="U145" i="4"/>
  <c r="AC553" i="4"/>
  <c r="AC532" i="4"/>
  <c r="X117" i="5"/>
  <c r="X118" i="5"/>
  <c r="X121" i="5" s="1"/>
  <c r="T74" i="4" s="1"/>
  <c r="X116" i="5"/>
  <c r="V245" i="4"/>
  <c r="V246" i="4" s="1"/>
  <c r="V260" i="4"/>
  <c r="X248" i="4"/>
  <c r="V238" i="4"/>
  <c r="V179" i="4"/>
  <c r="V265" i="4"/>
  <c r="U261" i="4"/>
  <c r="U262" i="4"/>
  <c r="AC5" i="2"/>
  <c r="AQ386" i="4"/>
  <c r="T143" i="4"/>
  <c r="AD16" i="14"/>
  <c r="T100" i="4"/>
  <c r="T110" i="4" s="1"/>
  <c r="AD9" i="2"/>
  <c r="AD5" i="2" s="1"/>
  <c r="X325" i="4"/>
  <c r="AZ374" i="4"/>
  <c r="AZ387" i="4" s="1"/>
  <c r="AZ399" i="4" s="1"/>
  <c r="AR374" i="4"/>
  <c r="AR387" i="4" s="1"/>
  <c r="AR399" i="4" s="1"/>
  <c r="AJ374" i="4"/>
  <c r="AJ387" i="4" s="1"/>
  <c r="AJ399" i="4" s="1"/>
  <c r="AB374" i="4"/>
  <c r="AB387" i="4" s="1"/>
  <c r="AB399" i="4" s="1"/>
  <c r="T374" i="4"/>
  <c r="AT374" i="4"/>
  <c r="AK374" i="4"/>
  <c r="AK387" i="4" s="1"/>
  <c r="AK399" i="4" s="1"/>
  <c r="AA374" i="4"/>
  <c r="R374" i="4"/>
  <c r="AV374" i="4"/>
  <c r="AV387" i="4" s="1"/>
  <c r="AV399" i="4" s="1"/>
  <c r="AM374" i="4"/>
  <c r="AM387" i="4" s="1"/>
  <c r="AM399" i="4" s="1"/>
  <c r="AD374" i="4"/>
  <c r="AD387" i="4" s="1"/>
  <c r="AD399" i="4" s="1"/>
  <c r="U374" i="4"/>
  <c r="BB374" i="4"/>
  <c r="BB387" i="4" s="1"/>
  <c r="AP374" i="4"/>
  <c r="AP387" i="4" s="1"/>
  <c r="AP399" i="4" s="1"/>
  <c r="AE374" i="4"/>
  <c r="AE387" i="4" s="1"/>
  <c r="AE399" i="4" s="1"/>
  <c r="BA374" i="4"/>
  <c r="BA387" i="4" s="1"/>
  <c r="BA399" i="4" s="1"/>
  <c r="AN374" i="4"/>
  <c r="AN387" i="4" s="1"/>
  <c r="AN399" i="4" s="1"/>
  <c r="Y374" i="4"/>
  <c r="AY374" i="4"/>
  <c r="AL374" i="4"/>
  <c r="AL387" i="4" s="1"/>
  <c r="AL399" i="4" s="1"/>
  <c r="X374" i="4"/>
  <c r="X387" i="4" s="1"/>
  <c r="AX374" i="4"/>
  <c r="AX387" i="4" s="1"/>
  <c r="AX399" i="4" s="1"/>
  <c r="AI374" i="4"/>
  <c r="W374" i="4"/>
  <c r="AW374" i="4"/>
  <c r="AH374" i="4"/>
  <c r="AH387" i="4" s="1"/>
  <c r="AH399" i="4" s="1"/>
  <c r="V374" i="4"/>
  <c r="AU374" i="4"/>
  <c r="AU387" i="4" s="1"/>
  <c r="AU399" i="4" s="1"/>
  <c r="AG374" i="4"/>
  <c r="AG387" i="4" s="1"/>
  <c r="AG399" i="4" s="1"/>
  <c r="S374" i="4"/>
  <c r="AS374" i="4"/>
  <c r="AS387" i="4" s="1"/>
  <c r="AS399" i="4" s="1"/>
  <c r="AF374" i="4"/>
  <c r="AF387" i="4" s="1"/>
  <c r="AF399" i="4" s="1"/>
  <c r="AQ374" i="4"/>
  <c r="AQ387" i="4" s="1"/>
  <c r="AQ399" i="4" s="1"/>
  <c r="AC374" i="4"/>
  <c r="AC387" i="4" s="1"/>
  <c r="AO374" i="4"/>
  <c r="Z374" i="4"/>
  <c r="Z387" i="4" s="1"/>
  <c r="Z399" i="4" s="1"/>
  <c r="Z13" i="14"/>
  <c r="Q253" i="4"/>
  <c r="P252" i="4"/>
  <c r="AG29" i="2"/>
  <c r="AF50" i="2"/>
  <c r="AF32" i="2"/>
  <c r="X200" i="4"/>
  <c r="X199" i="4"/>
  <c r="Y198" i="4"/>
  <c r="AC508" i="4"/>
  <c r="AC509" i="4" s="1"/>
  <c r="AC172" i="4" s="1"/>
  <c r="AC488" i="4"/>
  <c r="AC484" i="4" s="1"/>
  <c r="AD547" i="4"/>
  <c r="AB15" i="2"/>
  <c r="U146" i="4"/>
  <c r="U302" i="4"/>
  <c r="U156" i="4" s="1"/>
  <c r="W284" i="4"/>
  <c r="W280" i="4"/>
  <c r="AG397" i="4"/>
  <c r="AD11" i="14"/>
  <c r="U221" i="4"/>
  <c r="AF513" i="4"/>
  <c r="P23" i="4"/>
  <c r="Z47" i="2" s="1"/>
  <c r="Q116" i="5"/>
  <c r="Q118" i="5" s="1"/>
  <c r="Q121" i="5" s="1"/>
  <c r="M74" i="4" s="1"/>
  <c r="M20" i="4" s="1"/>
  <c r="M22" i="4" s="1"/>
  <c r="M23" i="4" s="1"/>
  <c r="W47" i="2" s="1"/>
  <c r="Q117" i="5"/>
  <c r="AN397" i="4"/>
  <c r="AD488" i="4"/>
  <c r="AD484" i="4" s="1"/>
  <c r="AD508" i="4"/>
  <c r="AD509" i="4" s="1"/>
  <c r="AD172" i="4" s="1"/>
  <c r="AE397" i="4"/>
  <c r="AC258" i="4"/>
  <c r="AE488" i="4"/>
  <c r="AE484" i="4" s="1"/>
  <c r="AE93" i="4" s="1"/>
  <c r="AE508" i="4"/>
  <c r="AE509" i="4" s="1"/>
  <c r="AE172" i="4" s="1"/>
  <c r="X144" i="5"/>
  <c r="X135" i="5"/>
  <c r="X133" i="5"/>
  <c r="T153" i="4"/>
  <c r="AD73" i="2" s="1"/>
  <c r="AF12" i="7" s="1"/>
  <c r="D376" i="4"/>
  <c r="E375" i="4"/>
  <c r="AG79" i="2"/>
  <c r="AC568" i="4"/>
  <c r="AC91" i="4"/>
  <c r="AA17" i="2"/>
  <c r="AD571" i="4"/>
  <c r="O89" i="4"/>
  <c r="O288" i="4"/>
  <c r="AA11" i="7"/>
  <c r="AA43" i="7" s="1"/>
  <c r="Y30" i="2"/>
  <c r="Y48" i="2" s="1"/>
  <c r="Y27" i="2"/>
  <c r="Y34" i="2"/>
  <c r="AD68" i="2"/>
  <c r="AE68" i="2" s="1"/>
  <c r="W285" i="4"/>
  <c r="W281" i="4"/>
  <c r="W67" i="7"/>
  <c r="Q167" i="4"/>
  <c r="AB11" i="7"/>
  <c r="AB43" i="7" s="1"/>
  <c r="Z34" i="2"/>
  <c r="Z27" i="2"/>
  <c r="Z30" i="2"/>
  <c r="Z48" i="2" s="1"/>
  <c r="AW397" i="4"/>
  <c r="AB537" i="4"/>
  <c r="AH397" i="4"/>
  <c r="AP397" i="4"/>
  <c r="AJ17" i="14"/>
  <c r="Z101" i="4"/>
  <c r="Z111" i="4" s="1"/>
  <c r="U269" i="4"/>
  <c r="U133" i="4" s="1"/>
  <c r="U123" i="4"/>
  <c r="U145" i="5"/>
  <c r="U135" i="5"/>
  <c r="U133" i="5"/>
  <c r="AH475" i="4"/>
  <c r="AH477" i="4"/>
  <c r="AH476" i="4"/>
  <c r="K46" i="7"/>
  <c r="I3" i="1"/>
  <c r="V97" i="4"/>
  <c r="V180" i="4"/>
  <c r="AF6" i="2"/>
  <c r="T175" i="4"/>
  <c r="AD533" i="4"/>
  <c r="AD527" i="4"/>
  <c r="AD538" i="4"/>
  <c r="W327" i="4"/>
  <c r="W168" i="4" s="1"/>
  <c r="AA44" i="5"/>
  <c r="AA49" i="5"/>
  <c r="AA45" i="5"/>
  <c r="AA48" i="5"/>
  <c r="AA46" i="5"/>
  <c r="AA41" i="5"/>
  <c r="AA47" i="5"/>
  <c r="AA42" i="5"/>
  <c r="AA43" i="5"/>
  <c r="W306" i="4"/>
  <c r="AD397" i="4"/>
  <c r="Q89" i="4"/>
  <c r="Q288" i="4"/>
  <c r="AD72" i="2"/>
  <c r="S67" i="7"/>
  <c r="M167" i="4"/>
  <c r="R116" i="5"/>
  <c r="R118" i="5" s="1"/>
  <c r="R121" i="5" s="1"/>
  <c r="N74" i="4" s="1"/>
  <c r="N20" i="4" s="1"/>
  <c r="N22" i="4" s="1"/>
  <c r="R117" i="5"/>
  <c r="S141" i="4"/>
  <c r="AC45" i="2"/>
  <c r="W250" i="4"/>
  <c r="W166" i="4" s="1"/>
  <c r="AF491" i="4"/>
  <c r="AF479" i="4"/>
  <c r="N23" i="4" l="1"/>
  <c r="X47" i="2" s="1"/>
  <c r="O23" i="4"/>
  <c r="Y47" i="2" s="1"/>
  <c r="BC47" i="2" s="1"/>
  <c r="D50" i="7" s="1"/>
  <c r="AF9" i="7"/>
  <c r="T119" i="4"/>
  <c r="AD44" i="2"/>
  <c r="Q85" i="4"/>
  <c r="AA20" i="14" s="1"/>
  <c r="Q99" i="4"/>
  <c r="AD553" i="4"/>
  <c r="AD532" i="4"/>
  <c r="E376" i="4"/>
  <c r="D377" i="4"/>
  <c r="E377" i="4" s="1"/>
  <c r="AE11" i="14"/>
  <c r="V221" i="4"/>
  <c r="Y199" i="4"/>
  <c r="Z198" i="4"/>
  <c r="Y200" i="4"/>
  <c r="AA13" i="14"/>
  <c r="R253" i="4"/>
  <c r="Q252" i="4"/>
  <c r="Y305" i="4"/>
  <c r="AD276" i="4"/>
  <c r="Y277" i="4"/>
  <c r="Z275" i="4"/>
  <c r="Y278" i="4"/>
  <c r="Z315" i="4"/>
  <c r="AG508" i="4"/>
  <c r="AG488" i="4"/>
  <c r="AR398" i="4"/>
  <c r="S66" i="2"/>
  <c r="T41" i="2"/>
  <c r="T58" i="2" s="1"/>
  <c r="Z130" i="5"/>
  <c r="Z115" i="5"/>
  <c r="AC6" i="14"/>
  <c r="X321" i="4"/>
  <c r="Y313" i="4"/>
  <c r="X319" i="4"/>
  <c r="X314" i="4"/>
  <c r="AF316" i="4"/>
  <c r="AD540" i="4"/>
  <c r="AD560" i="4" s="1"/>
  <c r="AG493" i="4"/>
  <c r="U334" i="4"/>
  <c r="U135" i="4" s="1"/>
  <c r="U125" i="4"/>
  <c r="S68" i="7"/>
  <c r="M289" i="4"/>
  <c r="S69" i="7" s="1"/>
  <c r="AH482" i="4"/>
  <c r="AH493" i="4" s="1"/>
  <c r="AH487" i="4"/>
  <c r="AH499" i="4"/>
  <c r="AH485" i="4"/>
  <c r="AH480" i="4"/>
  <c r="AH474" i="4"/>
  <c r="AH497" i="4"/>
  <c r="AD258" i="4"/>
  <c r="X234" i="4"/>
  <c r="X209" i="4"/>
  <c r="X196" i="4"/>
  <c r="X233" i="4"/>
  <c r="Z204" i="4"/>
  <c r="X201" i="4"/>
  <c r="X202" i="4" s="1"/>
  <c r="X232" i="4"/>
  <c r="X235" i="4"/>
  <c r="X178" i="4"/>
  <c r="X231" i="4"/>
  <c r="Z12" i="14"/>
  <c r="Z5" i="14" s="1"/>
  <c r="BB399" i="4"/>
  <c r="AT387" i="4"/>
  <c r="AC569" i="4"/>
  <c r="AC169" i="4" s="1"/>
  <c r="AE568" i="4"/>
  <c r="AE91" i="4"/>
  <c r="AG484" i="4"/>
  <c r="AG93" i="4" s="1"/>
  <c r="AG513" i="4"/>
  <c r="AC24" i="2"/>
  <c r="S20" i="4"/>
  <c r="S22" i="4" s="1"/>
  <c r="S23" i="4" s="1"/>
  <c r="AC47" i="2" s="1"/>
  <c r="AI476" i="4"/>
  <c r="AI477" i="4"/>
  <c r="AI475" i="4"/>
  <c r="V270" i="4"/>
  <c r="V155" i="4" s="1"/>
  <c r="V145" i="4"/>
  <c r="M99" i="4"/>
  <c r="M85" i="4"/>
  <c r="M24" i="4" s="1"/>
  <c r="AC15" i="2"/>
  <c r="AB17" i="2"/>
  <c r="X214" i="4"/>
  <c r="X154" i="4" s="1"/>
  <c r="X210" i="4"/>
  <c r="Y205" i="4"/>
  <c r="X87" i="4"/>
  <c r="X144" i="4"/>
  <c r="U143" i="4"/>
  <c r="AF21" i="7"/>
  <c r="AF44" i="7"/>
  <c r="AE535" i="4"/>
  <c r="AE555" i="4" s="1"/>
  <c r="AG479" i="4"/>
  <c r="AG491" i="4"/>
  <c r="U57" i="4"/>
  <c r="T56" i="4"/>
  <c r="X34" i="2"/>
  <c r="AB521" i="4"/>
  <c r="AB577" i="4"/>
  <c r="AD10" i="14"/>
  <c r="U220" i="4"/>
  <c r="V68" i="7"/>
  <c r="P289" i="4"/>
  <c r="V69" i="7" s="1"/>
  <c r="U124" i="4"/>
  <c r="U121" i="4" s="1"/>
  <c r="U301" i="4"/>
  <c r="U134" i="4" s="1"/>
  <c r="U131" i="4" s="1"/>
  <c r="AE67" i="2" s="1"/>
  <c r="AG8" i="7" s="1"/>
  <c r="AG13" i="7" s="1"/>
  <c r="AJ471" i="4"/>
  <c r="AJ472" i="4" s="1"/>
  <c r="AK470" i="4"/>
  <c r="AE80" i="2"/>
  <c r="M163" i="4"/>
  <c r="M117" i="4"/>
  <c r="W46" i="2" s="1"/>
  <c r="AA39" i="5"/>
  <c r="AA38" i="5"/>
  <c r="AA40" i="5"/>
  <c r="W298" i="4"/>
  <c r="U68" i="7"/>
  <c r="O289" i="4"/>
  <c r="U69" i="7" s="1"/>
  <c r="BC15" i="2"/>
  <c r="D18" i="7" s="1"/>
  <c r="K17" i="7" s="1"/>
  <c r="I11" i="1" s="1"/>
  <c r="AO387" i="4"/>
  <c r="AY387" i="4"/>
  <c r="T141" i="4"/>
  <c r="AD45" i="2"/>
  <c r="V123" i="4"/>
  <c r="V269" i="4"/>
  <c r="V133" i="4" s="1"/>
  <c r="W180" i="4"/>
  <c r="W97" i="4"/>
  <c r="AG6" i="2"/>
  <c r="V331" i="4"/>
  <c r="V90" i="4"/>
  <c r="R89" i="4"/>
  <c r="R288" i="4"/>
  <c r="P85" i="4"/>
  <c r="Z20" i="14" s="1"/>
  <c r="P99" i="4"/>
  <c r="S292" i="4"/>
  <c r="S293" i="4" s="1"/>
  <c r="S287" i="4"/>
  <c r="U335" i="4"/>
  <c r="U157" i="4" s="1"/>
  <c r="U153" i="4" s="1"/>
  <c r="AE73" i="2" s="1"/>
  <c r="AG12" i="7" s="1"/>
  <c r="U147" i="4"/>
  <c r="AH257" i="4"/>
  <c r="AD9" i="14"/>
  <c r="U219" i="4"/>
  <c r="V302" i="4"/>
  <c r="V156" i="4" s="1"/>
  <c r="V146" i="4"/>
  <c r="P82" i="4"/>
  <c r="T147" i="5"/>
  <c r="T149" i="5"/>
  <c r="AE72" i="2"/>
  <c r="V107" i="4"/>
  <c r="Q81" i="4"/>
  <c r="U149" i="5"/>
  <c r="U147" i="5"/>
  <c r="O85" i="4"/>
  <c r="Y20" i="14" s="1"/>
  <c r="Y22" i="14" s="1"/>
  <c r="Y23" i="14" s="1"/>
  <c r="O99" i="4"/>
  <c r="AF52" i="2"/>
  <c r="AC399" i="4"/>
  <c r="Y387" i="4"/>
  <c r="V98" i="4"/>
  <c r="V108" i="4" s="1"/>
  <c r="AF7" i="2"/>
  <c r="X284" i="4"/>
  <c r="X280" i="4"/>
  <c r="M82" i="4"/>
  <c r="Q149" i="5"/>
  <c r="Q147" i="5"/>
  <c r="AE533" i="4"/>
  <c r="AE527" i="4"/>
  <c r="AE291" i="4"/>
  <c r="V273" i="4"/>
  <c r="V297" i="4"/>
  <c r="V181" i="4"/>
  <c r="W213" i="4"/>
  <c r="W132" i="4" s="1"/>
  <c r="W122" i="4"/>
  <c r="V330" i="4"/>
  <c r="V182" i="4"/>
  <c r="V322" i="4"/>
  <c r="V323" i="4" s="1"/>
  <c r="V311" i="4"/>
  <c r="AU398" i="4"/>
  <c r="W265" i="4"/>
  <c r="W238" i="4"/>
  <c r="W179" i="4"/>
  <c r="W260" i="4"/>
  <c r="W245" i="4"/>
  <c r="W246" i="4" s="1"/>
  <c r="Y248" i="4"/>
  <c r="AG542" i="4"/>
  <c r="AG525" i="4"/>
  <c r="AH524" i="4"/>
  <c r="AG576" i="4"/>
  <c r="X67" i="7"/>
  <c r="R167" i="4"/>
  <c r="Y325" i="4"/>
  <c r="Y144" i="5"/>
  <c r="Y135" i="5"/>
  <c r="Y133" i="5"/>
  <c r="O163" i="4"/>
  <c r="O117" i="4"/>
  <c r="Y46" i="2" s="1"/>
  <c r="AF488" i="4"/>
  <c r="AF484" i="4" s="1"/>
  <c r="AF93" i="4" s="1"/>
  <c r="AF508" i="4"/>
  <c r="AF509" i="4" s="1"/>
  <c r="AF172" i="4" s="1"/>
  <c r="Z35" i="2"/>
  <c r="Z43" i="2"/>
  <c r="Z83" i="2" s="1"/>
  <c r="AD568" i="4"/>
  <c r="AD91" i="4"/>
  <c r="BF91" i="4" s="1"/>
  <c r="AH79" i="2"/>
  <c r="W282" i="4"/>
  <c r="AW387" i="4"/>
  <c r="AQ398" i="4"/>
  <c r="AE103" i="4"/>
  <c r="AE113" i="4" s="1"/>
  <c r="AO12" i="2"/>
  <c r="AE539" i="4"/>
  <c r="AE559" i="4" s="1"/>
  <c r="AE534" i="4"/>
  <c r="AE554" i="4" s="1"/>
  <c r="AD8" i="14"/>
  <c r="U218" i="4"/>
  <c r="AF544" i="4"/>
  <c r="AF549" i="4" s="1"/>
  <c r="AF545" i="4"/>
  <c r="AF550" i="4" s="1"/>
  <c r="AF543" i="4"/>
  <c r="AF548" i="4" s="1"/>
  <c r="AF547" i="4" s="1"/>
  <c r="W320" i="4"/>
  <c r="W318" i="4"/>
  <c r="Y118" i="5"/>
  <c r="Y121" i="5" s="1"/>
  <c r="U74" i="4" s="1"/>
  <c r="Y116" i="5"/>
  <c r="Y117" i="5"/>
  <c r="AE16" i="14"/>
  <c r="U100" i="4"/>
  <c r="U110" i="4" s="1"/>
  <c r="AE9" i="2"/>
  <c r="N81" i="4"/>
  <c r="N573" i="4" s="1"/>
  <c r="R147" i="5"/>
  <c r="R149" i="5"/>
  <c r="AD558" i="4"/>
  <c r="T80" i="4"/>
  <c r="T286" i="4" s="1"/>
  <c r="X149" i="5"/>
  <c r="X147" i="5"/>
  <c r="AD93" i="4"/>
  <c r="AD103" i="4" s="1"/>
  <c r="AD113" i="4" s="1"/>
  <c r="AD490" i="4"/>
  <c r="AD494" i="4" s="1"/>
  <c r="AF517" i="4"/>
  <c r="AF160" i="4" s="1"/>
  <c r="AF150" i="4"/>
  <c r="AC93" i="4"/>
  <c r="AC103" i="4" s="1"/>
  <c r="AC113" i="4" s="1"/>
  <c r="AC490" i="4"/>
  <c r="AC494" i="4" s="1"/>
  <c r="AG50" i="2"/>
  <c r="AG32" i="2"/>
  <c r="AG52" i="2" s="1"/>
  <c r="AH29" i="2"/>
  <c r="W387" i="4"/>
  <c r="AC552" i="4"/>
  <c r="AC563" i="4"/>
  <c r="AC562" i="4" s="1"/>
  <c r="AB45" i="5"/>
  <c r="AB47" i="5"/>
  <c r="AB42" i="5"/>
  <c r="AB44" i="5"/>
  <c r="AB49" i="5"/>
  <c r="AB48" i="5"/>
  <c r="AB46" i="5"/>
  <c r="AB43" i="5"/>
  <c r="AB41" i="5"/>
  <c r="X306" i="4"/>
  <c r="W48" i="2"/>
  <c r="AE516" i="4"/>
  <c r="AE138" i="4" s="1"/>
  <c r="AE128" i="4"/>
  <c r="Y204" i="4"/>
  <c r="Y206" i="4" s="1"/>
  <c r="Y165" i="4" s="1"/>
  <c r="AG492" i="4"/>
  <c r="AA188" i="4"/>
  <c r="AK10" i="2" s="1"/>
  <c r="AA183" i="4"/>
  <c r="X249" i="4"/>
  <c r="X250" i="4" s="1"/>
  <c r="X166" i="4" s="1"/>
  <c r="W266" i="4"/>
  <c r="W88" i="4"/>
  <c r="AD539" i="4"/>
  <c r="AD559" i="4" s="1"/>
  <c r="X326" i="4"/>
  <c r="X327" i="4" s="1"/>
  <c r="X168" i="4" s="1"/>
  <c r="AE547" i="4"/>
  <c r="P117" i="4"/>
  <c r="Z46" i="2" s="1"/>
  <c r="P163" i="4"/>
  <c r="AF51" i="2"/>
  <c r="AG31" i="2"/>
  <c r="AF68" i="2"/>
  <c r="AC10" i="7"/>
  <c r="AA26" i="2"/>
  <c r="AA18" i="2"/>
  <c r="BC17" i="2"/>
  <c r="AF467" i="4"/>
  <c r="AF185" i="4" s="1"/>
  <c r="AF490" i="4"/>
  <c r="AF494" i="4" s="1"/>
  <c r="AG507" i="4"/>
  <c r="AG509" i="4" s="1"/>
  <c r="AG172" i="4" s="1"/>
  <c r="AF512" i="4"/>
  <c r="W68" i="7"/>
  <c r="Q289" i="4"/>
  <c r="W69" i="7" s="1"/>
  <c r="AH486" i="4"/>
  <c r="AH481" i="4"/>
  <c r="AH492" i="4" s="1"/>
  <c r="AH498" i="4"/>
  <c r="Q163" i="4"/>
  <c r="Q117" i="4"/>
  <c r="AA46" i="2" s="1"/>
  <c r="Y43" i="2"/>
  <c r="Y83" i="2" s="1"/>
  <c r="Y35" i="2"/>
  <c r="AZ375" i="4"/>
  <c r="AR375" i="4"/>
  <c r="AR388" i="4" s="1"/>
  <c r="AR400" i="4" s="1"/>
  <c r="AJ375" i="4"/>
  <c r="AJ388" i="4" s="1"/>
  <c r="AJ400" i="4" s="1"/>
  <c r="AB375" i="4"/>
  <c r="AB388" i="4" s="1"/>
  <c r="AB400" i="4" s="1"/>
  <c r="T375" i="4"/>
  <c r="AY375" i="4"/>
  <c r="AY388" i="4" s="1"/>
  <c r="AY400" i="4" s="1"/>
  <c r="AP375" i="4"/>
  <c r="AP388" i="4" s="1"/>
  <c r="AP400" i="4" s="1"/>
  <c r="AG375" i="4"/>
  <c r="AG388" i="4" s="1"/>
  <c r="X375" i="4"/>
  <c r="BB375" i="4"/>
  <c r="BB388" i="4" s="1"/>
  <c r="BB400" i="4" s="1"/>
  <c r="AS375" i="4"/>
  <c r="AS388" i="4" s="1"/>
  <c r="AS400" i="4" s="1"/>
  <c r="AI375" i="4"/>
  <c r="AI388" i="4" s="1"/>
  <c r="AI400" i="4" s="1"/>
  <c r="Z375" i="4"/>
  <c r="Z388" i="4" s="1"/>
  <c r="Z400" i="4" s="1"/>
  <c r="Z392" i="4" s="1"/>
  <c r="AX375" i="4"/>
  <c r="AX388" i="4" s="1"/>
  <c r="AX400" i="4" s="1"/>
  <c r="AM375" i="4"/>
  <c r="AM388" i="4" s="1"/>
  <c r="AA375" i="4"/>
  <c r="AA388" i="4" s="1"/>
  <c r="AA400" i="4" s="1"/>
  <c r="AO375" i="4"/>
  <c r="AO388" i="4" s="1"/>
  <c r="AO400" i="4" s="1"/>
  <c r="AC375" i="4"/>
  <c r="AC388" i="4" s="1"/>
  <c r="AC400" i="4" s="1"/>
  <c r="AN375" i="4"/>
  <c r="AN388" i="4" s="1"/>
  <c r="AN400" i="4" s="1"/>
  <c r="Y375" i="4"/>
  <c r="Y388" i="4" s="1"/>
  <c r="Y400" i="4" s="1"/>
  <c r="BA375" i="4"/>
  <c r="BA388" i="4" s="1"/>
  <c r="AL375" i="4"/>
  <c r="AL388" i="4" s="1"/>
  <c r="AL400" i="4" s="1"/>
  <c r="W375" i="4"/>
  <c r="W388" i="4" s="1"/>
  <c r="AW375" i="4"/>
  <c r="AW388" i="4" s="1"/>
  <c r="AW400" i="4" s="1"/>
  <c r="AK375" i="4"/>
  <c r="AK388" i="4" s="1"/>
  <c r="AK400" i="4" s="1"/>
  <c r="V375" i="4"/>
  <c r="AV375" i="4"/>
  <c r="AV388" i="4" s="1"/>
  <c r="AV400" i="4" s="1"/>
  <c r="AH375" i="4"/>
  <c r="AH388" i="4" s="1"/>
  <c r="U375" i="4"/>
  <c r="AU375" i="4"/>
  <c r="AU388" i="4" s="1"/>
  <c r="AU400" i="4" s="1"/>
  <c r="AF375" i="4"/>
  <c r="AF388" i="4" s="1"/>
  <c r="S375" i="4"/>
  <c r="AT375" i="4"/>
  <c r="AT388" i="4" s="1"/>
  <c r="AT400" i="4" s="1"/>
  <c r="AE375" i="4"/>
  <c r="AE388" i="4" s="1"/>
  <c r="AE400" i="4" s="1"/>
  <c r="R375" i="4"/>
  <c r="AQ375" i="4"/>
  <c r="AQ388" i="4" s="1"/>
  <c r="AQ400" i="4" s="1"/>
  <c r="AD375" i="4"/>
  <c r="AD388" i="4" s="1"/>
  <c r="AI387" i="4"/>
  <c r="AA387" i="4"/>
  <c r="AE9" i="7"/>
  <c r="AC17" i="2"/>
  <c r="V261" i="4"/>
  <c r="V262" i="4"/>
  <c r="X285" i="4"/>
  <c r="X281" i="4"/>
  <c r="W43" i="2"/>
  <c r="W35" i="2"/>
  <c r="AE490" i="4"/>
  <c r="AE494" i="4" s="1"/>
  <c r="AA14" i="14"/>
  <c r="R254" i="4"/>
  <c r="AB93" i="4"/>
  <c r="AB490" i="4"/>
  <c r="AB494" i="4" s="1"/>
  <c r="T7" i="7"/>
  <c r="T20" i="7" s="1"/>
  <c r="T42" i="7" s="1"/>
  <c r="R65" i="2"/>
  <c r="R64" i="2" s="1"/>
  <c r="R81" i="2" s="1"/>
  <c r="R77" i="2" s="1"/>
  <c r="R85" i="2" s="1"/>
  <c r="X244" i="4"/>
  <c r="X242" i="4"/>
  <c r="X243" i="4"/>
  <c r="Y240" i="4"/>
  <c r="AF575" i="4"/>
  <c r="AF574" i="4"/>
  <c r="AF571" i="4" s="1"/>
  <c r="AF530" i="4"/>
  <c r="AF528" i="4"/>
  <c r="AF529" i="4"/>
  <c r="AD564" i="4"/>
  <c r="AD7" i="14"/>
  <c r="AD6" i="14" s="1"/>
  <c r="U217" i="4"/>
  <c r="AE15" i="14"/>
  <c r="AE8" i="2"/>
  <c r="AE5" i="2" s="1"/>
  <c r="AD565" i="4"/>
  <c r="AG21" i="7" l="1"/>
  <c r="AG44" i="7"/>
  <c r="U119" i="4"/>
  <c r="AE44" i="2"/>
  <c r="AG9" i="7"/>
  <c r="AF80" i="2"/>
  <c r="AD24" i="2"/>
  <c r="AD20" i="2" s="1"/>
  <c r="T20" i="4"/>
  <c r="T22" i="4" s="1"/>
  <c r="T23" i="4" s="1"/>
  <c r="AD47" i="2" s="1"/>
  <c r="AD15" i="2"/>
  <c r="V153" i="4"/>
  <c r="AF73" i="2" s="1"/>
  <c r="AH12" i="7" s="1"/>
  <c r="X97" i="4"/>
  <c r="AH6" i="2"/>
  <c r="AH513" i="4"/>
  <c r="AC46" i="5"/>
  <c r="AC49" i="5"/>
  <c r="AC43" i="5"/>
  <c r="AC44" i="5"/>
  <c r="AC47" i="5"/>
  <c r="AC42" i="5"/>
  <c r="AC48" i="5"/>
  <c r="AC45" i="5"/>
  <c r="AC41" i="5"/>
  <c r="Y306" i="4"/>
  <c r="Y243" i="4"/>
  <c r="Y242" i="4"/>
  <c r="Z240" i="4"/>
  <c r="Y244" i="4"/>
  <c r="X298" i="4"/>
  <c r="AG400" i="4"/>
  <c r="W269" i="4"/>
  <c r="W133" i="4" s="1"/>
  <c r="W123" i="4"/>
  <c r="X266" i="4"/>
  <c r="Y249" i="4"/>
  <c r="X88" i="4"/>
  <c r="AB14" i="14"/>
  <c r="S254" i="4"/>
  <c r="AI399" i="4"/>
  <c r="AF400" i="4"/>
  <c r="AM400" i="4"/>
  <c r="AF516" i="4"/>
  <c r="AF138" i="4" s="1"/>
  <c r="AF128" i="4"/>
  <c r="W311" i="4"/>
  <c r="W330" i="4"/>
  <c r="W182" i="4"/>
  <c r="W322" i="4"/>
  <c r="W323" i="4" s="1"/>
  <c r="AE564" i="4"/>
  <c r="AW399" i="4"/>
  <c r="AG544" i="4"/>
  <c r="AG549" i="4" s="1"/>
  <c r="AG545" i="4"/>
  <c r="AG550" i="4" s="1"/>
  <c r="AG543" i="4"/>
  <c r="AG548" i="4" s="1"/>
  <c r="AG547" i="4" s="1"/>
  <c r="AF15" i="14"/>
  <c r="AF8" i="2"/>
  <c r="AE9" i="14"/>
  <c r="V219" i="4"/>
  <c r="V335" i="4"/>
  <c r="V157" i="4" s="1"/>
  <c r="V147" i="4"/>
  <c r="V143" i="4" s="1"/>
  <c r="AA130" i="5"/>
  <c r="AA115" i="5"/>
  <c r="U56" i="4"/>
  <c r="V57" i="4"/>
  <c r="U141" i="4"/>
  <c r="AE45" i="2"/>
  <c r="AI485" i="4"/>
  <c r="AI474" i="4"/>
  <c r="AI497" i="4"/>
  <c r="AI480" i="4"/>
  <c r="AC20" i="2"/>
  <c r="AE258" i="4"/>
  <c r="AG575" i="4"/>
  <c r="AG529" i="4"/>
  <c r="AG528" i="4"/>
  <c r="AG574" i="4"/>
  <c r="AG571" i="4" s="1"/>
  <c r="AG530" i="4"/>
  <c r="Y67" i="7"/>
  <c r="S167" i="4"/>
  <c r="AF534" i="4"/>
  <c r="AF554" i="4" s="1"/>
  <c r="X245" i="4"/>
  <c r="X246" i="4" s="1"/>
  <c r="X260" i="4"/>
  <c r="Z248" i="4"/>
  <c r="X238" i="4"/>
  <c r="X265" i="4"/>
  <c r="X179" i="4"/>
  <c r="X180" i="4" s="1"/>
  <c r="AC521" i="4"/>
  <c r="AC577" i="4"/>
  <c r="W331" i="4"/>
  <c r="W90" i="4"/>
  <c r="W297" i="4"/>
  <c r="AF291" i="4"/>
  <c r="W273" i="4"/>
  <c r="W181" i="4"/>
  <c r="U80" i="4"/>
  <c r="U286" i="4" s="1"/>
  <c r="Y149" i="5"/>
  <c r="Y147" i="5"/>
  <c r="V124" i="4"/>
  <c r="V121" i="4" s="1"/>
  <c r="Y367" i="4"/>
  <c r="O109" i="4"/>
  <c r="O96" i="4"/>
  <c r="O106" i="4" s="1"/>
  <c r="AF72" i="2"/>
  <c r="P109" i="4"/>
  <c r="P96" i="4"/>
  <c r="P106" i="4" s="1"/>
  <c r="AE10" i="14"/>
  <c r="V220" i="4"/>
  <c r="AI482" i="4"/>
  <c r="AI493" i="4" s="1"/>
  <c r="AI487" i="4"/>
  <c r="AI499" i="4"/>
  <c r="AG517" i="4"/>
  <c r="AG160" i="4" s="1"/>
  <c r="AG150" i="4"/>
  <c r="Z117" i="5"/>
  <c r="Z116" i="5"/>
  <c r="Z118" i="5" s="1"/>
  <c r="Z121" i="5" s="1"/>
  <c r="V74" i="4" s="1"/>
  <c r="AB13" i="14"/>
  <c r="AB12" i="14" s="1"/>
  <c r="AB5" i="14" s="1"/>
  <c r="R252" i="4"/>
  <c r="S253" i="4"/>
  <c r="AG51" i="2"/>
  <c r="AG68" i="2" s="1"/>
  <c r="AH31" i="2"/>
  <c r="AK471" i="4"/>
  <c r="AK472" i="4" s="1"/>
  <c r="AL470" i="4"/>
  <c r="AG512" i="4"/>
  <c r="AH507" i="4"/>
  <c r="AG490" i="4"/>
  <c r="AG494" i="4" s="1"/>
  <c r="AG467" i="4"/>
  <c r="AG185" i="4" s="1"/>
  <c r="AI481" i="4"/>
  <c r="AI492" i="4" s="1"/>
  <c r="AI486" i="4"/>
  <c r="AI498" i="4"/>
  <c r="AT399" i="4"/>
  <c r="Z144" i="5"/>
  <c r="Z135" i="5"/>
  <c r="Z133" i="5"/>
  <c r="AA12" i="14"/>
  <c r="AA5" i="14" s="1"/>
  <c r="AA22" i="14" s="1"/>
  <c r="AA23" i="14" s="1"/>
  <c r="AZ377" i="4"/>
  <c r="AZ390" i="4" s="1"/>
  <c r="AZ402" i="4" s="1"/>
  <c r="AR377" i="4"/>
  <c r="AJ377" i="4"/>
  <c r="AB377" i="4"/>
  <c r="T377" i="4"/>
  <c r="T367" i="4" s="1"/>
  <c r="BB377" i="4"/>
  <c r="AS377" i="4"/>
  <c r="AI377" i="4"/>
  <c r="Z377" i="4"/>
  <c r="AU377" i="4"/>
  <c r="AL377" i="4"/>
  <c r="AC377" i="4"/>
  <c r="S377" i="4"/>
  <c r="S367" i="4" s="1"/>
  <c r="AQ377" i="4"/>
  <c r="AF377" i="4"/>
  <c r="U377" i="4"/>
  <c r="AT377" i="4"/>
  <c r="AE377" i="4"/>
  <c r="AP377" i="4"/>
  <c r="AD377" i="4"/>
  <c r="AO377" i="4"/>
  <c r="AA377" i="4"/>
  <c r="BA377" i="4"/>
  <c r="AN377" i="4"/>
  <c r="Y377" i="4"/>
  <c r="Y390" i="4" s="1"/>
  <c r="Y402" i="4" s="1"/>
  <c r="AY377" i="4"/>
  <c r="AM377" i="4"/>
  <c r="X377" i="4"/>
  <c r="X390" i="4" s="1"/>
  <c r="AX377" i="4"/>
  <c r="AK377" i="4"/>
  <c r="W377" i="4"/>
  <c r="W390" i="4" s="1"/>
  <c r="AW377" i="4"/>
  <c r="AH377" i="4"/>
  <c r="V377" i="4"/>
  <c r="V367" i="4" s="1"/>
  <c r="AV377" i="4"/>
  <c r="AG377" i="4"/>
  <c r="R377" i="4"/>
  <c r="AI79" i="2"/>
  <c r="R163" i="4"/>
  <c r="R117" i="4"/>
  <c r="AB46" i="2" s="1"/>
  <c r="X68" i="7"/>
  <c r="R289" i="4"/>
  <c r="X69" i="7" s="1"/>
  <c r="AJ477" i="4"/>
  <c r="AJ475" i="4"/>
  <c r="AJ476" i="4"/>
  <c r="V301" i="4"/>
  <c r="V134" i="4" s="1"/>
  <c r="V131" i="4" s="1"/>
  <c r="AF67" i="2" s="1"/>
  <c r="AH8" i="7" s="1"/>
  <c r="AH13" i="7" s="1"/>
  <c r="M109" i="4"/>
  <c r="M96" i="4"/>
  <c r="M106" i="4" s="1"/>
  <c r="Z206" i="4"/>
  <c r="Z165" i="4" s="1"/>
  <c r="Y281" i="4"/>
  <c r="Y285" i="4"/>
  <c r="Z205" i="4"/>
  <c r="Y210" i="4"/>
  <c r="Y214" i="4"/>
  <c r="Y154" i="4" s="1"/>
  <c r="Y144" i="4"/>
  <c r="Y87" i="4"/>
  <c r="AZ376" i="4"/>
  <c r="AZ389" i="4" s="1"/>
  <c r="AZ401" i="4" s="1"/>
  <c r="AR376" i="4"/>
  <c r="AR389" i="4" s="1"/>
  <c r="AR401" i="4" s="1"/>
  <c r="AJ376" i="4"/>
  <c r="AJ389" i="4" s="1"/>
  <c r="AJ401" i="4" s="1"/>
  <c r="AB376" i="4"/>
  <c r="AB389" i="4" s="1"/>
  <c r="AB401" i="4" s="1"/>
  <c r="T376" i="4"/>
  <c r="AV376" i="4"/>
  <c r="AV389" i="4" s="1"/>
  <c r="AV401" i="4" s="1"/>
  <c r="AM376" i="4"/>
  <c r="AM389" i="4" s="1"/>
  <c r="AM401" i="4" s="1"/>
  <c r="AD376" i="4"/>
  <c r="AD389" i="4" s="1"/>
  <c r="AD401" i="4" s="1"/>
  <c r="U376" i="4"/>
  <c r="AX376" i="4"/>
  <c r="AX389" i="4" s="1"/>
  <c r="AX401" i="4" s="1"/>
  <c r="AO376" i="4"/>
  <c r="AO389" i="4" s="1"/>
  <c r="AO401" i="4" s="1"/>
  <c r="AF376" i="4"/>
  <c r="AF389" i="4" s="1"/>
  <c r="AF401" i="4" s="1"/>
  <c r="W376" i="4"/>
  <c r="W389" i="4" s="1"/>
  <c r="AU376" i="4"/>
  <c r="AU389" i="4" s="1"/>
  <c r="AU401" i="4" s="1"/>
  <c r="AI376" i="4"/>
  <c r="AI389" i="4" s="1"/>
  <c r="AI401" i="4" s="1"/>
  <c r="X376" i="4"/>
  <c r="X389" i="4" s="1"/>
  <c r="AQ376" i="4"/>
  <c r="AQ389" i="4" s="1"/>
  <c r="AQ401" i="4" s="1"/>
  <c r="AC376" i="4"/>
  <c r="AC389" i="4" s="1"/>
  <c r="AP376" i="4"/>
  <c r="AP389" i="4" s="1"/>
  <c r="AP401" i="4" s="1"/>
  <c r="AA376" i="4"/>
  <c r="AA389" i="4" s="1"/>
  <c r="AA401" i="4" s="1"/>
  <c r="BB376" i="4"/>
  <c r="BB389" i="4" s="1"/>
  <c r="BB401" i="4" s="1"/>
  <c r="AN376" i="4"/>
  <c r="AN389" i="4" s="1"/>
  <c r="Z376" i="4"/>
  <c r="Z389" i="4" s="1"/>
  <c r="Z401" i="4" s="1"/>
  <c r="BA376" i="4"/>
  <c r="BA389" i="4" s="1"/>
  <c r="BA401" i="4" s="1"/>
  <c r="AL376" i="4"/>
  <c r="AL389" i="4" s="1"/>
  <c r="AL401" i="4" s="1"/>
  <c r="Y376" i="4"/>
  <c r="Y389" i="4" s="1"/>
  <c r="Y401" i="4" s="1"/>
  <c r="AY376" i="4"/>
  <c r="AY389" i="4" s="1"/>
  <c r="AY401" i="4" s="1"/>
  <c r="AK376" i="4"/>
  <c r="AK389" i="4" s="1"/>
  <c r="AK401" i="4" s="1"/>
  <c r="V376" i="4"/>
  <c r="AW376" i="4"/>
  <c r="AW389" i="4" s="1"/>
  <c r="AW401" i="4" s="1"/>
  <c r="AH376" i="4"/>
  <c r="AH389" i="4" s="1"/>
  <c r="AH401" i="4" s="1"/>
  <c r="S376" i="4"/>
  <c r="AT376" i="4"/>
  <c r="AT389" i="4" s="1"/>
  <c r="AT401" i="4" s="1"/>
  <c r="AG376" i="4"/>
  <c r="AG389" i="4" s="1"/>
  <c r="AG401" i="4" s="1"/>
  <c r="R376" i="4"/>
  <c r="AS376" i="4"/>
  <c r="AS389" i="4" s="1"/>
  <c r="AS401" i="4" s="1"/>
  <c r="AE376" i="4"/>
  <c r="AE389" i="4" s="1"/>
  <c r="AE401" i="4" s="1"/>
  <c r="Z409" i="4"/>
  <c r="Z92" i="4"/>
  <c r="D20" i="7"/>
  <c r="K18" i="7" s="1"/>
  <c r="I12" i="1" s="1"/>
  <c r="BC18" i="2"/>
  <c r="D21" i="7" s="1"/>
  <c r="K19" i="7" s="1"/>
  <c r="I13" i="1" s="1"/>
  <c r="BC26" i="2"/>
  <c r="W74" i="2"/>
  <c r="AD557" i="4"/>
  <c r="AD567" i="4" s="1"/>
  <c r="AD569" i="4" s="1"/>
  <c r="AD169" i="4" s="1"/>
  <c r="W261" i="4"/>
  <c r="W262" i="4"/>
  <c r="AF16" i="14"/>
  <c r="V100" i="4"/>
  <c r="V110" i="4" s="1"/>
  <c r="AF9" i="2"/>
  <c r="X282" i="4"/>
  <c r="R85" i="4"/>
  <c r="AB20" i="14" s="1"/>
  <c r="R99" i="4"/>
  <c r="AY399" i="4"/>
  <c r="W302" i="4"/>
  <c r="W156" i="4" s="1"/>
  <c r="W146" i="4"/>
  <c r="BC46" i="2"/>
  <c r="D49" i="7" s="1"/>
  <c r="AB188" i="4"/>
  <c r="AL10" i="2" s="1"/>
  <c r="AB183" i="4"/>
  <c r="AE540" i="4"/>
  <c r="AE560" i="4" s="1"/>
  <c r="AE565" i="4" s="1"/>
  <c r="BE89" i="4"/>
  <c r="AH496" i="4"/>
  <c r="AH502" i="4" s="1"/>
  <c r="AH504" i="4" s="1"/>
  <c r="X320" i="4"/>
  <c r="Y326" i="4" s="1"/>
  <c r="Y327" i="4" s="1"/>
  <c r="Y168" i="4" s="1"/>
  <c r="X318" i="4"/>
  <c r="Z325" i="4" s="1"/>
  <c r="T66" i="2"/>
  <c r="U41" i="2"/>
  <c r="U58" i="2" s="1"/>
  <c r="Z305" i="4"/>
  <c r="AA275" i="4"/>
  <c r="Z278" i="4"/>
  <c r="Z277" i="4"/>
  <c r="AE276" i="4"/>
  <c r="Z199" i="4"/>
  <c r="AA204" i="4" s="1"/>
  <c r="AA198" i="4"/>
  <c r="Z200" i="4"/>
  <c r="AD400" i="4"/>
  <c r="BA400" i="4"/>
  <c r="W270" i="4"/>
  <c r="W155" i="4" s="1"/>
  <c r="W145" i="4"/>
  <c r="T292" i="4"/>
  <c r="T293" i="4" s="1"/>
  <c r="T287" i="4"/>
  <c r="Y250" i="4"/>
  <c r="Y166" i="4" s="1"/>
  <c r="AI257" i="4"/>
  <c r="AF535" i="4"/>
  <c r="AF555" i="4" s="1"/>
  <c r="AF540" i="4"/>
  <c r="AF560" i="4" s="1"/>
  <c r="AH400" i="4"/>
  <c r="AF103" i="4"/>
  <c r="AF113" i="4" s="1"/>
  <c r="AP12" i="2"/>
  <c r="AD537" i="4"/>
  <c r="AF568" i="4"/>
  <c r="AF91" i="4"/>
  <c r="W83" i="2"/>
  <c r="X82" i="2" s="1"/>
  <c r="W98" i="4"/>
  <c r="W108" i="4" s="1"/>
  <c r="AG7" i="2"/>
  <c r="V334" i="4"/>
  <c r="V135" i="4" s="1"/>
  <c r="V125" i="4"/>
  <c r="X43" i="2"/>
  <c r="X83" i="2" s="1"/>
  <c r="X35" i="2"/>
  <c r="Z22" i="14"/>
  <c r="Z23" i="14" s="1"/>
  <c r="U7" i="7"/>
  <c r="U20" i="7" s="1"/>
  <c r="U42" i="7" s="1"/>
  <c r="S65" i="2"/>
  <c r="S64" i="2" s="1"/>
  <c r="S81" i="2" s="1"/>
  <c r="S77" i="2" s="1"/>
  <c r="S85" i="2" s="1"/>
  <c r="Y284" i="4"/>
  <c r="Y280" i="4"/>
  <c r="Y282" i="4" s="1"/>
  <c r="Y231" i="4"/>
  <c r="Y234" i="4"/>
  <c r="Y235" i="4"/>
  <c r="Y196" i="4"/>
  <c r="Y209" i="4"/>
  <c r="Y178" i="4"/>
  <c r="Y201" i="4"/>
  <c r="Y202" i="4" s="1"/>
  <c r="Y233" i="4"/>
  <c r="Y232" i="4"/>
  <c r="AD563" i="4"/>
  <c r="AD562" i="4" s="1"/>
  <c r="AD552" i="4"/>
  <c r="AB38" i="5"/>
  <c r="AB39" i="5"/>
  <c r="AB40" i="5"/>
  <c r="AE532" i="4"/>
  <c r="AE553" i="4"/>
  <c r="AF527" i="4"/>
  <c r="AF538" i="4"/>
  <c r="AF533" i="4"/>
  <c r="AE10" i="7"/>
  <c r="AC18" i="2"/>
  <c r="AC26" i="2"/>
  <c r="Y399" i="4"/>
  <c r="Y392" i="4" s="1"/>
  <c r="Y380" i="4"/>
  <c r="W107" i="4"/>
  <c r="AK17" i="14"/>
  <c r="AA101" i="4"/>
  <c r="AA111" i="4" s="1"/>
  <c r="AE7" i="14"/>
  <c r="AE6" i="14" s="1"/>
  <c r="V217" i="4"/>
  <c r="BF93" i="4"/>
  <c r="BF103" i="4" s="1"/>
  <c r="BF113" i="4" s="1"/>
  <c r="AB103" i="4"/>
  <c r="AB113" i="4" s="1"/>
  <c r="AA399" i="4"/>
  <c r="X388" i="4"/>
  <c r="AZ388" i="4"/>
  <c r="AZ367" i="4"/>
  <c r="AC11" i="7"/>
  <c r="AC43" i="7" s="1"/>
  <c r="AA34" i="2"/>
  <c r="AA30" i="2"/>
  <c r="AA27" i="2"/>
  <c r="AH32" i="2"/>
  <c r="AH52" i="2" s="1"/>
  <c r="AI29" i="2"/>
  <c r="AH50" i="2"/>
  <c r="AE8" i="14"/>
  <c r="V218" i="4"/>
  <c r="AI524" i="4"/>
  <c r="AH576" i="4"/>
  <c r="AH542" i="4"/>
  <c r="AH525" i="4"/>
  <c r="AE538" i="4"/>
  <c r="AF75" i="2"/>
  <c r="AG75" i="2" s="1"/>
  <c r="AH75" i="2" s="1"/>
  <c r="S89" i="4"/>
  <c r="S288" i="4"/>
  <c r="AO399" i="4"/>
  <c r="V175" i="4"/>
  <c r="AD10" i="7"/>
  <c r="AB26" i="2"/>
  <c r="AB18" i="2"/>
  <c r="X213" i="4"/>
  <c r="X132" i="4" s="1"/>
  <c r="X122" i="4"/>
  <c r="AH491" i="4"/>
  <c r="AH479" i="4"/>
  <c r="Y321" i="4"/>
  <c r="Y319" i="4"/>
  <c r="Y314" i="4"/>
  <c r="AG316" i="4"/>
  <c r="Z313" i="4"/>
  <c r="AA315" i="4" s="1"/>
  <c r="AF11" i="14"/>
  <c r="W221" i="4"/>
  <c r="Q109" i="4"/>
  <c r="Q96" i="4"/>
  <c r="Q106" i="4" s="1"/>
  <c r="V141" i="4" l="1"/>
  <c r="AF45" i="2"/>
  <c r="Z327" i="4"/>
  <c r="Z168" i="4" s="1"/>
  <c r="AH44" i="7"/>
  <c r="AH21" i="7"/>
  <c r="Y409" i="4"/>
  <c r="Y92" i="4"/>
  <c r="Z284" i="4"/>
  <c r="Z280" i="4"/>
  <c r="Z282" i="4" s="1"/>
  <c r="AJ487" i="4"/>
  <c r="AJ482" i="4"/>
  <c r="AJ499" i="4"/>
  <c r="W334" i="4"/>
  <c r="W135" i="4" s="1"/>
  <c r="W125" i="4"/>
  <c r="AE15" i="2"/>
  <c r="AD17" i="2"/>
  <c r="Y320" i="4"/>
  <c r="Y318" i="4"/>
  <c r="Y68" i="7"/>
  <c r="S289" i="4"/>
  <c r="Y69" i="7" s="1"/>
  <c r="AH543" i="4"/>
  <c r="AH548" i="4" s="1"/>
  <c r="AH544" i="4"/>
  <c r="AH549" i="4" s="1"/>
  <c r="AH545" i="4"/>
  <c r="AH550" i="4" s="1"/>
  <c r="X367" i="4"/>
  <c r="AE11" i="7"/>
  <c r="AE43" i="7" s="1"/>
  <c r="AC30" i="2"/>
  <c r="AC34" i="2" s="1"/>
  <c r="AC27" i="2"/>
  <c r="Y97" i="4"/>
  <c r="AI6" i="2"/>
  <c r="AD380" i="4"/>
  <c r="Z285" i="4"/>
  <c r="Z281" i="4"/>
  <c r="X181" i="4"/>
  <c r="AG291" i="4"/>
  <c r="X297" i="4"/>
  <c r="X273" i="4"/>
  <c r="W367" i="4"/>
  <c r="Z413" i="4"/>
  <c r="Z158" i="4" s="1"/>
  <c r="AA417" i="4"/>
  <c r="Z148" i="4"/>
  <c r="AN401" i="4"/>
  <c r="AG390" i="4"/>
  <c r="AG402" i="4" s="1"/>
  <c r="AG367" i="4"/>
  <c r="X380" i="4"/>
  <c r="AD390" i="4"/>
  <c r="AD402" i="4" s="1"/>
  <c r="AD392" i="4" s="1"/>
  <c r="AD367" i="4"/>
  <c r="AC390" i="4"/>
  <c r="AC402" i="4" s="1"/>
  <c r="AC367" i="4"/>
  <c r="AB390" i="4"/>
  <c r="AB367" i="4"/>
  <c r="V80" i="4"/>
  <c r="V286" i="4" s="1"/>
  <c r="Z149" i="5"/>
  <c r="Z147" i="5"/>
  <c r="AG103" i="4"/>
  <c r="AG113" i="4" s="1"/>
  <c r="AQ12" i="2"/>
  <c r="AC13" i="14"/>
  <c r="T253" i="4"/>
  <c r="S252" i="4"/>
  <c r="AF258" i="4"/>
  <c r="X270" i="4"/>
  <c r="X155" i="4" s="1"/>
  <c r="X145" i="4"/>
  <c r="Z243" i="4"/>
  <c r="Z244" i="4"/>
  <c r="Z242" i="4"/>
  <c r="AA240" i="4"/>
  <c r="AZ400" i="4"/>
  <c r="AZ392" i="4" s="1"/>
  <c r="AZ380" i="4"/>
  <c r="AH488" i="4"/>
  <c r="AH484" i="4" s="1"/>
  <c r="AH93" i="4" s="1"/>
  <c r="AH508" i="4"/>
  <c r="AX390" i="4"/>
  <c r="AX367" i="4"/>
  <c r="S85" i="4"/>
  <c r="AC20" i="14" s="1"/>
  <c r="S99" i="4"/>
  <c r="Y82" i="2"/>
  <c r="Z82" i="2" s="1"/>
  <c r="AA82" i="2" s="1"/>
  <c r="AB82" i="2" s="1"/>
  <c r="AA277" i="4"/>
  <c r="AA305" i="4"/>
  <c r="AF276" i="4"/>
  <c r="AB275" i="4"/>
  <c r="AA278" i="4"/>
  <c r="AV390" i="4"/>
  <c r="AV367" i="4"/>
  <c r="AM390" i="4"/>
  <c r="AM402" i="4" s="1"/>
  <c r="AM392" i="4" s="1"/>
  <c r="AM367" i="4"/>
  <c r="AP390" i="4"/>
  <c r="AP367" i="4"/>
  <c r="AL390" i="4"/>
  <c r="AL367" i="4"/>
  <c r="AJ390" i="4"/>
  <c r="AJ367" i="4"/>
  <c r="AT380" i="4"/>
  <c r="W124" i="4"/>
  <c r="W121" i="4" s="1"/>
  <c r="W301" i="4"/>
  <c r="W134" i="4" s="1"/>
  <c r="W131" i="4" s="1"/>
  <c r="AG67" i="2" s="1"/>
  <c r="AI8" i="7" s="1"/>
  <c r="AI13" i="7" s="1"/>
  <c r="AG535" i="4"/>
  <c r="AG555" i="4" s="1"/>
  <c r="V56" i="4"/>
  <c r="W57" i="4"/>
  <c r="AF9" i="14"/>
  <c r="W219" i="4"/>
  <c r="Y265" i="4"/>
  <c r="Y238" i="4"/>
  <c r="Y179" i="4"/>
  <c r="AA248" i="4"/>
  <c r="Y245" i="4"/>
  <c r="Y246" i="4" s="1"/>
  <c r="Y260" i="4"/>
  <c r="AH517" i="4"/>
  <c r="AH160" i="4" s="1"/>
  <c r="AH150" i="4"/>
  <c r="AI576" i="4"/>
  <c r="AI542" i="4"/>
  <c r="AI525" i="4"/>
  <c r="AJ524" i="4"/>
  <c r="AB130" i="5"/>
  <c r="AB115" i="5"/>
  <c r="Y213" i="4"/>
  <c r="Y132" i="4" s="1"/>
  <c r="Y122" i="4"/>
  <c r="T89" i="4"/>
  <c r="T288" i="4"/>
  <c r="AD47" i="5"/>
  <c r="AD44" i="5"/>
  <c r="AD41" i="5"/>
  <c r="AD48" i="5"/>
  <c r="AD42" i="5"/>
  <c r="AD49" i="5"/>
  <c r="AD45" i="5"/>
  <c r="AD46" i="5"/>
  <c r="AD43" i="5"/>
  <c r="Z306" i="4"/>
  <c r="BE85" i="4"/>
  <c r="BE99" i="4"/>
  <c r="X74" i="2"/>
  <c r="W71" i="2"/>
  <c r="W70" i="2" s="1"/>
  <c r="AY390" i="4"/>
  <c r="AY367" i="4"/>
  <c r="AE390" i="4"/>
  <c r="AE367" i="4"/>
  <c r="AU390" i="4"/>
  <c r="AU367" i="4"/>
  <c r="AR390" i="4"/>
  <c r="AR367" i="4"/>
  <c r="AT392" i="4"/>
  <c r="AH509" i="4"/>
  <c r="AH172" i="4" s="1"/>
  <c r="AB22" i="14"/>
  <c r="AB23" i="14" s="1"/>
  <c r="AG72" i="2"/>
  <c r="X261" i="4"/>
  <c r="X262" i="4"/>
  <c r="AG568" i="4"/>
  <c r="AG91" i="4"/>
  <c r="AE24" i="2"/>
  <c r="U20" i="4"/>
  <c r="U22" i="4" s="1"/>
  <c r="U23" i="4" s="1"/>
  <c r="AE47" i="2" s="1"/>
  <c r="Z249" i="4"/>
  <c r="Z250" i="4" s="1"/>
  <c r="Z166" i="4" s="1"/>
  <c r="Y266" i="4"/>
  <c r="Y88" i="4"/>
  <c r="AI32" i="2"/>
  <c r="AI50" i="2"/>
  <c r="AJ29" i="2"/>
  <c r="Z326" i="4"/>
  <c r="AG11" i="14"/>
  <c r="X221" i="4"/>
  <c r="AH512" i="4"/>
  <c r="AH490" i="4"/>
  <c r="AH494" i="4" s="1"/>
  <c r="AH467" i="4"/>
  <c r="AH185" i="4" s="1"/>
  <c r="AI507" i="4"/>
  <c r="AA48" i="2"/>
  <c r="AF553" i="4"/>
  <c r="AF532" i="4"/>
  <c r="AF565" i="4"/>
  <c r="Z67" i="7"/>
  <c r="T167" i="4"/>
  <c r="AA205" i="4"/>
  <c r="AA206" i="4" s="1"/>
  <c r="AA165" i="4" s="1"/>
  <c r="Z214" i="4"/>
  <c r="Z154" i="4" s="1"/>
  <c r="Z210" i="4"/>
  <c r="Z144" i="4"/>
  <c r="Z87" i="4"/>
  <c r="U66" i="2"/>
  <c r="V41" i="2"/>
  <c r="V58" i="2" s="1"/>
  <c r="Y298" i="4"/>
  <c r="AH390" i="4"/>
  <c r="AH402" i="4" s="1"/>
  <c r="AH392" i="4" s="1"/>
  <c r="AH367" i="4"/>
  <c r="AT390" i="4"/>
  <c r="AT402" i="4" s="1"/>
  <c r="AT367" i="4"/>
  <c r="Z390" i="4"/>
  <c r="Z367" i="4"/>
  <c r="AG516" i="4"/>
  <c r="AG138" i="4" s="1"/>
  <c r="AG128" i="4"/>
  <c r="W335" i="4"/>
  <c r="W157" i="4" s="1"/>
  <c r="W147" i="4"/>
  <c r="AG533" i="4"/>
  <c r="AG527" i="4"/>
  <c r="AI491" i="4"/>
  <c r="AI479" i="4"/>
  <c r="AF5" i="2"/>
  <c r="AG380" i="4"/>
  <c r="AH528" i="4"/>
  <c r="AH574" i="4"/>
  <c r="AH529" i="4"/>
  <c r="AH530" i="4"/>
  <c r="AH575" i="4"/>
  <c r="AF8" i="14"/>
  <c r="W218" i="4"/>
  <c r="AA35" i="2"/>
  <c r="AA43" i="2"/>
  <c r="AA83" i="2" s="1"/>
  <c r="AF558" i="4"/>
  <c r="AF557" i="4" s="1"/>
  <c r="AF567" i="4" s="1"/>
  <c r="AF569" i="4" s="1"/>
  <c r="AF169" i="4" s="1"/>
  <c r="AD521" i="4"/>
  <c r="AD577" i="4"/>
  <c r="W143" i="4"/>
  <c r="AA199" i="4"/>
  <c r="AB198" i="4"/>
  <c r="AA200" i="4"/>
  <c r="V7" i="7"/>
  <c r="V20" i="7" s="1"/>
  <c r="V42" i="7" s="1"/>
  <c r="T65" i="2"/>
  <c r="T64" i="2" s="1"/>
  <c r="T81" i="2" s="1"/>
  <c r="T77" i="2" s="1"/>
  <c r="T85" i="2" s="1"/>
  <c r="AL17" i="14"/>
  <c r="AB101" i="4"/>
  <c r="AB111" i="4" s="1"/>
  <c r="D29" i="7"/>
  <c r="K26" i="7" s="1"/>
  <c r="BC27" i="2"/>
  <c r="D30" i="7" s="1"/>
  <c r="K27" i="7" s="1"/>
  <c r="I21" i="1" s="1"/>
  <c r="AC401" i="4"/>
  <c r="AC380" i="4"/>
  <c r="AW390" i="4"/>
  <c r="AW402" i="4" s="1"/>
  <c r="AW392" i="4" s="1"/>
  <c r="AW367" i="4"/>
  <c r="AN390" i="4"/>
  <c r="AN402" i="4" s="1"/>
  <c r="AN392" i="4" s="1"/>
  <c r="AN367" i="4"/>
  <c r="U367" i="4"/>
  <c r="AI390" i="4"/>
  <c r="AI367" i="4"/>
  <c r="AL471" i="4"/>
  <c r="AL472" i="4" s="1"/>
  <c r="AM470" i="4"/>
  <c r="AF10" i="14"/>
  <c r="W220" i="4"/>
  <c r="U292" i="4"/>
  <c r="U293" i="4" s="1"/>
  <c r="U287" i="4"/>
  <c r="AG534" i="4"/>
  <c r="AG554" i="4" s="1"/>
  <c r="AI496" i="4"/>
  <c r="AI502" i="4" s="1"/>
  <c r="AI504" i="4" s="1"/>
  <c r="AA116" i="5"/>
  <c r="AA118" i="5" s="1"/>
  <c r="AA121" i="5" s="1"/>
  <c r="W74" i="4" s="1"/>
  <c r="AA117" i="5"/>
  <c r="AC14" i="14"/>
  <c r="T254" i="4"/>
  <c r="AG392" i="4"/>
  <c r="AC39" i="5"/>
  <c r="AC40" i="5"/>
  <c r="AC38" i="5"/>
  <c r="X107" i="4"/>
  <c r="AG80" i="2"/>
  <c r="AD11" i="7"/>
  <c r="AD43" i="7" s="1"/>
  <c r="AB27" i="2"/>
  <c r="AB30" i="2"/>
  <c r="AB48" i="2" s="1"/>
  <c r="AB34" i="2"/>
  <c r="AE558" i="4"/>
  <c r="AE557" i="4" s="1"/>
  <c r="AE567" i="4" s="1"/>
  <c r="AE569" i="4" s="1"/>
  <c r="AE169" i="4" s="1"/>
  <c r="AE537" i="4"/>
  <c r="W153" i="4"/>
  <c r="AG73" i="2" s="1"/>
  <c r="AI12" i="7" s="1"/>
  <c r="Z232" i="4"/>
  <c r="Z234" i="4"/>
  <c r="Z209" i="4"/>
  <c r="Z233" i="4"/>
  <c r="AB204" i="4"/>
  <c r="Z201" i="4"/>
  <c r="Z202" i="4" s="1"/>
  <c r="Z231" i="4"/>
  <c r="Z196" i="4"/>
  <c r="Z178" i="4"/>
  <c r="Z235" i="4"/>
  <c r="X322" i="4"/>
  <c r="X323" i="4" s="1"/>
  <c r="X330" i="4"/>
  <c r="X182" i="4"/>
  <c r="X311" i="4"/>
  <c r="R109" i="4"/>
  <c r="R96" i="4"/>
  <c r="R106" i="4" s="1"/>
  <c r="AJ486" i="4"/>
  <c r="AJ481" i="4"/>
  <c r="AJ492" i="4" s="1"/>
  <c r="AJ498" i="4"/>
  <c r="W380" i="4"/>
  <c r="BA390" i="4"/>
  <c r="BA367" i="4"/>
  <c r="AF390" i="4"/>
  <c r="AF367" i="4"/>
  <c r="AS390" i="4"/>
  <c r="AS367" i="4"/>
  <c r="AK476" i="4"/>
  <c r="AK475" i="4"/>
  <c r="AK477" i="4"/>
  <c r="AC188" i="4"/>
  <c r="AM10" i="2" s="1"/>
  <c r="AC183" i="4"/>
  <c r="AF539" i="4"/>
  <c r="AF559" i="4" s="1"/>
  <c r="AF564" i="4" s="1"/>
  <c r="AA144" i="5"/>
  <c r="AA135" i="5"/>
  <c r="AA133" i="5"/>
  <c r="AA313" i="4"/>
  <c r="AB315" i="4" s="1"/>
  <c r="Z319" i="4"/>
  <c r="Z321" i="4"/>
  <c r="AH316" i="4"/>
  <c r="Z314" i="4"/>
  <c r="AF7" i="14"/>
  <c r="W217" i="4"/>
  <c r="Y408" i="4"/>
  <c r="Y404" i="4"/>
  <c r="Y405" i="4" s="1"/>
  <c r="Y339" i="4"/>
  <c r="Y184" i="4" s="1"/>
  <c r="AE552" i="4"/>
  <c r="AJ257" i="4"/>
  <c r="X331" i="4"/>
  <c r="X90" i="4"/>
  <c r="AJ480" i="4"/>
  <c r="AJ485" i="4"/>
  <c r="AJ474" i="4"/>
  <c r="AJ497" i="4"/>
  <c r="AJ79" i="2"/>
  <c r="AK390" i="4"/>
  <c r="AK367" i="4"/>
  <c r="AA390" i="4"/>
  <c r="AA367" i="4"/>
  <c r="AQ390" i="4"/>
  <c r="AQ367" i="4"/>
  <c r="BB390" i="4"/>
  <c r="BB367" i="4"/>
  <c r="AH51" i="2"/>
  <c r="AH68" i="2" s="1"/>
  <c r="AI31" i="2"/>
  <c r="AG15" i="14"/>
  <c r="AG8" i="2"/>
  <c r="X98" i="4"/>
  <c r="X108" i="4" s="1"/>
  <c r="AH7" i="2"/>
  <c r="S163" i="4"/>
  <c r="S117" i="4"/>
  <c r="AC46" i="2" s="1"/>
  <c r="AI513" i="4"/>
  <c r="AG16" i="14"/>
  <c r="W100" i="4"/>
  <c r="W110" i="4" s="1"/>
  <c r="AG9" i="2"/>
  <c r="AM380" i="4"/>
  <c r="X146" i="4"/>
  <c r="X302" i="4"/>
  <c r="X156" i="4" s="1"/>
  <c r="Y297" i="4"/>
  <c r="AH291" i="4"/>
  <c r="Y273" i="4"/>
  <c r="Y181" i="4"/>
  <c r="AO390" i="4"/>
  <c r="AO367" i="4"/>
  <c r="V119" i="4"/>
  <c r="AF44" i="2"/>
  <c r="X269" i="4"/>
  <c r="X133" i="4" s="1"/>
  <c r="X123" i="4"/>
  <c r="AC35" i="2" l="1"/>
  <c r="AC43" i="2"/>
  <c r="AI15" i="14"/>
  <c r="AI8" i="2"/>
  <c r="AK402" i="4"/>
  <c r="AK392" i="4" s="1"/>
  <c r="AK380" i="4"/>
  <c r="K47" i="7"/>
  <c r="I20" i="1"/>
  <c r="W141" i="4"/>
  <c r="AG45" i="2"/>
  <c r="AG404" i="4"/>
  <c r="AG405" i="4" s="1"/>
  <c r="AG408" i="4"/>
  <c r="AG339" i="4"/>
  <c r="AG184" i="4" s="1"/>
  <c r="AF563" i="4"/>
  <c r="AF562" i="4" s="1"/>
  <c r="AF552" i="4"/>
  <c r="AK487" i="4"/>
  <c r="AK482" i="4"/>
  <c r="AK493" i="4" s="1"/>
  <c r="AK499" i="4"/>
  <c r="BA402" i="4"/>
  <c r="BA392" i="4" s="1"/>
  <c r="BA380" i="4"/>
  <c r="AH16" i="14"/>
  <c r="X100" i="4"/>
  <c r="X110" i="4" s="1"/>
  <c r="AH9" i="2"/>
  <c r="AG10" i="14"/>
  <c r="X220" i="4"/>
  <c r="AN409" i="4"/>
  <c r="AN92" i="4"/>
  <c r="AH409" i="4"/>
  <c r="AH92" i="4"/>
  <c r="BC30" i="2"/>
  <c r="AW380" i="4"/>
  <c r="AH72" i="2"/>
  <c r="AU402" i="4"/>
  <c r="AU392" i="4" s="1"/>
  <c r="AU380" i="4"/>
  <c r="BE109" i="4"/>
  <c r="BE96" i="4"/>
  <c r="BE106" i="4" s="1"/>
  <c r="AB117" i="5"/>
  <c r="AB116" i="5"/>
  <c r="AB118" i="5" s="1"/>
  <c r="AB121" i="5" s="1"/>
  <c r="X74" i="4" s="1"/>
  <c r="AG9" i="14"/>
  <c r="X219" i="4"/>
  <c r="W119" i="4"/>
  <c r="AG44" i="2"/>
  <c r="AP402" i="4"/>
  <c r="AP392" i="4" s="1"/>
  <c r="AP380" i="4"/>
  <c r="AE48" i="5"/>
  <c r="AE41" i="5"/>
  <c r="AE49" i="5"/>
  <c r="AE43" i="5"/>
  <c r="AE42" i="5"/>
  <c r="AE46" i="5"/>
  <c r="AE47" i="5"/>
  <c r="AE45" i="5"/>
  <c r="AE44" i="5"/>
  <c r="AA306" i="4"/>
  <c r="AX402" i="4"/>
  <c r="AX392" i="4" s="1"/>
  <c r="AX380" i="4"/>
  <c r="Z260" i="4"/>
  <c r="Z238" i="4"/>
  <c r="Z179" i="4"/>
  <c r="Z180" i="4" s="1"/>
  <c r="Z265" i="4"/>
  <c r="AB248" i="4"/>
  <c r="Z245" i="4"/>
  <c r="Z246" i="4" s="1"/>
  <c r="AH380" i="4"/>
  <c r="AJ493" i="4"/>
  <c r="W404" i="4"/>
  <c r="W339" i="4"/>
  <c r="W184" i="4" s="1"/>
  <c r="AB43" i="2"/>
  <c r="AB83" i="2" s="1"/>
  <c r="AC82" i="2" s="1"/>
  <c r="AB35" i="2"/>
  <c r="AD183" i="4"/>
  <c r="AD188" i="4"/>
  <c r="AN10" i="2" s="1"/>
  <c r="BD10" i="2" s="1"/>
  <c r="E13" i="7" s="1"/>
  <c r="L13" i="7" s="1"/>
  <c r="J8" i="1" s="1"/>
  <c r="AH9" i="7"/>
  <c r="BC48" i="2"/>
  <c r="D51" i="7" s="1"/>
  <c r="AF49" i="2"/>
  <c r="BD49" i="2" s="1"/>
  <c r="E52" i="7" s="1"/>
  <c r="AJ50" i="2"/>
  <c r="AJ32" i="2"/>
  <c r="AJ52" i="2" s="1"/>
  <c r="AK29" i="2"/>
  <c r="AB144" i="5"/>
  <c r="AB135" i="5"/>
  <c r="AB133" i="5"/>
  <c r="Y261" i="4"/>
  <c r="Y262" i="4"/>
  <c r="AA280" i="4"/>
  <c r="AA284" i="4"/>
  <c r="AD13" i="14"/>
  <c r="T252" i="4"/>
  <c r="U253" i="4"/>
  <c r="AB402" i="4"/>
  <c r="AB392" i="4" s="1"/>
  <c r="AB380" i="4"/>
  <c r="BC43" i="2"/>
  <c r="AC48" i="2"/>
  <c r="Y311" i="4"/>
  <c r="Y182" i="4"/>
  <c r="Y330" i="4"/>
  <c r="Y322" i="4"/>
  <c r="Y323" i="4" s="1"/>
  <c r="AK79" i="2"/>
  <c r="Z213" i="4"/>
  <c r="Z132" i="4" s="1"/>
  <c r="Z122" i="4"/>
  <c r="AI508" i="4"/>
  <c r="AI509" i="4" s="1"/>
  <c r="AI172" i="4" s="1"/>
  <c r="AI488" i="4"/>
  <c r="AI484" i="4" s="1"/>
  <c r="AI93" i="4" s="1"/>
  <c r="AM471" i="4"/>
  <c r="AM472" i="4" s="1"/>
  <c r="AN470" i="4"/>
  <c r="AH535" i="4"/>
  <c r="AH555" i="4" s="1"/>
  <c r="AJ507" i="4"/>
  <c r="AI467" i="4"/>
  <c r="AI185" i="4" s="1"/>
  <c r="AI512" i="4"/>
  <c r="Y302" i="4"/>
  <c r="Y156" i="4" s="1"/>
  <c r="Y146" i="4"/>
  <c r="AE20" i="2"/>
  <c r="AE402" i="4"/>
  <c r="AE392" i="4" s="1"/>
  <c r="AE380" i="4"/>
  <c r="AD40" i="5"/>
  <c r="AD38" i="5"/>
  <c r="AD39" i="5"/>
  <c r="AJ576" i="4"/>
  <c r="AK524" i="4"/>
  <c r="AJ542" i="4"/>
  <c r="AJ525" i="4"/>
  <c r="W56" i="4"/>
  <c r="X57" i="4"/>
  <c r="AM409" i="4"/>
  <c r="AM92" i="4"/>
  <c r="AA249" i="4"/>
  <c r="Z266" i="4"/>
  <c r="Z88" i="4"/>
  <c r="AC12" i="14"/>
  <c r="AC5" i="14" s="1"/>
  <c r="AC22" i="14" s="1"/>
  <c r="AC23" i="14" s="1"/>
  <c r="AN380" i="4"/>
  <c r="X124" i="4"/>
  <c r="X121" i="4" s="1"/>
  <c r="X301" i="4"/>
  <c r="X134" i="4" s="1"/>
  <c r="X131" i="4" s="1"/>
  <c r="AH67" i="2" s="1"/>
  <c r="AJ8" i="7" s="1"/>
  <c r="Y331" i="4"/>
  <c r="Y90" i="4"/>
  <c r="AM339" i="4"/>
  <c r="AM184" i="4" s="1"/>
  <c r="AM408" i="4"/>
  <c r="AM404" i="4"/>
  <c r="AM405" i="4" s="1"/>
  <c r="AQ402" i="4"/>
  <c r="AQ392" i="4" s="1"/>
  <c r="AQ380" i="4"/>
  <c r="AG539" i="4"/>
  <c r="AG559" i="4" s="1"/>
  <c r="AG564" i="4" s="1"/>
  <c r="AL477" i="4"/>
  <c r="AL476" i="4"/>
  <c r="AL475" i="4"/>
  <c r="AC339" i="4"/>
  <c r="AC184" i="4" s="1"/>
  <c r="AC408" i="4"/>
  <c r="AF537" i="4"/>
  <c r="AH534" i="4"/>
  <c r="AH554" i="4" s="1"/>
  <c r="T163" i="4"/>
  <c r="T117" i="4"/>
  <c r="AD46" i="2" s="1"/>
  <c r="AR12" i="2"/>
  <c r="AH103" i="4"/>
  <c r="AH113" i="4" s="1"/>
  <c r="AI52" i="2"/>
  <c r="AI575" i="4"/>
  <c r="AI574" i="4"/>
  <c r="AI529" i="4"/>
  <c r="AI528" i="4"/>
  <c r="AI530" i="4"/>
  <c r="AA250" i="4"/>
  <c r="AA166" i="4" s="1"/>
  <c r="AF24" i="2"/>
  <c r="AF20" i="2" s="1"/>
  <c r="V20" i="4"/>
  <c r="V22" i="4" s="1"/>
  <c r="V23" i="4" s="1"/>
  <c r="AF47" i="2" s="1"/>
  <c r="S109" i="4"/>
  <c r="S96" i="4"/>
  <c r="S106" i="4" s="1"/>
  <c r="X143" i="4"/>
  <c r="AC392" i="4"/>
  <c r="AC404" i="4" s="1"/>
  <c r="AC405" i="4" s="1"/>
  <c r="AF10" i="7"/>
  <c r="AD26" i="2"/>
  <c r="AD18" i="2"/>
  <c r="Z181" i="4"/>
  <c r="Z297" i="4"/>
  <c r="AI291" i="4"/>
  <c r="Z273" i="4"/>
  <c r="BB402" i="4"/>
  <c r="BB392" i="4" s="1"/>
  <c r="BB380" i="4"/>
  <c r="Y412" i="4"/>
  <c r="Z416" i="4"/>
  <c r="Y126" i="4"/>
  <c r="AI316" i="4"/>
  <c r="AA319" i="4"/>
  <c r="AA314" i="4"/>
  <c r="AA321" i="4"/>
  <c r="AB313" i="4"/>
  <c r="AK497" i="4"/>
  <c r="AK496" i="4" s="1"/>
  <c r="AK502" i="4" s="1"/>
  <c r="AK504" i="4" s="1"/>
  <c r="AK480" i="4"/>
  <c r="AK485" i="4"/>
  <c r="AK474" i="4"/>
  <c r="X334" i="4"/>
  <c r="X135" i="4" s="1"/>
  <c r="X125" i="4"/>
  <c r="AA214" i="4"/>
  <c r="AA154" i="4" s="1"/>
  <c r="AA210" i="4"/>
  <c r="AB205" i="4"/>
  <c r="AB206" i="4" s="1"/>
  <c r="AB165" i="4" s="1"/>
  <c r="AA144" i="4"/>
  <c r="AA87" i="4"/>
  <c r="AH571" i="4"/>
  <c r="Z402" i="4"/>
  <c r="Z380" i="4"/>
  <c r="V66" i="2"/>
  <c r="W41" i="2"/>
  <c r="W58" i="2" s="1"/>
  <c r="AY402" i="4"/>
  <c r="AY392" i="4" s="1"/>
  <c r="AY380" i="4"/>
  <c r="Z68" i="7"/>
  <c r="T289" i="4"/>
  <c r="Z69" i="7" s="1"/>
  <c r="AI544" i="4"/>
  <c r="AI549" i="4" s="1"/>
  <c r="AI545" i="4"/>
  <c r="AI550" i="4" s="1"/>
  <c r="AI543" i="4"/>
  <c r="AI548" i="4" s="1"/>
  <c r="AI547" i="4" s="1"/>
  <c r="Y98" i="4"/>
  <c r="Y108" i="4" s="1"/>
  <c r="AI7" i="2"/>
  <c r="AJ402" i="4"/>
  <c r="AJ392" i="4" s="1"/>
  <c r="AJ380" i="4"/>
  <c r="AV402" i="4"/>
  <c r="AV392" i="4" s="1"/>
  <c r="AV380" i="4"/>
  <c r="AH15" i="14"/>
  <c r="AH8" i="2"/>
  <c r="AF15" i="2"/>
  <c r="AE17" i="2"/>
  <c r="AD14" i="14"/>
  <c r="U254" i="4"/>
  <c r="AI402" i="4"/>
  <c r="AI392" i="4" s="1"/>
  <c r="AI380" i="4"/>
  <c r="AB199" i="4"/>
  <c r="AB200" i="4"/>
  <c r="AC198" i="4"/>
  <c r="AH527" i="4"/>
  <c r="AH533" i="4"/>
  <c r="AG532" i="4"/>
  <c r="AG553" i="4"/>
  <c r="W7" i="7"/>
  <c r="W20" i="7" s="1"/>
  <c r="W42" i="7" s="1"/>
  <c r="U65" i="2"/>
  <c r="U64" i="2" s="1"/>
  <c r="U81" i="2" s="1"/>
  <c r="U77" i="2" s="1"/>
  <c r="U85" i="2" s="1"/>
  <c r="AH516" i="4"/>
  <c r="AH138" i="4" s="1"/>
  <c r="AH128" i="4"/>
  <c r="T85" i="4"/>
  <c r="AD20" i="14" s="1"/>
  <c r="T99" i="4"/>
  <c r="AG540" i="4"/>
  <c r="AG560" i="4" s="1"/>
  <c r="AG565" i="4" s="1"/>
  <c r="AA281" i="4"/>
  <c r="AA285" i="4"/>
  <c r="AD92" i="4"/>
  <c r="AD409" i="4"/>
  <c r="Y180" i="4"/>
  <c r="Y175" i="4" s="1"/>
  <c r="AI18" i="14"/>
  <c r="Y102" i="4"/>
  <c r="Y112" i="4" s="1"/>
  <c r="AI11" i="2"/>
  <c r="AC115" i="5"/>
  <c r="AC130" i="5"/>
  <c r="AJ496" i="4"/>
  <c r="AJ502" i="4" s="1"/>
  <c r="AJ504" i="4" s="1"/>
  <c r="X147" i="4"/>
  <c r="X335" i="4"/>
  <c r="X157" i="4" s="1"/>
  <c r="X153" i="4" s="1"/>
  <c r="AH73" i="2" s="1"/>
  <c r="AJ12" i="7" s="1"/>
  <c r="AG7" i="14"/>
  <c r="X217" i="4"/>
  <c r="AK486" i="4"/>
  <c r="AK481" i="4"/>
  <c r="AK498" i="4"/>
  <c r="Y124" i="4"/>
  <c r="Y301" i="4"/>
  <c r="Y134" i="4" s="1"/>
  <c r="AF6" i="14"/>
  <c r="AJ513" i="4"/>
  <c r="AK257" i="4"/>
  <c r="W80" i="4"/>
  <c r="W286" i="4" s="1"/>
  <c r="AA149" i="5"/>
  <c r="AA147" i="5"/>
  <c r="AS402" i="4"/>
  <c r="AS392" i="4" s="1"/>
  <c r="AS380" i="4"/>
  <c r="Z97" i="4"/>
  <c r="AJ6" i="2"/>
  <c r="AG409" i="4"/>
  <c r="AG92" i="4"/>
  <c r="AI517" i="4"/>
  <c r="AI160" i="4" s="1"/>
  <c r="AI150" i="4"/>
  <c r="AA402" i="4"/>
  <c r="AA392" i="4" s="1"/>
  <c r="AA380" i="4"/>
  <c r="AJ479" i="4"/>
  <c r="AJ491" i="4"/>
  <c r="Z318" i="4"/>
  <c r="Z320" i="4"/>
  <c r="AO402" i="4"/>
  <c r="AO392" i="4" s="1"/>
  <c r="AO380" i="4"/>
  <c r="AJ31" i="2"/>
  <c r="AI51" i="2"/>
  <c r="AI68" i="2" s="1"/>
  <c r="AE563" i="4"/>
  <c r="AE562" i="4" s="1"/>
  <c r="AM17" i="14"/>
  <c r="AC101" i="4"/>
  <c r="AC111" i="4" s="1"/>
  <c r="AF402" i="4"/>
  <c r="AF392" i="4" s="1"/>
  <c r="AF380" i="4"/>
  <c r="AH80" i="2"/>
  <c r="U89" i="4"/>
  <c r="U288" i="4"/>
  <c r="AA235" i="4"/>
  <c r="AA178" i="4"/>
  <c r="AA231" i="4"/>
  <c r="AA196" i="4"/>
  <c r="AA232" i="4"/>
  <c r="AA209" i="4"/>
  <c r="AA233" i="4"/>
  <c r="AA234" i="4"/>
  <c r="AA201" i="4"/>
  <c r="AA202" i="4" s="1"/>
  <c r="AG538" i="4"/>
  <c r="AH11" i="14"/>
  <c r="Y221" i="4"/>
  <c r="Y270" i="4"/>
  <c r="Y155" i="4" s="1"/>
  <c r="Y145" i="4"/>
  <c r="AR402" i="4"/>
  <c r="AR392" i="4" s="1"/>
  <c r="AR380" i="4"/>
  <c r="Y74" i="2"/>
  <c r="X71" i="2"/>
  <c r="X70" i="2" s="1"/>
  <c r="Y269" i="4"/>
  <c r="Y133" i="4" s="1"/>
  <c r="Y123" i="4"/>
  <c r="AL402" i="4"/>
  <c r="AL392" i="4" s="1"/>
  <c r="AL380" i="4"/>
  <c r="AB278" i="4"/>
  <c r="AB305" i="4"/>
  <c r="AC275" i="4"/>
  <c r="AG276" i="4"/>
  <c r="AB277" i="4"/>
  <c r="AA325" i="4"/>
  <c r="AG258" i="4"/>
  <c r="X404" i="4"/>
  <c r="X339" i="4"/>
  <c r="X184" i="4" s="1"/>
  <c r="X175" i="4" s="1"/>
  <c r="Z298" i="4"/>
  <c r="Y107" i="4"/>
  <c r="AH547" i="4"/>
  <c r="Z417" i="4"/>
  <c r="Y413" i="4"/>
  <c r="Y148" i="4"/>
  <c r="AA67" i="7"/>
  <c r="U167" i="4"/>
  <c r="AG8" i="14"/>
  <c r="X218" i="4"/>
  <c r="AI21" i="7"/>
  <c r="AI44" i="7"/>
  <c r="AA242" i="4"/>
  <c r="AA244" i="4"/>
  <c r="AB240" i="4"/>
  <c r="AA243" i="4"/>
  <c r="V292" i="4"/>
  <c r="V293" i="4" s="1"/>
  <c r="V287" i="4"/>
  <c r="AD404" i="4"/>
  <c r="AD405" i="4" s="1"/>
  <c r="AD339" i="4"/>
  <c r="AD184" i="4" s="1"/>
  <c r="AD408" i="4"/>
  <c r="AJ13" i="7" l="1"/>
  <c r="X119" i="4"/>
  <c r="AH44" i="2"/>
  <c r="AN18" i="14"/>
  <c r="AD102" i="4"/>
  <c r="AD112" i="4" s="1"/>
  <c r="AN11" i="2"/>
  <c r="AG558" i="4"/>
  <c r="AG557" i="4" s="1"/>
  <c r="AG567" i="4" s="1"/>
  <c r="AG569" i="4" s="1"/>
  <c r="AG169" i="4" s="1"/>
  <c r="AG537" i="4"/>
  <c r="AA97" i="4"/>
  <c r="AK6" i="2"/>
  <c r="AH7" i="14"/>
  <c r="Y217" i="4"/>
  <c r="AB232" i="4"/>
  <c r="AB201" i="4"/>
  <c r="AB202" i="4" s="1"/>
  <c r="AB235" i="4"/>
  <c r="AB209" i="4"/>
  <c r="AB233" i="4"/>
  <c r="AB234" i="4"/>
  <c r="AB196" i="4"/>
  <c r="AB178" i="4"/>
  <c r="AB231" i="4"/>
  <c r="AJ409" i="4"/>
  <c r="AJ92" i="4"/>
  <c r="Z124" i="4"/>
  <c r="Z301" i="4"/>
  <c r="Z134" i="4" s="1"/>
  <c r="X141" i="4"/>
  <c r="AH45" i="2"/>
  <c r="AI534" i="4"/>
  <c r="AI554" i="4" s="1"/>
  <c r="AI539" i="4"/>
  <c r="AI559" i="4" s="1"/>
  <c r="AL497" i="4"/>
  <c r="AL496" i="4" s="1"/>
  <c r="AL502" i="4" s="1"/>
  <c r="AL504" i="4" s="1"/>
  <c r="AL474" i="4"/>
  <c r="AL485" i="4"/>
  <c r="AL480" i="4"/>
  <c r="AM412" i="4"/>
  <c r="AM136" i="4" s="1"/>
  <c r="AN416" i="4"/>
  <c r="AN418" i="4" s="1"/>
  <c r="AN170" i="4" s="1"/>
  <c r="AM126" i="4"/>
  <c r="AH540" i="4"/>
  <c r="AH560" i="4" s="1"/>
  <c r="AB408" i="4"/>
  <c r="AB339" i="4"/>
  <c r="AB184" i="4" s="1"/>
  <c r="AB404" i="4"/>
  <c r="AB405" i="4" s="1"/>
  <c r="AG18" i="14"/>
  <c r="W102" i="4"/>
  <c r="AG11" i="2"/>
  <c r="W175" i="4"/>
  <c r="AH413" i="4"/>
  <c r="AH158" i="4" s="1"/>
  <c r="AI417" i="4"/>
  <c r="AH148" i="4"/>
  <c r="AD412" i="4"/>
  <c r="AD136" i="4" s="1"/>
  <c r="AE416" i="4"/>
  <c r="AD126" i="4"/>
  <c r="AH258" i="4"/>
  <c r="AB285" i="4"/>
  <c r="AB281" i="4"/>
  <c r="AC204" i="4"/>
  <c r="Z331" i="4"/>
  <c r="Z90" i="4"/>
  <c r="AG6" i="14"/>
  <c r="AG563" i="4"/>
  <c r="AG562" i="4" s="1"/>
  <c r="AG552" i="4"/>
  <c r="AI408" i="4"/>
  <c r="AI404" i="4"/>
  <c r="AI405" i="4" s="1"/>
  <c r="AI339" i="4"/>
  <c r="AI184" i="4" s="1"/>
  <c r="AK513" i="4"/>
  <c r="AJ15" i="14"/>
  <c r="AJ8" i="2"/>
  <c r="AI571" i="4"/>
  <c r="AL486" i="4"/>
  <c r="AL481" i="4"/>
  <c r="AL498" i="4"/>
  <c r="AM102" i="4"/>
  <c r="AM112" i="4" s="1"/>
  <c r="AW11" i="2"/>
  <c r="AN471" i="4"/>
  <c r="AN472" i="4" s="1"/>
  <c r="AO470" i="4"/>
  <c r="AB409" i="4"/>
  <c r="AB92" i="4"/>
  <c r="Z261" i="4"/>
  <c r="Z262" i="4"/>
  <c r="AF521" i="4"/>
  <c r="AF577" i="4"/>
  <c r="AC248" i="4"/>
  <c r="AA260" i="4"/>
  <c r="AA179" i="4"/>
  <c r="AA245" i="4"/>
  <c r="AA246" i="4" s="1"/>
  <c r="AA265" i="4"/>
  <c r="AA238" i="4"/>
  <c r="AH8" i="14"/>
  <c r="Y218" i="4"/>
  <c r="AL404" i="4"/>
  <c r="AL405" i="4" s="1"/>
  <c r="AL339" i="4"/>
  <c r="AL184" i="4" s="1"/>
  <c r="AL408" i="4"/>
  <c r="Z322" i="4"/>
  <c r="Z323" i="4" s="1"/>
  <c r="Z182" i="4"/>
  <c r="Z330" i="4"/>
  <c r="Z311" i="4"/>
  <c r="AH417" i="4"/>
  <c r="AG413" i="4"/>
  <c r="AG158" i="4" s="1"/>
  <c r="AG148" i="4"/>
  <c r="W292" i="4"/>
  <c r="W293" i="4" s="1"/>
  <c r="W287" i="4"/>
  <c r="AI409" i="4"/>
  <c r="AI92" i="4"/>
  <c r="AK479" i="4"/>
  <c r="AK491" i="4"/>
  <c r="Z418" i="4"/>
  <c r="Z170" i="4" s="1"/>
  <c r="AL487" i="4"/>
  <c r="AL482" i="4"/>
  <c r="AL499" i="4"/>
  <c r="AN404" i="4"/>
  <c r="AN405" i="4" s="1"/>
  <c r="AN408" i="4"/>
  <c r="AN339" i="4"/>
  <c r="AN184" i="4" s="1"/>
  <c r="AM413" i="4"/>
  <c r="AM158" i="4" s="1"/>
  <c r="AN417" i="4"/>
  <c r="AM148" i="4"/>
  <c r="AD130" i="5"/>
  <c r="AD115" i="5"/>
  <c r="AM477" i="4"/>
  <c r="AM475" i="4"/>
  <c r="AM476" i="4"/>
  <c r="Y334" i="4"/>
  <c r="Y135" i="4" s="1"/>
  <c r="Y131" i="4" s="1"/>
  <c r="AI67" i="2" s="1"/>
  <c r="AK8" i="7" s="1"/>
  <c r="AK13" i="7" s="1"/>
  <c r="Y125" i="4"/>
  <c r="Y121" i="4" s="1"/>
  <c r="AE13" i="14"/>
  <c r="V253" i="4"/>
  <c r="U252" i="4"/>
  <c r="AF17" i="2"/>
  <c r="AH9" i="14"/>
  <c r="Y219" i="4"/>
  <c r="AN413" i="4"/>
  <c r="AN158" i="4" s="1"/>
  <c r="AO417" i="4"/>
  <c r="AN148" i="4"/>
  <c r="AA326" i="4"/>
  <c r="AA327" i="4" s="1"/>
  <c r="AA168" i="4" s="1"/>
  <c r="AB67" i="7"/>
  <c r="V167" i="4"/>
  <c r="AL409" i="4"/>
  <c r="AL92" i="4"/>
  <c r="AA68" i="7"/>
  <c r="U289" i="4"/>
  <c r="AA69" i="7" s="1"/>
  <c r="AE521" i="4"/>
  <c r="AE577" i="4"/>
  <c r="T109" i="4"/>
  <c r="T96" i="4"/>
  <c r="T106" i="4" s="1"/>
  <c r="AH553" i="4"/>
  <c r="AH532" i="4"/>
  <c r="AE14" i="14"/>
  <c r="V254" i="4"/>
  <c r="X41" i="2"/>
  <c r="X58" i="2" s="1"/>
  <c r="W66" i="2"/>
  <c r="AK508" i="4"/>
  <c r="AK488" i="4"/>
  <c r="AK484" i="4" s="1"/>
  <c r="AK93" i="4" s="1"/>
  <c r="AH539" i="4"/>
  <c r="AH559" i="4" s="1"/>
  <c r="AH564" i="4" s="1"/>
  <c r="Y335" i="4"/>
  <c r="Y157" i="4" s="1"/>
  <c r="Y147" i="4"/>
  <c r="Y143" i="4" s="1"/>
  <c r="Y57" i="4"/>
  <c r="X56" i="4"/>
  <c r="AI516" i="4"/>
  <c r="AI138" i="4" s="1"/>
  <c r="AI128" i="4"/>
  <c r="AI16" i="14"/>
  <c r="Y100" i="4"/>
  <c r="Y110" i="4" s="1"/>
  <c r="AI9" i="2"/>
  <c r="AI5" i="2" s="1"/>
  <c r="AB149" i="5"/>
  <c r="X80" i="4"/>
  <c r="X286" i="4" s="1"/>
  <c r="AB147" i="5"/>
  <c r="AH408" i="4"/>
  <c r="AH339" i="4"/>
  <c r="AH184" i="4" s="1"/>
  <c r="AH404" i="4"/>
  <c r="AH405" i="4" s="1"/>
  <c r="AI72" i="2"/>
  <c r="AH10" i="14"/>
  <c r="Y220" i="4"/>
  <c r="AG102" i="4"/>
  <c r="AG112" i="4" s="1"/>
  <c r="AQ11" i="2"/>
  <c r="AK408" i="4"/>
  <c r="AK404" i="4"/>
  <c r="AK405" i="4" s="1"/>
  <c r="AK339" i="4"/>
  <c r="AK184" i="4" s="1"/>
  <c r="AH18" i="14"/>
  <c r="X102" i="4"/>
  <c r="AH11" i="2"/>
  <c r="AH5" i="2" s="1"/>
  <c r="AB249" i="4"/>
  <c r="AA266" i="4"/>
  <c r="AA88" i="4"/>
  <c r="U163" i="4"/>
  <c r="U117" i="4"/>
  <c r="AE46" i="2" s="1"/>
  <c r="Y153" i="4"/>
  <c r="AI73" i="2" s="1"/>
  <c r="AK12" i="7" s="1"/>
  <c r="AA213" i="4"/>
  <c r="AA132" i="4" s="1"/>
  <c r="AA122" i="4"/>
  <c r="U85" i="4"/>
  <c r="AE20" i="14" s="1"/>
  <c r="U99" i="4"/>
  <c r="AK507" i="4"/>
  <c r="AJ512" i="4"/>
  <c r="AJ467" i="4"/>
  <c r="AJ185" i="4" s="1"/>
  <c r="AL257" i="4"/>
  <c r="X7" i="7"/>
  <c r="X20" i="7" s="1"/>
  <c r="X42" i="7" s="1"/>
  <c r="V65" i="2"/>
  <c r="V64" i="2" s="1"/>
  <c r="V81" i="2" s="1"/>
  <c r="V77" i="2" s="1"/>
  <c r="V85" i="2" s="1"/>
  <c r="AB321" i="4"/>
  <c r="AC313" i="4"/>
  <c r="AB319" i="4"/>
  <c r="AJ316" i="4"/>
  <c r="AB314" i="4"/>
  <c r="AF11" i="7"/>
  <c r="AF43" i="7" s="1"/>
  <c r="AD34" i="2"/>
  <c r="AD27" i="2"/>
  <c r="AD30" i="2"/>
  <c r="AI75" i="2"/>
  <c r="AJ75" i="2" s="1"/>
  <c r="AK75" i="2" s="1"/>
  <c r="AG24" i="2"/>
  <c r="AG20" i="2" s="1"/>
  <c r="W20" i="4"/>
  <c r="W22" i="4" s="1"/>
  <c r="W23" i="4" s="1"/>
  <c r="AG47" i="2" s="1"/>
  <c r="AE404" i="4"/>
  <c r="AE405" i="4" s="1"/>
  <c r="AE408" i="4"/>
  <c r="AE339" i="4"/>
  <c r="AE184" i="4" s="1"/>
  <c r="AI103" i="4"/>
  <c r="AI113" i="4" s="1"/>
  <c r="AS12" i="2"/>
  <c r="AD12" i="14"/>
  <c r="AD5" i="14" s="1"/>
  <c r="AD22" i="14" s="1"/>
  <c r="AD23" i="14" s="1"/>
  <c r="AL29" i="2"/>
  <c r="AK32" i="2"/>
  <c r="AK52" i="2" s="1"/>
  <c r="AK50" i="2"/>
  <c r="AE39" i="5"/>
  <c r="AE40" i="5"/>
  <c r="AE38" i="5"/>
  <c r="AH416" i="4"/>
  <c r="AH418" i="4" s="1"/>
  <c r="AH170" i="4" s="1"/>
  <c r="AG412" i="4"/>
  <c r="AG136" i="4" s="1"/>
  <c r="AG126" i="4"/>
  <c r="AK409" i="4"/>
  <c r="AK92" i="4"/>
  <c r="AC83" i="2"/>
  <c r="AD82" i="2" s="1"/>
  <c r="AF49" i="5"/>
  <c r="AF41" i="5"/>
  <c r="AF46" i="5"/>
  <c r="AF48" i="5"/>
  <c r="AF45" i="5"/>
  <c r="AF44" i="5"/>
  <c r="AF47" i="5"/>
  <c r="AF42" i="5"/>
  <c r="AF43" i="5"/>
  <c r="AB306" i="4"/>
  <c r="AO409" i="4"/>
  <c r="AO92" i="4"/>
  <c r="Z107" i="4"/>
  <c r="AJ488" i="4"/>
  <c r="AJ484" i="4" s="1"/>
  <c r="AJ93" i="4" s="1"/>
  <c r="AJ508" i="4"/>
  <c r="AB243" i="4"/>
  <c r="AC240" i="4"/>
  <c r="AB242" i="4"/>
  <c r="AB244" i="4"/>
  <c r="AB284" i="4"/>
  <c r="AB280" i="4"/>
  <c r="AB282" i="4" s="1"/>
  <c r="AI11" i="14"/>
  <c r="Z221" i="4"/>
  <c r="AK31" i="2"/>
  <c r="AJ51" i="2"/>
  <c r="AJ68" i="2" s="1"/>
  <c r="AA404" i="4"/>
  <c r="AA405" i="4" s="1"/>
  <c r="AA408" i="4"/>
  <c r="AA339" i="4"/>
  <c r="AA184" i="4" s="1"/>
  <c r="AJ517" i="4"/>
  <c r="AJ160" i="4" s="1"/>
  <c r="AJ150" i="4"/>
  <c r="AE417" i="4"/>
  <c r="AD148" i="4"/>
  <c r="AD413" i="4"/>
  <c r="AD158" i="4" s="1"/>
  <c r="AH538" i="4"/>
  <c r="Z408" i="4"/>
  <c r="Z404" i="4"/>
  <c r="Z405" i="4" s="1"/>
  <c r="Z339" i="4"/>
  <c r="Z184" i="4" s="1"/>
  <c r="Z270" i="4"/>
  <c r="Z155" i="4" s="1"/>
  <c r="Z145" i="4"/>
  <c r="AJ530" i="4"/>
  <c r="AJ574" i="4"/>
  <c r="AJ571" i="4" s="1"/>
  <c r="AJ575" i="4"/>
  <c r="AJ529" i="4"/>
  <c r="AJ528" i="4"/>
  <c r="AE409" i="4"/>
  <c r="AE92" i="4"/>
  <c r="AI490" i="4"/>
  <c r="AI494" i="4" s="1"/>
  <c r="AN17" i="14"/>
  <c r="AD101" i="4"/>
  <c r="AD111" i="4" s="1"/>
  <c r="BF183" i="4"/>
  <c r="BF101" i="4" s="1"/>
  <c r="BF111" i="4" s="1"/>
  <c r="AB250" i="4"/>
  <c r="AB166" i="4" s="1"/>
  <c r="Z74" i="2"/>
  <c r="Y71" i="2"/>
  <c r="Y70" i="2" s="1"/>
  <c r="AF409" i="4"/>
  <c r="AF92" i="4"/>
  <c r="AA298" i="4"/>
  <c r="V89" i="4"/>
  <c r="V288" i="4"/>
  <c r="Z302" i="4"/>
  <c r="Z156" i="4" s="1"/>
  <c r="Z146" i="4"/>
  <c r="AI80" i="2"/>
  <c r="AA409" i="4"/>
  <c r="AA92" i="4"/>
  <c r="AK492" i="4"/>
  <c r="AC144" i="5"/>
  <c r="AC135" i="5"/>
  <c r="AC133" i="5"/>
  <c r="AC200" i="4"/>
  <c r="AD198" i="4"/>
  <c r="AC199" i="4"/>
  <c r="AD204" i="4" s="1"/>
  <c r="AG10" i="7"/>
  <c r="AE26" i="2"/>
  <c r="AE18" i="2"/>
  <c r="AA320" i="4"/>
  <c r="AB326" i="4" s="1"/>
  <c r="AA318" i="4"/>
  <c r="AI535" i="4"/>
  <c r="AI555" i="4" s="1"/>
  <c r="AD416" i="4"/>
  <c r="AC412" i="4"/>
  <c r="AC136" i="4" s="1"/>
  <c r="AC126" i="4"/>
  <c r="AJ544" i="4"/>
  <c r="AJ549" i="4" s="1"/>
  <c r="AJ545" i="4"/>
  <c r="AJ550" i="4" s="1"/>
  <c r="AJ543" i="4"/>
  <c r="AJ548" i="4" s="1"/>
  <c r="AJ509" i="4"/>
  <c r="AJ172" i="4" s="1"/>
  <c r="AA282" i="4"/>
  <c r="Z269" i="4"/>
  <c r="Z133" i="4" s="1"/>
  <c r="Z123" i="4"/>
  <c r="AP408" i="4"/>
  <c r="AP404" i="4"/>
  <c r="AP405" i="4" s="1"/>
  <c r="AP339" i="4"/>
  <c r="AP184" i="4" s="1"/>
  <c r="D33" i="7"/>
  <c r="BC34" i="2"/>
  <c r="AB325" i="4"/>
  <c r="AC315" i="4"/>
  <c r="AD315" i="4" s="1"/>
  <c r="AH276" i="4"/>
  <c r="AC277" i="4"/>
  <c r="AD275" i="4"/>
  <c r="AC305" i="4"/>
  <c r="AC278" i="4"/>
  <c r="AF339" i="4"/>
  <c r="AF184" i="4" s="1"/>
  <c r="AF408" i="4"/>
  <c r="AF404" i="4"/>
  <c r="AF405" i="4" s="1"/>
  <c r="AO404" i="4"/>
  <c r="AO405" i="4" s="1"/>
  <c r="AO339" i="4"/>
  <c r="AO184" i="4" s="1"/>
  <c r="AO408" i="4"/>
  <c r="AC117" i="5"/>
  <c r="AC118" i="5"/>
  <c r="AC121" i="5" s="1"/>
  <c r="Y74" i="4" s="1"/>
  <c r="AC116" i="5"/>
  <c r="AB210" i="4"/>
  <c r="AB214" i="4"/>
  <c r="AB154" i="4" s="1"/>
  <c r="AB144" i="4"/>
  <c r="AB87" i="4"/>
  <c r="AC205" i="4"/>
  <c r="AJ404" i="4"/>
  <c r="AJ405" i="4" s="1"/>
  <c r="AJ408" i="4"/>
  <c r="AJ339" i="4"/>
  <c r="AJ184" i="4" s="1"/>
  <c r="AH568" i="4"/>
  <c r="AH91" i="4"/>
  <c r="AC325" i="4"/>
  <c r="AC409" i="4"/>
  <c r="AC92" i="4"/>
  <c r="AI533" i="4"/>
  <c r="AI527" i="4"/>
  <c r="AM18" i="14"/>
  <c r="AC102" i="4"/>
  <c r="AC112" i="4" s="1"/>
  <c r="AM11" i="2"/>
  <c r="AL524" i="4"/>
  <c r="AK576" i="4"/>
  <c r="AK525" i="4"/>
  <c r="AK542" i="4"/>
  <c r="AH565" i="4"/>
  <c r="AL79" i="2"/>
  <c r="D46" i="7"/>
  <c r="BC58" i="2"/>
  <c r="D61" i="7" s="1"/>
  <c r="Z98" i="4"/>
  <c r="Z108" i="4" s="1"/>
  <c r="AJ7" i="2"/>
  <c r="AP409" i="4"/>
  <c r="AP92" i="4"/>
  <c r="Y119" i="4" l="1"/>
  <c r="AI44" i="2"/>
  <c r="AJ9" i="7"/>
  <c r="Y141" i="4"/>
  <c r="AI45" i="2"/>
  <c r="AK21" i="7"/>
  <c r="AK44" i="7"/>
  <c r="AF102" i="4"/>
  <c r="AF112" i="4" s="1"/>
  <c r="AP11" i="2"/>
  <c r="AB327" i="4"/>
  <c r="AB168" i="4" s="1"/>
  <c r="Y80" i="4"/>
  <c r="Y286" i="4" s="1"/>
  <c r="AC149" i="5"/>
  <c r="AC147" i="5"/>
  <c r="AD240" i="4"/>
  <c r="AC244" i="4"/>
  <c r="AC243" i="4"/>
  <c r="AC242" i="4"/>
  <c r="AF38" i="5"/>
  <c r="AF40" i="5"/>
  <c r="AF39" i="5"/>
  <c r="AJ103" i="4"/>
  <c r="AJ113" i="4" s="1"/>
  <c r="AT12" i="2"/>
  <c r="AE12" i="14"/>
  <c r="AE5" i="14" s="1"/>
  <c r="AE22" i="14" s="1"/>
  <c r="AE23" i="14" s="1"/>
  <c r="AC67" i="7"/>
  <c r="W167" i="4"/>
  <c r="AL412" i="4"/>
  <c r="AL136" i="4" s="1"/>
  <c r="AM416" i="4"/>
  <c r="AL126" i="4"/>
  <c r="AA98" i="4"/>
  <c r="AA108" i="4" s="1"/>
  <c r="AK7" i="2"/>
  <c r="AI102" i="4"/>
  <c r="AI112" i="4" s="1"/>
  <c r="AS11" i="2"/>
  <c r="AM79" i="2"/>
  <c r="AC285" i="4"/>
  <c r="AC281" i="4"/>
  <c r="D37" i="7"/>
  <c r="BC83" i="2"/>
  <c r="D86" i="7" s="1"/>
  <c r="BC35" i="2"/>
  <c r="D38" i="7" s="1"/>
  <c r="AG11" i="7"/>
  <c r="AG43" i="7" s="1"/>
  <c r="AE34" i="2"/>
  <c r="AE30" i="2"/>
  <c r="AE48" i="2" s="1"/>
  <c r="AE27" i="2"/>
  <c r="V85" i="4"/>
  <c r="AF20" i="14" s="1"/>
  <c r="V99" i="4"/>
  <c r="AJ533" i="4"/>
  <c r="AJ527" i="4"/>
  <c r="AJ538" i="4"/>
  <c r="AL31" i="2"/>
  <c r="AK51" i="2"/>
  <c r="AK68" i="2" s="1"/>
  <c r="AC249" i="4"/>
  <c r="AC250" i="4" s="1"/>
  <c r="AC166" i="4" s="1"/>
  <c r="AB88" i="4"/>
  <c r="AB266" i="4"/>
  <c r="AE130" i="5"/>
  <c r="AE115" i="5"/>
  <c r="AC319" i="4"/>
  <c r="AK316" i="4"/>
  <c r="AC314" i="4"/>
  <c r="AC321" i="4"/>
  <c r="AD313" i="4"/>
  <c r="AJ490" i="4"/>
  <c r="AJ494" i="4" s="1"/>
  <c r="AK9" i="7"/>
  <c r="AL102" i="4"/>
  <c r="AL112" i="4" s="1"/>
  <c r="AV11" i="2"/>
  <c r="AA261" i="4"/>
  <c r="AA262" i="4"/>
  <c r="AB413" i="4"/>
  <c r="AB158" i="4" s="1"/>
  <c r="AC417" i="4"/>
  <c r="AB148" i="4"/>
  <c r="AI568" i="4"/>
  <c r="AI91" i="4"/>
  <c r="AL491" i="4"/>
  <c r="AL479" i="4"/>
  <c r="AB97" i="4"/>
  <c r="AL6" i="2"/>
  <c r="AI7" i="14"/>
  <c r="Z217" i="4"/>
  <c r="BF92" i="4"/>
  <c r="AJ534" i="4"/>
  <c r="AJ554" i="4" s="1"/>
  <c r="AJ11" i="14"/>
  <c r="AA221" i="4"/>
  <c r="AE102" i="4"/>
  <c r="AE112" i="4" s="1"/>
  <c r="BG184" i="4"/>
  <c r="AO11" i="2"/>
  <c r="AD48" i="2"/>
  <c r="AJ516" i="4"/>
  <c r="AJ138" i="4" s="1"/>
  <c r="AJ128" i="4"/>
  <c r="AU11" i="2"/>
  <c r="AK102" i="4"/>
  <c r="AK112" i="4" s="1"/>
  <c r="AJ72" i="2"/>
  <c r="AH552" i="4"/>
  <c r="AO471" i="4"/>
  <c r="AO472" i="4" s="1"/>
  <c r="AP470" i="4"/>
  <c r="AP471" i="4" s="1"/>
  <c r="AP472" i="4" s="1"/>
  <c r="AI412" i="4"/>
  <c r="AI136" i="4" s="1"/>
  <c r="AJ416" i="4"/>
  <c r="AI126" i="4"/>
  <c r="AB298" i="4"/>
  <c r="AL18" i="14"/>
  <c r="AL11" i="2"/>
  <c r="AB102" i="4"/>
  <c r="AB112" i="4" s="1"/>
  <c r="AL513" i="4"/>
  <c r="AH6" i="14"/>
  <c r="AG42" i="5"/>
  <c r="AG43" i="5"/>
  <c r="AG47" i="5"/>
  <c r="AG46" i="5"/>
  <c r="AG41" i="5"/>
  <c r="AG45" i="5"/>
  <c r="AG49" i="5"/>
  <c r="AG44" i="5"/>
  <c r="AG48" i="5"/>
  <c r="AC306" i="4"/>
  <c r="AP416" i="4"/>
  <c r="AO412" i="4"/>
  <c r="AO136" i="4" s="1"/>
  <c r="AO126" i="4"/>
  <c r="AD278" i="4"/>
  <c r="AD277" i="4"/>
  <c r="AE275" i="4"/>
  <c r="AD305" i="4"/>
  <c r="AI276" i="4"/>
  <c r="AZ11" i="2"/>
  <c r="AP102" i="4"/>
  <c r="AP112" i="4" s="1"/>
  <c r="AC233" i="4"/>
  <c r="AC235" i="4"/>
  <c r="AC232" i="4"/>
  <c r="AC201" i="4"/>
  <c r="AC202" i="4" s="1"/>
  <c r="AC234" i="4"/>
  <c r="AC178" i="4"/>
  <c r="AC209" i="4"/>
  <c r="AC231" i="4"/>
  <c r="AC196" i="4"/>
  <c r="AB417" i="4"/>
  <c r="AA413" i="4"/>
  <c r="AA158" i="4" s="1"/>
  <c r="AA148" i="4"/>
  <c r="AA302" i="4"/>
  <c r="AA156" i="4" s="1"/>
  <c r="AA146" i="4"/>
  <c r="AJ18" i="14"/>
  <c r="Z102" i="4"/>
  <c r="Z112" i="4" s="1"/>
  <c r="AJ11" i="2"/>
  <c r="AF416" i="4"/>
  <c r="AE412" i="4"/>
  <c r="AE136" i="4" s="1"/>
  <c r="AE126" i="4"/>
  <c r="AK509" i="4"/>
  <c r="AK172" i="4" s="1"/>
  <c r="AI9" i="14"/>
  <c r="Z219" i="4"/>
  <c r="AM486" i="4"/>
  <c r="AM498" i="4"/>
  <c r="AM481" i="4"/>
  <c r="AN102" i="4"/>
  <c r="AN112" i="4" s="1"/>
  <c r="AX11" i="2"/>
  <c r="AI8" i="14"/>
  <c r="Z218" i="4"/>
  <c r="AN476" i="4"/>
  <c r="AN475" i="4"/>
  <c r="AN477" i="4"/>
  <c r="AI258" i="4"/>
  <c r="AC416" i="4"/>
  <c r="AC418" i="4" s="1"/>
  <c r="AC170" i="4" s="1"/>
  <c r="AB412" i="4"/>
  <c r="AB136" i="4" s="1"/>
  <c r="AB126" i="4"/>
  <c r="AJ44" i="7"/>
  <c r="AJ21" i="7"/>
  <c r="AJ568" i="4"/>
  <c r="AJ91" i="4"/>
  <c r="AD43" i="2"/>
  <c r="AD35" i="2"/>
  <c r="U109" i="4"/>
  <c r="U96" i="4"/>
  <c r="U106" i="4" s="1"/>
  <c r="AK412" i="4"/>
  <c r="AK136" i="4" s="1"/>
  <c r="AL416" i="4"/>
  <c r="AK126" i="4"/>
  <c r="AH102" i="4"/>
  <c r="AH112" i="4" s="1"/>
  <c r="AR11" i="2"/>
  <c r="AL413" i="4"/>
  <c r="AL158" i="4" s="1"/>
  <c r="AM417" i="4"/>
  <c r="AL148" i="4"/>
  <c r="AM485" i="4"/>
  <c r="AM480" i="4"/>
  <c r="AM474" i="4"/>
  <c r="AM497" i="4"/>
  <c r="AM496" i="4" s="1"/>
  <c r="AM502" i="4" s="1"/>
  <c r="AM504" i="4" s="1"/>
  <c r="AO416" i="4"/>
  <c r="AO418" i="4" s="1"/>
  <c r="AO170" i="4" s="1"/>
  <c r="AN412" i="4"/>
  <c r="AN136" i="4" s="1"/>
  <c r="AN126" i="4"/>
  <c r="AK490" i="4"/>
  <c r="AK494" i="4" s="1"/>
  <c r="AK512" i="4"/>
  <c r="AK467" i="4"/>
  <c r="AK185" i="4" s="1"/>
  <c r="AL507" i="4"/>
  <c r="AL509" i="4" s="1"/>
  <c r="AL172" i="4" s="1"/>
  <c r="AG521" i="4"/>
  <c r="AG577" i="4"/>
  <c r="AL488" i="4"/>
  <c r="AL484" i="4" s="1"/>
  <c r="AL93" i="4" s="1"/>
  <c r="AL508" i="4"/>
  <c r="AA107" i="4"/>
  <c r="AP413" i="4"/>
  <c r="AP158" i="4" s="1"/>
  <c r="AP148" i="4"/>
  <c r="AC144" i="4"/>
  <c r="AD205" i="4"/>
  <c r="AD206" i="4" s="1"/>
  <c r="AD165" i="4" s="1"/>
  <c r="AC210" i="4"/>
  <c r="AC214" i="4"/>
  <c r="AC154" i="4" s="1"/>
  <c r="AC87" i="4"/>
  <c r="AJ80" i="2"/>
  <c r="AF413" i="4"/>
  <c r="AF158" i="4" s="1"/>
  <c r="AG417" i="4"/>
  <c r="AF148" i="4"/>
  <c r="AJ535" i="4"/>
  <c r="AJ555" i="4" s="1"/>
  <c r="AA416" i="4"/>
  <c r="AA418" i="4" s="1"/>
  <c r="AA170" i="4" s="1"/>
  <c r="Z412" i="4"/>
  <c r="Z136" i="4" s="1"/>
  <c r="Z126" i="4"/>
  <c r="AK18" i="14"/>
  <c r="AA102" i="4"/>
  <c r="AA112" i="4" s="1"/>
  <c r="AK11" i="2"/>
  <c r="BD11" i="2" s="1"/>
  <c r="E14" i="7" s="1"/>
  <c r="L14" i="7" s="1"/>
  <c r="J9" i="1" s="1"/>
  <c r="AL417" i="4"/>
  <c r="AK413" i="4"/>
  <c r="AK158" i="4" s="1"/>
  <c r="AK148" i="4"/>
  <c r="AA145" i="4"/>
  <c r="AA270" i="4"/>
  <c r="AA155" i="4" s="1"/>
  <c r="AI416" i="4"/>
  <c r="AI418" i="4" s="1"/>
  <c r="AI170" i="4" s="1"/>
  <c r="AH412" i="4"/>
  <c r="AH136" i="4" s="1"/>
  <c r="AH126" i="4"/>
  <c r="Y7" i="7"/>
  <c r="Y20" i="7" s="1"/>
  <c r="Y42" i="7" s="1"/>
  <c r="W65" i="2"/>
  <c r="W64" i="2" s="1"/>
  <c r="W81" i="2" s="1"/>
  <c r="W77" i="2" s="1"/>
  <c r="W85" i="2" s="1"/>
  <c r="V163" i="4"/>
  <c r="V117" i="4"/>
  <c r="AF46" i="2" s="1"/>
  <c r="AH10" i="7"/>
  <c r="AF26" i="2"/>
  <c r="AF18" i="2"/>
  <c r="AM487" i="4"/>
  <c r="AM482" i="4"/>
  <c r="AM493" i="4" s="1"/>
  <c r="AM499" i="4"/>
  <c r="Z334" i="4"/>
  <c r="Z135" i="4" s="1"/>
  <c r="Z131" i="4" s="1"/>
  <c r="AJ67" i="2" s="1"/>
  <c r="AL8" i="7" s="1"/>
  <c r="Z125" i="4"/>
  <c r="Z121" i="4" s="1"/>
  <c r="AF183" i="4"/>
  <c r="AF101" i="4" s="1"/>
  <c r="AF111" i="4" s="1"/>
  <c r="AF188" i="4"/>
  <c r="AP10" i="2" s="1"/>
  <c r="BF184" i="4"/>
  <c r="BF102" i="4" s="1"/>
  <c r="BF112" i="4" s="1"/>
  <c r="AB122" i="4"/>
  <c r="AB213" i="4"/>
  <c r="AB132" i="4" s="1"/>
  <c r="AA180" i="4"/>
  <c r="AK544" i="4"/>
  <c r="AK549" i="4" s="1"/>
  <c r="AK545" i="4"/>
  <c r="AK550" i="4" s="1"/>
  <c r="AK543" i="4"/>
  <c r="AK548" i="4" s="1"/>
  <c r="AC284" i="4"/>
  <c r="AC280" i="4"/>
  <c r="AC282" i="4" s="1"/>
  <c r="AD199" i="4"/>
  <c r="AE204" i="4" s="1"/>
  <c r="AE198" i="4"/>
  <c r="AD200" i="4"/>
  <c r="AK291" i="4"/>
  <c r="AB297" i="4"/>
  <c r="AB273" i="4"/>
  <c r="AB181" i="4"/>
  <c r="AH558" i="4"/>
  <c r="AH557" i="4" s="1"/>
  <c r="AH567" i="4" s="1"/>
  <c r="AH569" i="4" s="1"/>
  <c r="AH169" i="4" s="1"/>
  <c r="AH537" i="4"/>
  <c r="AA412" i="4"/>
  <c r="AA136" i="4" s="1"/>
  <c r="AB416" i="4"/>
  <c r="AB418" i="4" s="1"/>
  <c r="AB170" i="4" s="1"/>
  <c r="AA126" i="4"/>
  <c r="AM29" i="2"/>
  <c r="AL32" i="2"/>
  <c r="AL52" i="2" s="1"/>
  <c r="AL75" i="2" s="1"/>
  <c r="AL50" i="2"/>
  <c r="AB320" i="4"/>
  <c r="AB318" i="4"/>
  <c r="AM257" i="4"/>
  <c r="AH24" i="2"/>
  <c r="X20" i="4"/>
  <c r="X22" i="4" s="1"/>
  <c r="X23" i="4" s="1"/>
  <c r="AH47" i="2" s="1"/>
  <c r="Y41" i="2"/>
  <c r="Y58" i="2" s="1"/>
  <c r="X66" i="2"/>
  <c r="AD118" i="5"/>
  <c r="AD121" i="5" s="1"/>
  <c r="Z74" i="4" s="1"/>
  <c r="AD116" i="5"/>
  <c r="AD117" i="5"/>
  <c r="AJ417" i="4"/>
  <c r="AI413" i="4"/>
  <c r="AI158" i="4" s="1"/>
  <c r="AI148" i="4"/>
  <c r="AJ16" i="14"/>
  <c r="Z100" i="4"/>
  <c r="Z110" i="4" s="1"/>
  <c r="AJ9" i="2"/>
  <c r="AJ5" i="2" s="1"/>
  <c r="AA269" i="4"/>
  <c r="AA133" i="4" s="1"/>
  <c r="AA123" i="4"/>
  <c r="AK517" i="4"/>
  <c r="AK160" i="4" s="1"/>
  <c r="AK150" i="4"/>
  <c r="AE418" i="4"/>
  <c r="AE170" i="4" s="1"/>
  <c r="AG5" i="2"/>
  <c r="AI564" i="4"/>
  <c r="AJ413" i="4"/>
  <c r="AJ158" i="4" s="1"/>
  <c r="AK417" i="4"/>
  <c r="AJ148" i="4"/>
  <c r="AO102" i="4"/>
  <c r="AO112" i="4" s="1"/>
  <c r="AY11" i="2"/>
  <c r="AK575" i="4"/>
  <c r="AK528" i="4"/>
  <c r="AK529" i="4"/>
  <c r="AK574" i="4"/>
  <c r="AK571" i="4" s="1"/>
  <c r="AK530" i="4"/>
  <c r="AI553" i="4"/>
  <c r="AI532" i="4"/>
  <c r="AP412" i="4"/>
  <c r="AP136" i="4" s="1"/>
  <c r="AP126" i="4"/>
  <c r="AI540" i="4"/>
  <c r="AI560" i="4" s="1"/>
  <c r="AI565" i="4" s="1"/>
  <c r="AI538" i="4"/>
  <c r="AJ102" i="4"/>
  <c r="AJ112" i="4" s="1"/>
  <c r="AT11" i="2"/>
  <c r="AE315" i="4"/>
  <c r="AJ547" i="4"/>
  <c r="AA322" i="4"/>
  <c r="AA323" i="4" s="1"/>
  <c r="AA311" i="4"/>
  <c r="AA182" i="4"/>
  <c r="AA330" i="4"/>
  <c r="AL576" i="4"/>
  <c r="AL542" i="4"/>
  <c r="AL525" i="4"/>
  <c r="AM524" i="4"/>
  <c r="AK416" i="4"/>
  <c r="AJ412" i="4"/>
  <c r="AJ136" i="4" s="1"/>
  <c r="AJ126" i="4"/>
  <c r="AF412" i="4"/>
  <c r="AF136" i="4" s="1"/>
  <c r="AG416" i="4"/>
  <c r="AG418" i="4" s="1"/>
  <c r="AG170" i="4" s="1"/>
  <c r="AF126" i="4"/>
  <c r="AA331" i="4"/>
  <c r="AA90" i="4"/>
  <c r="AA74" i="2"/>
  <c r="Z71" i="2"/>
  <c r="Z70" i="2" s="1"/>
  <c r="BG92" i="4"/>
  <c r="AB245" i="4"/>
  <c r="AB246" i="4" s="1"/>
  <c r="AB260" i="4"/>
  <c r="AB265" i="4"/>
  <c r="AD248" i="4"/>
  <c r="AB238" i="4"/>
  <c r="AB179" i="4"/>
  <c r="AB180" i="4" s="1"/>
  <c r="AP417" i="4"/>
  <c r="AO413" i="4"/>
  <c r="AO158" i="4" s="1"/>
  <c r="AO148" i="4"/>
  <c r="AI10" i="14"/>
  <c r="Z220" i="4"/>
  <c r="X292" i="4"/>
  <c r="X293" i="4" s="1"/>
  <c r="X287" i="4"/>
  <c r="Y56" i="4"/>
  <c r="Z57" i="4"/>
  <c r="AF14" i="14"/>
  <c r="W254" i="4"/>
  <c r="AE183" i="4"/>
  <c r="AE188" i="4"/>
  <c r="AO10" i="2" s="1"/>
  <c r="AF13" i="14"/>
  <c r="W253" i="4"/>
  <c r="V252" i="4"/>
  <c r="AD144" i="5"/>
  <c r="AD135" i="5"/>
  <c r="AD133" i="5"/>
  <c r="AL493" i="4"/>
  <c r="W89" i="4"/>
  <c r="W288" i="4"/>
  <c r="AL492" i="4"/>
  <c r="Z147" i="4"/>
  <c r="Z143" i="4" s="1"/>
  <c r="Z335" i="4"/>
  <c r="Z157" i="4" s="1"/>
  <c r="Z153" i="4" s="1"/>
  <c r="AJ73" i="2" s="1"/>
  <c r="AL12" i="7" s="1"/>
  <c r="Z175" i="4"/>
  <c r="AC413" i="4"/>
  <c r="AC158" i="4" s="1"/>
  <c r="AD417" i="4"/>
  <c r="AD418" i="4" s="1"/>
  <c r="AD170" i="4" s="1"/>
  <c r="AC148" i="4"/>
  <c r="AA181" i="4"/>
  <c r="AJ291" i="4"/>
  <c r="AA273" i="4"/>
  <c r="AA297" i="4"/>
  <c r="AB68" i="7"/>
  <c r="V289" i="4"/>
  <c r="AB69" i="7" s="1"/>
  <c r="AF417" i="4"/>
  <c r="AE413" i="4"/>
  <c r="AE158" i="4" s="1"/>
  <c r="AE148" i="4"/>
  <c r="AC206" i="4"/>
  <c r="AC165" i="4" s="1"/>
  <c r="AL9" i="7" l="1"/>
  <c r="AL13" i="7"/>
  <c r="Z119" i="4"/>
  <c r="AJ44" i="2"/>
  <c r="Z141" i="4"/>
  <c r="AJ45" i="2"/>
  <c r="AI24" i="2"/>
  <c r="AI20" i="2" s="1"/>
  <c r="Y20" i="4"/>
  <c r="Y22" i="4" s="1"/>
  <c r="Y23" i="4" s="1"/>
  <c r="AI47" i="2" s="1"/>
  <c r="AG13" i="14"/>
  <c r="W252" i="4"/>
  <c r="X253" i="4"/>
  <c r="AK527" i="4"/>
  <c r="AK533" i="4"/>
  <c r="AK538" i="4" s="1"/>
  <c r="AG14" i="14"/>
  <c r="X254" i="4"/>
  <c r="AB261" i="4"/>
  <c r="AB262" i="4"/>
  <c r="AL545" i="4"/>
  <c r="AL550" i="4" s="1"/>
  <c r="AL544" i="4"/>
  <c r="AL549" i="4" s="1"/>
  <c r="AL543" i="4"/>
  <c r="AL548" i="4" s="1"/>
  <c r="AL547" i="4" s="1"/>
  <c r="AI552" i="4"/>
  <c r="AB124" i="4"/>
  <c r="AB301" i="4"/>
  <c r="AB134" i="4" s="1"/>
  <c r="AJ540" i="4"/>
  <c r="AJ560" i="4" s="1"/>
  <c r="AN486" i="4"/>
  <c r="AN481" i="4"/>
  <c r="AN498" i="4"/>
  <c r="AJ9" i="14"/>
  <c r="AA219" i="4"/>
  <c r="AJ539" i="4"/>
  <c r="AJ559" i="4" s="1"/>
  <c r="AC320" i="4"/>
  <c r="AC318" i="4"/>
  <c r="AC298" i="4"/>
  <c r="AM418" i="4"/>
  <c r="AM170" i="4" s="1"/>
  <c r="AA124" i="4"/>
  <c r="AA121" i="4" s="1"/>
  <c r="AA301" i="4"/>
  <c r="AA134" i="4" s="1"/>
  <c r="AA131" i="4" s="1"/>
  <c r="AK67" i="2" s="1"/>
  <c r="AM8" i="7" s="1"/>
  <c r="AM13" i="7" s="1"/>
  <c r="AK535" i="4"/>
  <c r="AK555" i="4" s="1"/>
  <c r="AJ8" i="14"/>
  <c r="AA218" i="4"/>
  <c r="AC213" i="4"/>
  <c r="AC132" i="4" s="1"/>
  <c r="AC122" i="4"/>
  <c r="AL517" i="4"/>
  <c r="AL160" i="4" s="1"/>
  <c r="AL150" i="4"/>
  <c r="AJ418" i="4"/>
  <c r="AJ170" i="4" s="1"/>
  <c r="AK72" i="2"/>
  <c r="AL51" i="2"/>
  <c r="AL68" i="2" s="1"/>
  <c r="AM31" i="2"/>
  <c r="AA57" i="4"/>
  <c r="Z56" i="4"/>
  <c r="AA334" i="4"/>
  <c r="AA135" i="4" s="1"/>
  <c r="AA125" i="4"/>
  <c r="AI537" i="4"/>
  <c r="AI558" i="4"/>
  <c r="AI557" i="4" s="1"/>
  <c r="AI567" i="4" s="1"/>
  <c r="AI569" i="4" s="1"/>
  <c r="AI169" i="4" s="1"/>
  <c r="AK568" i="4"/>
  <c r="AK91" i="4"/>
  <c r="AN257" i="4"/>
  <c r="AK547" i="4"/>
  <c r="AH11" i="7"/>
  <c r="AH43" i="7" s="1"/>
  <c r="AF30" i="2"/>
  <c r="AF48" i="2" s="1"/>
  <c r="AF34" i="2"/>
  <c r="AF27" i="2"/>
  <c r="AD83" i="2"/>
  <c r="AE82" i="2" s="1"/>
  <c r="AC180" i="4"/>
  <c r="AC97" i="4"/>
  <c r="AM6" i="2"/>
  <c r="AP418" i="4"/>
  <c r="AP170" i="4" s="1"/>
  <c r="BE11" i="2"/>
  <c r="F14" i="7" s="1"/>
  <c r="M14" i="7" s="1"/>
  <c r="K9" i="1" s="1"/>
  <c r="AJ7" i="14"/>
  <c r="AA217" i="4"/>
  <c r="AE325" i="4"/>
  <c r="AJ558" i="4"/>
  <c r="AJ557" i="4" s="1"/>
  <c r="AJ567" i="4" s="1"/>
  <c r="AJ569" i="4" s="1"/>
  <c r="AJ169" i="4" s="1"/>
  <c r="AJ537" i="4"/>
  <c r="AE43" i="2"/>
  <c r="AE83" i="2" s="1"/>
  <c r="AE35" i="2"/>
  <c r="AN79" i="2"/>
  <c r="W163" i="4"/>
  <c r="W117" i="4"/>
  <c r="AG46" i="2" s="1"/>
  <c r="Y292" i="4"/>
  <c r="Y293" i="4" s="1"/>
  <c r="Y287" i="4"/>
  <c r="AA153" i="4"/>
  <c r="AK73" i="2" s="1"/>
  <c r="AM12" i="7" s="1"/>
  <c r="AG183" i="4"/>
  <c r="AG101" i="4" s="1"/>
  <c r="AG111" i="4" s="1"/>
  <c r="AG188" i="4"/>
  <c r="AQ10" i="2" s="1"/>
  <c r="AM508" i="4"/>
  <c r="AM488" i="4"/>
  <c r="BG102" i="4"/>
  <c r="BG112" i="4" s="1"/>
  <c r="AI6" i="14"/>
  <c r="AE116" i="5"/>
  <c r="AE117" i="5"/>
  <c r="AE118" i="5" s="1"/>
  <c r="AE121" i="5" s="1"/>
  <c r="AA74" i="4" s="1"/>
  <c r="AF130" i="5"/>
  <c r="AF115" i="5"/>
  <c r="AJ258" i="4"/>
  <c r="AH43" i="5"/>
  <c r="AH48" i="5"/>
  <c r="AH49" i="5"/>
  <c r="AH44" i="5"/>
  <c r="AH45" i="5"/>
  <c r="AH42" i="5"/>
  <c r="AH41" i="5"/>
  <c r="AH46" i="5"/>
  <c r="AH47" i="5"/>
  <c r="AD306" i="4"/>
  <c r="AP475" i="4"/>
  <c r="AP477" i="4"/>
  <c r="AP476" i="4"/>
  <c r="AE144" i="5"/>
  <c r="AE135" i="5"/>
  <c r="AE133" i="5"/>
  <c r="AJ532" i="4"/>
  <c r="AJ553" i="4"/>
  <c r="AE248" i="4"/>
  <c r="AC179" i="4"/>
  <c r="AC260" i="4"/>
  <c r="AC245" i="4"/>
  <c r="AC246" i="4" s="1"/>
  <c r="AC238" i="4"/>
  <c r="AC265" i="4"/>
  <c r="AB311" i="4"/>
  <c r="AB322" i="4"/>
  <c r="AB323" i="4" s="1"/>
  <c r="AB330" i="4"/>
  <c r="AB182" i="4"/>
  <c r="AB175" i="4" s="1"/>
  <c r="X89" i="4"/>
  <c r="X288" i="4"/>
  <c r="AI9" i="7"/>
  <c r="AG17" i="2"/>
  <c r="AG15" i="2"/>
  <c r="AH15" i="2" s="1"/>
  <c r="Z7" i="7"/>
  <c r="Z20" i="7" s="1"/>
  <c r="Z42" i="7" s="1"/>
  <c r="X65" i="2"/>
  <c r="X64" i="2" s="1"/>
  <c r="X81" i="2" s="1"/>
  <c r="X77" i="2" s="1"/>
  <c r="X85" i="2" s="1"/>
  <c r="AB331" i="4"/>
  <c r="AB90" i="4"/>
  <c r="AF198" i="4"/>
  <c r="AE200" i="4"/>
  <c r="AE199" i="4"/>
  <c r="AA143" i="4"/>
  <c r="AK15" i="14"/>
  <c r="AK8" i="2"/>
  <c r="AC68" i="7"/>
  <c r="W289" i="4"/>
  <c r="AC69" i="7" s="1"/>
  <c r="AF12" i="14"/>
  <c r="AF5" i="14" s="1"/>
  <c r="AF22" i="14" s="1"/>
  <c r="AF23" i="14" s="1"/>
  <c r="AD67" i="7"/>
  <c r="X167" i="4"/>
  <c r="AB74" i="2"/>
  <c r="AA71" i="2"/>
  <c r="AA70" i="2" s="1"/>
  <c r="AK418" i="4"/>
  <c r="AK170" i="4" s="1"/>
  <c r="Z41" i="2"/>
  <c r="Z58" i="2" s="1"/>
  <c r="Y66" i="2"/>
  <c r="AD232" i="4"/>
  <c r="AF204" i="4"/>
  <c r="AD201" i="4"/>
  <c r="AD202" i="4" s="1"/>
  <c r="AD178" i="4"/>
  <c r="AD234" i="4"/>
  <c r="AD235" i="4"/>
  <c r="AD231" i="4"/>
  <c r="AD196" i="4"/>
  <c r="AD209" i="4"/>
  <c r="AD233" i="4"/>
  <c r="AA175" i="4"/>
  <c r="AK80" i="2"/>
  <c r="AK103" i="4"/>
  <c r="AK113" i="4" s="1"/>
  <c r="AU12" i="2"/>
  <c r="AM479" i="4"/>
  <c r="AM491" i="4"/>
  <c r="AL418" i="4"/>
  <c r="AL170" i="4" s="1"/>
  <c r="AM492" i="4"/>
  <c r="AF418" i="4"/>
  <c r="AF170" i="4" s="1"/>
  <c r="AJ276" i="4"/>
  <c r="AE278" i="4"/>
  <c r="AE277" i="4"/>
  <c r="AE305" i="4"/>
  <c r="AF275" i="4"/>
  <c r="AG40" i="5"/>
  <c r="AG38" i="5"/>
  <c r="AG39" i="5"/>
  <c r="AO477" i="4"/>
  <c r="AO476" i="4"/>
  <c r="AO475" i="4"/>
  <c r="AK11" i="14"/>
  <c r="AB221" i="4"/>
  <c r="AB270" i="4"/>
  <c r="AB155" i="4" s="1"/>
  <c r="AB145" i="4"/>
  <c r="AC266" i="4"/>
  <c r="AD249" i="4"/>
  <c r="AC88" i="4"/>
  <c r="AD214" i="4"/>
  <c r="AD154" i="4" s="1"/>
  <c r="AD210" i="4"/>
  <c r="AE205" i="4"/>
  <c r="AE206" i="4" s="1"/>
  <c r="AE165" i="4" s="1"/>
  <c r="AD87" i="4"/>
  <c r="AD144" i="4"/>
  <c r="W85" i="4"/>
  <c r="AG20" i="14" s="1"/>
  <c r="W99" i="4"/>
  <c r="AJ10" i="14"/>
  <c r="AA220" i="4"/>
  <c r="AD250" i="4"/>
  <c r="AD166" i="4" s="1"/>
  <c r="AM576" i="4"/>
  <c r="AM525" i="4"/>
  <c r="AM542" i="4"/>
  <c r="AN524" i="4"/>
  <c r="AL15" i="14"/>
  <c r="AL8" i="2"/>
  <c r="AK516" i="4"/>
  <c r="AK138" i="4" s="1"/>
  <c r="AK128" i="4"/>
  <c r="AM513" i="4"/>
  <c r="AM484" i="4"/>
  <c r="AM93" i="4" s="1"/>
  <c r="AN487" i="4"/>
  <c r="AN482" i="4"/>
  <c r="AN499" i="4"/>
  <c r="AD284" i="4"/>
  <c r="AD280" i="4"/>
  <c r="AB107" i="4"/>
  <c r="AD321" i="4"/>
  <c r="AD314" i="4"/>
  <c r="AE313" i="4"/>
  <c r="AL316" i="4"/>
  <c r="AD319" i="4"/>
  <c r="V109" i="4"/>
  <c r="V96" i="4"/>
  <c r="V106" i="4" s="1"/>
  <c r="Z80" i="4"/>
  <c r="Z286" i="4" s="1"/>
  <c r="AD149" i="5"/>
  <c r="AD147" i="5"/>
  <c r="AK16" i="14"/>
  <c r="AA100" i="4"/>
  <c r="AA110" i="4" s="1"/>
  <c r="AK9" i="2"/>
  <c r="AK534" i="4"/>
  <c r="AK554" i="4" s="1"/>
  <c r="AK539" i="4"/>
  <c r="AK559" i="4" s="1"/>
  <c r="AB98" i="4"/>
  <c r="AB108" i="4" s="1"/>
  <c r="AL7" i="2"/>
  <c r="AE101" i="4"/>
  <c r="AE111" i="4" s="1"/>
  <c r="AB269" i="4"/>
  <c r="AB133" i="4" s="1"/>
  <c r="AB123" i="4"/>
  <c r="AA335" i="4"/>
  <c r="AA157" i="4" s="1"/>
  <c r="AA147" i="4"/>
  <c r="AL574" i="4"/>
  <c r="AL530" i="4"/>
  <c r="AL529" i="4"/>
  <c r="AL575" i="4"/>
  <c r="AL528" i="4"/>
  <c r="AF315" i="4"/>
  <c r="AH20" i="2"/>
  <c r="AN29" i="2"/>
  <c r="AM50" i="2"/>
  <c r="AM32" i="2"/>
  <c r="AM52" i="2" s="1"/>
  <c r="AM75" i="2" s="1"/>
  <c r="AC297" i="4"/>
  <c r="AL291" i="4"/>
  <c r="AC273" i="4"/>
  <c r="AC181" i="4"/>
  <c r="AJ565" i="4"/>
  <c r="AN497" i="4"/>
  <c r="AN496" i="4" s="1"/>
  <c r="AN502" i="4" s="1"/>
  <c r="AN504" i="4" s="1"/>
  <c r="AN485" i="4"/>
  <c r="AN480" i="4"/>
  <c r="AN474" i="4"/>
  <c r="AD285" i="4"/>
  <c r="AD281" i="4"/>
  <c r="AB302" i="4"/>
  <c r="AB156" i="4" s="1"/>
  <c r="AB146" i="4"/>
  <c r="AH563" i="4"/>
  <c r="AH562" i="4" s="1"/>
  <c r="AC326" i="4"/>
  <c r="AC327" i="4" s="1"/>
  <c r="AC168" i="4" s="1"/>
  <c r="AJ564" i="4"/>
  <c r="AL467" i="4"/>
  <c r="AL185" i="4" s="1"/>
  <c r="AM507" i="4"/>
  <c r="AM509" i="4" s="1"/>
  <c r="AM172" i="4" s="1"/>
  <c r="AL512" i="4"/>
  <c r="AL490" i="4"/>
  <c r="AL494" i="4" s="1"/>
  <c r="AD326" i="4"/>
  <c r="AD325" i="4"/>
  <c r="AD327" i="4" s="1"/>
  <c r="AD168" i="4" s="1"/>
  <c r="AD242" i="4"/>
  <c r="AE240" i="4"/>
  <c r="AD243" i="4"/>
  <c r="AD244" i="4"/>
  <c r="AK558" i="4" l="1"/>
  <c r="AM21" i="7"/>
  <c r="AM44" i="7"/>
  <c r="AA119" i="4"/>
  <c r="AK44" i="2"/>
  <c r="AB131" i="4"/>
  <c r="AL67" i="2" s="1"/>
  <c r="AN8" i="7" s="1"/>
  <c r="AN491" i="4"/>
  <c r="AN479" i="4"/>
  <c r="AH521" i="4"/>
  <c r="AH577" i="4"/>
  <c r="AN508" i="4"/>
  <c r="AN488" i="4"/>
  <c r="AC124" i="4"/>
  <c r="AC301" i="4"/>
  <c r="AC134" i="4" s="1"/>
  <c r="AE321" i="4"/>
  <c r="AE319" i="4"/>
  <c r="AM316" i="4"/>
  <c r="AE314" i="4"/>
  <c r="AF313" i="4"/>
  <c r="AN493" i="4"/>
  <c r="AK10" i="14"/>
  <c r="AB220" i="4"/>
  <c r="AE231" i="4"/>
  <c r="AE233" i="4"/>
  <c r="AE178" i="4"/>
  <c r="AE232" i="4"/>
  <c r="AE234" i="4"/>
  <c r="AE196" i="4"/>
  <c r="AE235" i="4"/>
  <c r="AE209" i="4"/>
  <c r="AE201" i="4"/>
  <c r="AE202" i="4" s="1"/>
  <c r="AI10" i="7"/>
  <c r="AG26" i="2"/>
  <c r="AG18" i="2"/>
  <c r="AH40" i="5"/>
  <c r="AH39" i="5"/>
  <c r="AH38" i="5"/>
  <c r="Y89" i="4"/>
  <c r="Y288" i="4"/>
  <c r="AC107" i="4"/>
  <c r="AK8" i="14"/>
  <c r="AB218" i="4"/>
  <c r="AC330" i="4"/>
  <c r="AC311" i="4"/>
  <c r="AC182" i="4"/>
  <c r="AC322" i="4"/>
  <c r="AC323" i="4" s="1"/>
  <c r="AN492" i="4"/>
  <c r="AD97" i="4"/>
  <c r="AN6" i="2"/>
  <c r="BF178" i="4"/>
  <c r="AL11" i="14"/>
  <c r="AC221" i="4"/>
  <c r="AF305" i="4"/>
  <c r="AG275" i="4"/>
  <c r="AK276" i="4"/>
  <c r="AF277" i="4"/>
  <c r="AF278" i="4"/>
  <c r="AD213" i="4"/>
  <c r="AD132" i="4" s="1"/>
  <c r="AD122" i="4"/>
  <c r="AF205" i="4"/>
  <c r="AF206" i="4" s="1"/>
  <c r="AF165" i="4" s="1"/>
  <c r="AE214" i="4"/>
  <c r="AE154" i="4" s="1"/>
  <c r="AE210" i="4"/>
  <c r="AE87" i="4"/>
  <c r="AE144" i="4"/>
  <c r="AC269" i="4"/>
  <c r="AC133" i="4" s="1"/>
  <c r="AC123" i="4"/>
  <c r="AE67" i="7"/>
  <c r="Y167" i="4"/>
  <c r="AL72" i="2"/>
  <c r="AC331" i="4"/>
  <c r="AC90" i="4"/>
  <c r="AK553" i="4"/>
  <c r="AK532" i="4"/>
  <c r="AL44" i="7"/>
  <c r="AL21" i="7"/>
  <c r="AI44" i="5"/>
  <c r="AI45" i="5"/>
  <c r="AI48" i="5"/>
  <c r="AI49" i="5"/>
  <c r="AI43" i="5"/>
  <c r="AI46" i="5"/>
  <c r="AI41" i="5"/>
  <c r="AI42" i="5"/>
  <c r="AI47" i="5"/>
  <c r="AE306" i="4"/>
  <c r="AM490" i="4"/>
  <c r="AM494" i="4" s="1"/>
  <c r="AN507" i="4"/>
  <c r="AN509" i="4" s="1"/>
  <c r="AN172" i="4" s="1"/>
  <c r="AM467" i="4"/>
  <c r="AM185" i="4" s="1"/>
  <c r="AM512" i="4"/>
  <c r="AA7" i="7"/>
  <c r="AA20" i="7" s="1"/>
  <c r="AA42" i="7" s="1"/>
  <c r="Y65" i="2"/>
  <c r="Y64" i="2" s="1"/>
  <c r="Y81" i="2" s="1"/>
  <c r="Y77" i="2" s="1"/>
  <c r="Y85" i="2" s="1"/>
  <c r="AF200" i="4"/>
  <c r="AF199" i="4"/>
  <c r="AG198" i="4"/>
  <c r="AD68" i="7"/>
  <c r="X289" i="4"/>
  <c r="AD69" i="7" s="1"/>
  <c r="AK258" i="4"/>
  <c r="AO257" i="4"/>
  <c r="AL516" i="4"/>
  <c r="AL138" i="4" s="1"/>
  <c r="AL128" i="4"/>
  <c r="AN525" i="4"/>
  <c r="AN576" i="4"/>
  <c r="AO524" i="4"/>
  <c r="AN542" i="4"/>
  <c r="AE284" i="4"/>
  <c r="AE280" i="4"/>
  <c r="AE282" i="4" s="1"/>
  <c r="AA41" i="2"/>
  <c r="AA58" i="2" s="1"/>
  <c r="Z66" i="2"/>
  <c r="X85" i="4"/>
  <c r="AH20" i="14" s="1"/>
  <c r="X99" i="4"/>
  <c r="AA80" i="4"/>
  <c r="AA286" i="4" s="1"/>
  <c r="AE149" i="5"/>
  <c r="AE147" i="5"/>
  <c r="AK7" i="14"/>
  <c r="AB217" i="4"/>
  <c r="AF82" i="2"/>
  <c r="AG82" i="2" s="1"/>
  <c r="AJ24" i="2"/>
  <c r="Z20" i="4"/>
  <c r="Z22" i="4" s="1"/>
  <c r="Z23" i="4" s="1"/>
  <c r="AJ47" i="2" s="1"/>
  <c r="AH13" i="14"/>
  <c r="X252" i="4"/>
  <c r="Y253" i="4"/>
  <c r="AF240" i="4"/>
  <c r="AE244" i="4"/>
  <c r="AE243" i="4"/>
  <c r="AE242" i="4"/>
  <c r="AL535" i="4"/>
  <c r="AL555" i="4" s="1"/>
  <c r="AE326" i="4"/>
  <c r="AE327" i="4" s="1"/>
  <c r="AE168" i="4" s="1"/>
  <c r="AM15" i="14"/>
  <c r="AM8" i="2"/>
  <c r="AE285" i="4"/>
  <c r="AE281" i="4"/>
  <c r="AC261" i="4"/>
  <c r="AC262" i="4"/>
  <c r="AF117" i="5"/>
  <c r="AF116" i="5"/>
  <c r="AF118" i="5" s="1"/>
  <c r="AF121" i="5" s="1"/>
  <c r="AB74" i="4" s="1"/>
  <c r="BD79" i="2"/>
  <c r="E82" i="7" s="1"/>
  <c r="AO79" i="2"/>
  <c r="AJ6" i="14"/>
  <c r="AB57" i="4"/>
  <c r="AA56" i="4"/>
  <c r="AK540" i="4"/>
  <c r="AK560" i="4" s="1"/>
  <c r="AK565" i="4" s="1"/>
  <c r="AL534" i="4"/>
  <c r="AL554" i="4" s="1"/>
  <c r="AD320" i="4"/>
  <c r="AD318" i="4"/>
  <c r="AO29" i="2"/>
  <c r="AN50" i="2"/>
  <c r="BD50" i="2" s="1"/>
  <c r="E53" i="7" s="1"/>
  <c r="AN32" i="2"/>
  <c r="BD29" i="2"/>
  <c r="E32" i="7" s="1"/>
  <c r="AL571" i="4"/>
  <c r="Z292" i="4"/>
  <c r="Z293" i="4" s="1"/>
  <c r="Z287" i="4"/>
  <c r="AM517" i="4"/>
  <c r="AM160" i="4" s="1"/>
  <c r="AM150" i="4"/>
  <c r="W109" i="4"/>
  <c r="W96" i="4"/>
  <c r="W106" i="4" s="1"/>
  <c r="AO474" i="4"/>
  <c r="AO497" i="4"/>
  <c r="AO480" i="4"/>
  <c r="AO485" i="4"/>
  <c r="AD298" i="4"/>
  <c r="AM545" i="4"/>
  <c r="AM550" i="4" s="1"/>
  <c r="AM543" i="4"/>
  <c r="AM548" i="4" s="1"/>
  <c r="AM544" i="4"/>
  <c r="AM549" i="4" s="1"/>
  <c r="AO481" i="4"/>
  <c r="AO486" i="4"/>
  <c r="AO498" i="4"/>
  <c r="AK5" i="2"/>
  <c r="AB335" i="4"/>
  <c r="AB157" i="4" s="1"/>
  <c r="AB153" i="4" s="1"/>
  <c r="AL73" i="2" s="1"/>
  <c r="AN12" i="7" s="1"/>
  <c r="AB147" i="4"/>
  <c r="AB143" i="4" s="1"/>
  <c r="AL16" i="14"/>
  <c r="AL9" i="2"/>
  <c r="AL5" i="2" s="1"/>
  <c r="AB100" i="4"/>
  <c r="AB110" i="4" s="1"/>
  <c r="AD266" i="4"/>
  <c r="AE249" i="4"/>
  <c r="AD88" i="4"/>
  <c r="BF88" i="4" s="1"/>
  <c r="AV12" i="2"/>
  <c r="AL103" i="4"/>
  <c r="AL113" i="4" s="1"/>
  <c r="AK564" i="4"/>
  <c r="AD282" i="4"/>
  <c r="AM529" i="4"/>
  <c r="AM530" i="4"/>
  <c r="AM575" i="4"/>
  <c r="AM574" i="4"/>
  <c r="AM571" i="4" s="1"/>
  <c r="AM528" i="4"/>
  <c r="AO482" i="4"/>
  <c r="AO493" i="4" s="1"/>
  <c r="AO487" i="4"/>
  <c r="AO499" i="4"/>
  <c r="AB334" i="4"/>
  <c r="AB135" i="4" s="1"/>
  <c r="AB125" i="4"/>
  <c r="AB121" i="4" s="1"/>
  <c r="AC98" i="4"/>
  <c r="AC108" i="4" s="1"/>
  <c r="AM7" i="2"/>
  <c r="AP486" i="4"/>
  <c r="AP481" i="4"/>
  <c r="AP498" i="4"/>
  <c r="AF144" i="5"/>
  <c r="AF135" i="5"/>
  <c r="AF133" i="5"/>
  <c r="AN31" i="2"/>
  <c r="AM51" i="2"/>
  <c r="AM68" i="2" s="1"/>
  <c r="AK9" i="14"/>
  <c r="AB219" i="4"/>
  <c r="AG12" i="14"/>
  <c r="AG5" i="14" s="1"/>
  <c r="AG22" i="14" s="1"/>
  <c r="AG23" i="14" s="1"/>
  <c r="BC74" i="2"/>
  <c r="D77" i="7" s="1"/>
  <c r="AC74" i="2"/>
  <c r="AB71" i="2"/>
  <c r="AE250" i="4"/>
  <c r="AE166" i="4" s="1"/>
  <c r="AP482" i="4"/>
  <c r="AP487" i="4"/>
  <c r="AP499" i="4"/>
  <c r="AF43" i="2"/>
  <c r="AF83" i="2" s="1"/>
  <c r="AF35" i="2"/>
  <c r="AC302" i="4"/>
  <c r="AC156" i="4" s="1"/>
  <c r="AC146" i="4"/>
  <c r="AH14" i="14"/>
  <c r="Y254" i="4"/>
  <c r="BF87" i="4"/>
  <c r="AC270" i="4"/>
  <c r="AC155" i="4" s="1"/>
  <c r="AC145" i="4"/>
  <c r="AL80" i="2"/>
  <c r="AD245" i="4"/>
  <c r="AD246" i="4" s="1"/>
  <c r="AD265" i="4"/>
  <c r="AD179" i="4"/>
  <c r="AD238" i="4"/>
  <c r="AF248" i="4"/>
  <c r="AD260" i="4"/>
  <c r="AN484" i="4"/>
  <c r="AN93" i="4" s="1"/>
  <c r="AN513" i="4"/>
  <c r="AL533" i="4"/>
  <c r="AL538" i="4" s="1"/>
  <c r="AL527" i="4"/>
  <c r="AG130" i="5"/>
  <c r="AG115" i="5"/>
  <c r="X163" i="4"/>
  <c r="X117" i="4"/>
  <c r="AH46" i="2" s="1"/>
  <c r="AA141" i="4"/>
  <c r="AK45" i="2"/>
  <c r="AI15" i="2"/>
  <c r="AH17" i="2"/>
  <c r="AJ563" i="4"/>
  <c r="AJ562" i="4" s="1"/>
  <c r="AJ552" i="4"/>
  <c r="AP485" i="4"/>
  <c r="AP497" i="4"/>
  <c r="AP480" i="4"/>
  <c r="AP474" i="4"/>
  <c r="AI563" i="4"/>
  <c r="AI562" i="4" s="1"/>
  <c r="AB119" i="4" l="1"/>
  <c r="AL44" i="2"/>
  <c r="AL558" i="4"/>
  <c r="AN9" i="7"/>
  <c r="AB141" i="4"/>
  <c r="AL45" i="2"/>
  <c r="AL7" i="14"/>
  <c r="AC217" i="4"/>
  <c r="AK552" i="4"/>
  <c r="AK563" i="4"/>
  <c r="AK562" i="4" s="1"/>
  <c r="AI11" i="7"/>
  <c r="AI43" i="7" s="1"/>
  <c r="AG30" i="2"/>
  <c r="AG34" i="2" s="1"/>
  <c r="AG27" i="2"/>
  <c r="AO50" i="2"/>
  <c r="AO32" i="2"/>
  <c r="AP29" i="2"/>
  <c r="AE97" i="4"/>
  <c r="AO6" i="2"/>
  <c r="AF319" i="4"/>
  <c r="AF314" i="4"/>
  <c r="AG313" i="4"/>
  <c r="AF321" i="4"/>
  <c r="AN316" i="4"/>
  <c r="AK24" i="2"/>
  <c r="AK20" i="2" s="1"/>
  <c r="AA20" i="4"/>
  <c r="AA22" i="4" s="1"/>
  <c r="AA23" i="4" s="1"/>
  <c r="AK47" i="2" s="1"/>
  <c r="AK6" i="14"/>
  <c r="AE297" i="4"/>
  <c r="AN291" i="4"/>
  <c r="AE273" i="4"/>
  <c r="AE181" i="4"/>
  <c r="AM16" i="14"/>
  <c r="AC100" i="4"/>
  <c r="AC110" i="4" s="1"/>
  <c r="AM9" i="2"/>
  <c r="AM5" i="2" s="1"/>
  <c r="AJ15" i="2"/>
  <c r="AI17" i="2"/>
  <c r="BC71" i="2"/>
  <c r="D74" i="7" s="1"/>
  <c r="K37" i="7" s="1"/>
  <c r="I29" i="1" s="1"/>
  <c r="AB70" i="2"/>
  <c r="BC70" i="2" s="1"/>
  <c r="D73" i="7" s="1"/>
  <c r="K36" i="7" s="1"/>
  <c r="I28" i="1" s="1"/>
  <c r="AO513" i="4"/>
  <c r="AD322" i="4"/>
  <c r="AD323" i="4" s="1"/>
  <c r="AD330" i="4"/>
  <c r="AD182" i="4"/>
  <c r="AD311" i="4"/>
  <c r="AC57" i="4"/>
  <c r="AB56" i="4"/>
  <c r="AL540" i="4"/>
  <c r="AL560" i="4" s="1"/>
  <c r="AH12" i="14"/>
  <c r="AH5" i="14" s="1"/>
  <c r="AH22" i="14" s="1"/>
  <c r="AH23" i="14" s="1"/>
  <c r="AP257" i="4"/>
  <c r="AH198" i="4"/>
  <c r="AG200" i="4"/>
  <c r="AG199" i="4"/>
  <c r="AC335" i="4"/>
  <c r="AC157" i="4" s="1"/>
  <c r="AC147" i="4"/>
  <c r="BF97" i="4"/>
  <c r="AE68" i="7"/>
  <c r="Y289" i="4"/>
  <c r="AE69" i="7" s="1"/>
  <c r="AE320" i="4"/>
  <c r="AF326" i="4" s="1"/>
  <c r="AE318" i="4"/>
  <c r="AG116" i="5"/>
  <c r="AG118" i="5" s="1"/>
  <c r="AG121" i="5" s="1"/>
  <c r="AC74" i="4" s="1"/>
  <c r="AG117" i="5"/>
  <c r="AN52" i="2"/>
  <c r="BD32" i="2"/>
  <c r="E35" i="7" s="1"/>
  <c r="AN13" i="7"/>
  <c r="AC153" i="4"/>
  <c r="AM73" i="2" s="1"/>
  <c r="AO12" i="7" s="1"/>
  <c r="AM568" i="4"/>
  <c r="AM91" i="4"/>
  <c r="AD98" i="4"/>
  <c r="AD108" i="4" s="1"/>
  <c r="AN7" i="2"/>
  <c r="BD7" i="2" s="1"/>
  <c r="E10" i="7" s="1"/>
  <c r="L10" i="7" s="1"/>
  <c r="J5" i="1" s="1"/>
  <c r="BF179" i="4"/>
  <c r="BF98" i="4" s="1"/>
  <c r="BF108" i="4" s="1"/>
  <c r="AD74" i="2"/>
  <c r="AC71" i="2"/>
  <c r="AC70" i="2" s="1"/>
  <c r="AM535" i="4"/>
  <c r="AM555" i="4" s="1"/>
  <c r="AM540" i="4"/>
  <c r="AM560" i="4" s="1"/>
  <c r="AD270" i="4"/>
  <c r="AD155" i="4" s="1"/>
  <c r="AD145" i="4"/>
  <c r="AO491" i="4"/>
  <c r="AO479" i="4"/>
  <c r="Z89" i="4"/>
  <c r="Z288" i="4"/>
  <c r="AD331" i="4"/>
  <c r="AD90" i="4"/>
  <c r="BF90" i="4" s="1"/>
  <c r="AL565" i="4"/>
  <c r="AN543" i="4"/>
  <c r="AN548" i="4" s="1"/>
  <c r="AN544" i="4"/>
  <c r="AN549" i="4" s="1"/>
  <c r="AN545" i="4"/>
  <c r="AN550" i="4" s="1"/>
  <c r="AF234" i="4"/>
  <c r="AF209" i="4"/>
  <c r="AF196" i="4"/>
  <c r="AF231" i="4"/>
  <c r="AF233" i="4"/>
  <c r="AF235" i="4"/>
  <c r="AH204" i="4"/>
  <c r="AF178" i="4"/>
  <c r="AF201" i="4"/>
  <c r="AF202" i="4" s="1"/>
  <c r="AF232" i="4"/>
  <c r="AI38" i="5"/>
  <c r="AI39" i="5"/>
  <c r="AI40" i="5"/>
  <c r="AF285" i="4"/>
  <c r="AF281" i="4"/>
  <c r="BD6" i="2"/>
  <c r="AC334" i="4"/>
  <c r="AC135" i="4" s="1"/>
  <c r="AC131" i="4" s="1"/>
  <c r="AM67" i="2" s="1"/>
  <c r="AO8" i="7" s="1"/>
  <c r="AC125" i="4"/>
  <c r="AC121" i="4" s="1"/>
  <c r="Y85" i="4"/>
  <c r="AI20" i="14" s="1"/>
  <c r="Y99" i="4"/>
  <c r="AG204" i="4"/>
  <c r="AK557" i="4"/>
  <c r="AK567" i="4" s="1"/>
  <c r="AK569" i="4" s="1"/>
  <c r="AK169" i="4" s="1"/>
  <c r="AI521" i="4"/>
  <c r="AI577" i="4"/>
  <c r="AJ45" i="5"/>
  <c r="AJ47" i="5"/>
  <c r="AJ42" i="5"/>
  <c r="AJ49" i="5"/>
  <c r="AJ43" i="5"/>
  <c r="AJ46" i="5"/>
  <c r="AJ41" i="5"/>
  <c r="AJ48" i="5"/>
  <c r="AJ44" i="5"/>
  <c r="AF306" i="4"/>
  <c r="AJ521" i="4"/>
  <c r="AJ577" i="4"/>
  <c r="AD261" i="4"/>
  <c r="AD262" i="4"/>
  <c r="AA66" i="2"/>
  <c r="AB41" i="2"/>
  <c r="AB58" i="2" s="1"/>
  <c r="AM103" i="4"/>
  <c r="AM113" i="4" s="1"/>
  <c r="AW12" i="2"/>
  <c r="AF250" i="4"/>
  <c r="AF166" i="4" s="1"/>
  <c r="AM9" i="7"/>
  <c r="AD302" i="4"/>
  <c r="AD156" i="4" s="1"/>
  <c r="AD146" i="4"/>
  <c r="AP491" i="4"/>
  <c r="AP479" i="4"/>
  <c r="AL532" i="4"/>
  <c r="AL553" i="4"/>
  <c r="AD269" i="4"/>
  <c r="AD133" i="4" s="1"/>
  <c r="AD123" i="4"/>
  <c r="AB80" i="4"/>
  <c r="AB286" i="4" s="1"/>
  <c r="AF149" i="5"/>
  <c r="AF147" i="5"/>
  <c r="AM534" i="4"/>
  <c r="AM554" i="4" s="1"/>
  <c r="AO492" i="4"/>
  <c r="AO496" i="4"/>
  <c r="AO502" i="4" s="1"/>
  <c r="AO504" i="4" s="1"/>
  <c r="AF67" i="7"/>
  <c r="Z167" i="4"/>
  <c r="AE265" i="4"/>
  <c r="AE238" i="4"/>
  <c r="AG248" i="4"/>
  <c r="AE260" i="4"/>
  <c r="AE179" i="4"/>
  <c r="AE245" i="4"/>
  <c r="AE246" i="4" s="1"/>
  <c r="AA292" i="4"/>
  <c r="AA293" i="4" s="1"/>
  <c r="AA287" i="4"/>
  <c r="AO542" i="4"/>
  <c r="AO576" i="4"/>
  <c r="AP524" i="4"/>
  <c r="AO525" i="4"/>
  <c r="AF214" i="4"/>
  <c r="AF154" i="4" s="1"/>
  <c r="AF144" i="4"/>
  <c r="AF210" i="4"/>
  <c r="AG205" i="4"/>
  <c r="AF87" i="4"/>
  <c r="AM72" i="2"/>
  <c r="AF280" i="4"/>
  <c r="AF282" i="4" s="1"/>
  <c r="AF284" i="4"/>
  <c r="AD107" i="4"/>
  <c r="AH130" i="5"/>
  <c r="AH115" i="5"/>
  <c r="AE213" i="4"/>
  <c r="AE132" i="4" s="1"/>
  <c r="AE122" i="4"/>
  <c r="AG325" i="4"/>
  <c r="AH183" i="4"/>
  <c r="AH188" i="4"/>
  <c r="AR10" i="2" s="1"/>
  <c r="AK537" i="4"/>
  <c r="AG144" i="5"/>
  <c r="AG135" i="5"/>
  <c r="AG133" i="5"/>
  <c r="AP493" i="4"/>
  <c r="AM533" i="4"/>
  <c r="AM527" i="4"/>
  <c r="AM538" i="4"/>
  <c r="AI13" i="14"/>
  <c r="AI12" i="14" s="1"/>
  <c r="AI5" i="14" s="1"/>
  <c r="AI22" i="14" s="1"/>
  <c r="AI23" i="14" s="1"/>
  <c r="Z253" i="4"/>
  <c r="Y252" i="4"/>
  <c r="AJ10" i="7"/>
  <c r="AH26" i="2"/>
  <c r="AH18" i="2"/>
  <c r="AN51" i="2"/>
  <c r="BD51" i="2" s="1"/>
  <c r="E54" i="7" s="1"/>
  <c r="AO31" i="2"/>
  <c r="BD31" i="2"/>
  <c r="E34" i="7" s="1"/>
  <c r="AP496" i="4"/>
  <c r="AP502" i="4" s="1"/>
  <c r="AP504" i="4" s="1"/>
  <c r="AG315" i="4"/>
  <c r="AH315" i="4" s="1"/>
  <c r="AD297" i="4"/>
  <c r="AD273" i="4"/>
  <c r="AM291" i="4"/>
  <c r="AD181" i="4"/>
  <c r="AL568" i="4"/>
  <c r="AL91" i="4"/>
  <c r="AL539" i="4"/>
  <c r="AL559" i="4" s="1"/>
  <c r="AP79" i="2"/>
  <c r="AE298" i="4"/>
  <c r="AE266" i="4"/>
  <c r="AE88" i="4"/>
  <c r="AF249" i="4"/>
  <c r="X109" i="4"/>
  <c r="X96" i="4"/>
  <c r="X106" i="4" s="1"/>
  <c r="AD180" i="4"/>
  <c r="AL8" i="14"/>
  <c r="AC218" i="4"/>
  <c r="AF325" i="4"/>
  <c r="AM80" i="2"/>
  <c r="AF244" i="4"/>
  <c r="AF242" i="4"/>
  <c r="AG240" i="4"/>
  <c r="AF243" i="4"/>
  <c r="AB7" i="7"/>
  <c r="AB20" i="7" s="1"/>
  <c r="AB42" i="7" s="1"/>
  <c r="Z65" i="2"/>
  <c r="Z64" i="2" s="1"/>
  <c r="Z81" i="2" s="1"/>
  <c r="Z77" i="2" s="1"/>
  <c r="Z85" i="2" s="1"/>
  <c r="AM516" i="4"/>
  <c r="AM138" i="4" s="1"/>
  <c r="AM128" i="4"/>
  <c r="Y163" i="4"/>
  <c r="Y117" i="4"/>
  <c r="AI46" i="2" s="1"/>
  <c r="AC143" i="4"/>
  <c r="AM11" i="14"/>
  <c r="AD221" i="4"/>
  <c r="AP513" i="4"/>
  <c r="AN517" i="4"/>
  <c r="AN160" i="4" s="1"/>
  <c r="AN150" i="4"/>
  <c r="AI14" i="14"/>
  <c r="Z254" i="4"/>
  <c r="AL9" i="14"/>
  <c r="AC219" i="4"/>
  <c r="AP492" i="4"/>
  <c r="AM547" i="4"/>
  <c r="AL564" i="4"/>
  <c r="AJ20" i="2"/>
  <c r="AN575" i="4"/>
  <c r="AN574" i="4"/>
  <c r="AN529" i="4"/>
  <c r="AN528" i="4"/>
  <c r="AN530" i="4"/>
  <c r="AL258" i="4"/>
  <c r="AC175" i="4"/>
  <c r="AL276" i="4"/>
  <c r="AG277" i="4"/>
  <c r="AG278" i="4"/>
  <c r="AH275" i="4"/>
  <c r="AG305" i="4"/>
  <c r="AL10" i="14"/>
  <c r="AC220" i="4"/>
  <c r="AN512" i="4"/>
  <c r="AN467" i="4"/>
  <c r="AN185" i="4" s="1"/>
  <c r="AO507" i="4"/>
  <c r="AN490" i="4"/>
  <c r="AN494" i="4" s="1"/>
  <c r="AM44" i="2" l="1"/>
  <c r="AC119" i="4"/>
  <c r="AG43" i="2"/>
  <c r="AG35" i="2"/>
  <c r="AO9" i="7"/>
  <c r="AE98" i="4"/>
  <c r="AE108" i="4" s="1"/>
  <c r="AO7" i="2"/>
  <c r="AL563" i="4"/>
  <c r="AL562" i="4" s="1"/>
  <c r="AL552" i="4"/>
  <c r="AJ188" i="4"/>
  <c r="AT10" i="2" s="1"/>
  <c r="AJ183" i="4"/>
  <c r="AJ101" i="4" s="1"/>
  <c r="AJ111" i="4" s="1"/>
  <c r="AH305" i="4"/>
  <c r="AI275" i="4"/>
  <c r="AH277" i="4"/>
  <c r="AH278" i="4"/>
  <c r="AM276" i="4"/>
  <c r="AN533" i="4"/>
  <c r="AN538" i="4"/>
  <c r="AN527" i="4"/>
  <c r="AP517" i="4"/>
  <c r="AP160" i="4" s="1"/>
  <c r="AP150" i="4"/>
  <c r="AF327" i="4"/>
  <c r="AF168" i="4" s="1"/>
  <c r="AD124" i="4"/>
  <c r="AD301" i="4"/>
  <c r="AD134" i="4" s="1"/>
  <c r="AF301" i="4"/>
  <c r="AF134" i="4" s="1"/>
  <c r="AN72" i="2"/>
  <c r="AO575" i="4"/>
  <c r="AO574" i="4"/>
  <c r="AO530" i="4"/>
  <c r="AO528" i="4"/>
  <c r="AO529" i="4"/>
  <c r="AE261" i="4"/>
  <c r="AE262" i="4"/>
  <c r="AM564" i="4"/>
  <c r="AJ38" i="5"/>
  <c r="AJ39" i="5"/>
  <c r="AJ40" i="5"/>
  <c r="AI115" i="5"/>
  <c r="AI130" i="5"/>
  <c r="AG285" i="4"/>
  <c r="AG281" i="4"/>
  <c r="AN534" i="4"/>
  <c r="AN554" i="4" s="1"/>
  <c r="AM9" i="14"/>
  <c r="AD219" i="4"/>
  <c r="AN11" i="14"/>
  <c r="AE221" i="4"/>
  <c r="AF221" i="4" s="1"/>
  <c r="AH117" i="5"/>
  <c r="AH116" i="5"/>
  <c r="AH118" i="5" s="1"/>
  <c r="AH121" i="5" s="1"/>
  <c r="AD74" i="4" s="1"/>
  <c r="AP542" i="4"/>
  <c r="AP525" i="4"/>
  <c r="AP576" i="4"/>
  <c r="AG250" i="4"/>
  <c r="AG166" i="4" s="1"/>
  <c r="AM539" i="4"/>
  <c r="AM559" i="4" s="1"/>
  <c r="AP512" i="4"/>
  <c r="AP490" i="4"/>
  <c r="AP494" i="4" s="1"/>
  <c r="AP467" i="4"/>
  <c r="AP185" i="4" s="1"/>
  <c r="AO13" i="7"/>
  <c r="AF213" i="4"/>
  <c r="AF132" i="4" s="1"/>
  <c r="AF122" i="4"/>
  <c r="AD335" i="4"/>
  <c r="AD157" i="4" s="1"/>
  <c r="AD147" i="4"/>
  <c r="AM565" i="4"/>
  <c r="AE124" i="4"/>
  <c r="AE301" i="4"/>
  <c r="AE134" i="4" s="1"/>
  <c r="AO52" i="2"/>
  <c r="AM7" i="14"/>
  <c r="AD217" i="4"/>
  <c r="AL537" i="4"/>
  <c r="AO509" i="4"/>
  <c r="AO172" i="4" s="1"/>
  <c r="AG284" i="4"/>
  <c r="AG280" i="4"/>
  <c r="AG282" i="4" s="1"/>
  <c r="AN571" i="4"/>
  <c r="AF266" i="4"/>
  <c r="AG249" i="4"/>
  <c r="AF88" i="4"/>
  <c r="AM8" i="14"/>
  <c r="AD218" i="4"/>
  <c r="AP488" i="4"/>
  <c r="AP484" i="4" s="1"/>
  <c r="AP93" i="4" s="1"/>
  <c r="AP508" i="4"/>
  <c r="AJ13" i="14"/>
  <c r="Z252" i="4"/>
  <c r="AA253" i="4"/>
  <c r="AC80" i="4"/>
  <c r="AC286" i="4" s="1"/>
  <c r="AG149" i="5"/>
  <c r="AG147" i="5"/>
  <c r="AH144" i="5"/>
  <c r="AH135" i="5"/>
  <c r="AH133" i="5"/>
  <c r="AC41" i="2"/>
  <c r="AB66" i="2"/>
  <c r="E9" i="7"/>
  <c r="L9" i="7" s="1"/>
  <c r="J4" i="1" s="1"/>
  <c r="AF68" i="7"/>
  <c r="Z289" i="4"/>
  <c r="AF69" i="7" s="1"/>
  <c r="AO517" i="4"/>
  <c r="AO160" i="4" s="1"/>
  <c r="AO150" i="4"/>
  <c r="AL6" i="14"/>
  <c r="AL557" i="4"/>
  <c r="AL567" i="4" s="1"/>
  <c r="AL569" i="4" s="1"/>
  <c r="AL169" i="4" s="1"/>
  <c r="AE270" i="4"/>
  <c r="AE155" i="4" s="1"/>
  <c r="AE145" i="4"/>
  <c r="AO544" i="4"/>
  <c r="AO549" i="4" s="1"/>
  <c r="AO545" i="4"/>
  <c r="AO550" i="4" s="1"/>
  <c r="AO543" i="4"/>
  <c r="AO548" i="4" s="1"/>
  <c r="AO547" i="4" s="1"/>
  <c r="AE269" i="4"/>
  <c r="AE133" i="4" s="1"/>
  <c r="AE123" i="4"/>
  <c r="AC7" i="7"/>
  <c r="AC20" i="7" s="1"/>
  <c r="AC42" i="7" s="1"/>
  <c r="AA65" i="2"/>
  <c r="AA64" i="2" s="1"/>
  <c r="AA81" i="2" s="1"/>
  <c r="AA77" i="2" s="1"/>
  <c r="AA85" i="2" s="1"/>
  <c r="AI188" i="4"/>
  <c r="AS10" i="2" s="1"/>
  <c r="AI183" i="4"/>
  <c r="AI101" i="4" s="1"/>
  <c r="AI111" i="4" s="1"/>
  <c r="AF97" i="4"/>
  <c r="AP6" i="2"/>
  <c r="Z85" i="4"/>
  <c r="AJ20" i="14" s="1"/>
  <c r="Z99" i="4"/>
  <c r="AE74" i="2"/>
  <c r="AD71" i="2"/>
  <c r="AD70" i="2" s="1"/>
  <c r="AE107" i="4"/>
  <c r="AF265" i="4"/>
  <c r="AF238" i="4"/>
  <c r="AF179" i="4"/>
  <c r="AF180" i="4" s="1"/>
  <c r="AF260" i="4"/>
  <c r="AH248" i="4"/>
  <c r="AF245" i="4"/>
  <c r="AF246" i="4" s="1"/>
  <c r="AD175" i="4"/>
  <c r="BF180" i="4"/>
  <c r="AE302" i="4"/>
  <c r="AE156" i="4" s="1"/>
  <c r="AE146" i="4"/>
  <c r="AN15" i="14"/>
  <c r="AN8" i="2"/>
  <c r="BF181" i="4"/>
  <c r="AO51" i="2"/>
  <c r="AP31" i="2"/>
  <c r="AM558" i="4"/>
  <c r="AM557" i="4" s="1"/>
  <c r="AM567" i="4" s="1"/>
  <c r="AM569" i="4" s="1"/>
  <c r="AM169" i="4" s="1"/>
  <c r="AM537" i="4"/>
  <c r="AA89" i="4"/>
  <c r="AA288" i="4"/>
  <c r="Z117" i="4"/>
  <c r="AJ46" i="2" s="1"/>
  <c r="Z163" i="4"/>
  <c r="AB292" i="4"/>
  <c r="AB293" i="4" s="1"/>
  <c r="AB287" i="4"/>
  <c r="AO490" i="4"/>
  <c r="AO494" i="4" s="1"/>
  <c r="AP507" i="4"/>
  <c r="AP509" i="4" s="1"/>
  <c r="AP172" i="4" s="1"/>
  <c r="AO512" i="4"/>
  <c r="AO467" i="4"/>
  <c r="AO185" i="4" s="1"/>
  <c r="AN44" i="7"/>
  <c r="AN21" i="7"/>
  <c r="AE330" i="4"/>
  <c r="AE311" i="4"/>
  <c r="AE322" i="4"/>
  <c r="AE323" i="4" s="1"/>
  <c r="AE182" i="4"/>
  <c r="AG231" i="4"/>
  <c r="AG233" i="4"/>
  <c r="AG196" i="4"/>
  <c r="AG234" i="4"/>
  <c r="AG178" i="4"/>
  <c r="AG235" i="4"/>
  <c r="AG209" i="4"/>
  <c r="AG201" i="4"/>
  <c r="AG202" i="4" s="1"/>
  <c r="AG232" i="4"/>
  <c r="AL24" i="2"/>
  <c r="AL20" i="2" s="1"/>
  <c r="AB20" i="4"/>
  <c r="AB22" i="4" s="1"/>
  <c r="AB23" i="4" s="1"/>
  <c r="AL47" i="2" s="1"/>
  <c r="AE180" i="4"/>
  <c r="AN103" i="4"/>
  <c r="AN113" i="4" s="1"/>
  <c r="AX12" i="2"/>
  <c r="AJ14" i="14"/>
  <c r="AA254" i="4"/>
  <c r="AC141" i="4"/>
  <c r="AM45" i="2"/>
  <c r="AG243" i="4"/>
  <c r="AG242" i="4"/>
  <c r="AH240" i="4"/>
  <c r="AG244" i="4"/>
  <c r="AM10" i="14"/>
  <c r="AD220" i="4"/>
  <c r="AM258" i="4"/>
  <c r="AH101" i="4"/>
  <c r="AH111" i="4" s="1"/>
  <c r="AG67" i="7"/>
  <c r="AA167" i="4"/>
  <c r="AG206" i="4"/>
  <c r="AG165" i="4" s="1"/>
  <c r="AF298" i="4"/>
  <c r="AN547" i="4"/>
  <c r="AE331" i="4"/>
  <c r="AE90" i="4"/>
  <c r="AH205" i="4"/>
  <c r="AH206" i="4" s="1"/>
  <c r="AH165" i="4" s="1"/>
  <c r="AG214" i="4"/>
  <c r="AG154" i="4" s="1"/>
  <c r="AG144" i="4"/>
  <c r="AG210" i="4"/>
  <c r="AG87" i="4"/>
  <c r="AD57" i="4"/>
  <c r="AC56" i="4"/>
  <c r="AO8" i="2"/>
  <c r="AG48" i="2"/>
  <c r="AN516" i="4"/>
  <c r="AN138" i="4" s="1"/>
  <c r="AN128" i="4"/>
  <c r="AM553" i="4"/>
  <c r="AM532" i="4"/>
  <c r="AF273" i="4"/>
  <c r="AO291" i="4"/>
  <c r="AF297" i="4"/>
  <c r="AF181" i="4"/>
  <c r="AO488" i="4"/>
  <c r="AO484" i="4" s="1"/>
  <c r="AO93" i="4" s="1"/>
  <c r="AO508" i="4"/>
  <c r="Y109" i="4"/>
  <c r="Y96" i="4"/>
  <c r="Y106" i="4" s="1"/>
  <c r="AD143" i="4"/>
  <c r="AH199" i="4"/>
  <c r="AI198" i="4"/>
  <c r="AH200" i="4"/>
  <c r="AK46" i="5"/>
  <c r="AK47" i="5"/>
  <c r="AK42" i="5"/>
  <c r="AK43" i="5"/>
  <c r="AK41" i="5"/>
  <c r="AK48" i="5"/>
  <c r="AK44" i="5"/>
  <c r="AK49" i="5"/>
  <c r="AK45" i="5"/>
  <c r="AG306" i="4"/>
  <c r="AJ11" i="7"/>
  <c r="AJ43" i="7" s="1"/>
  <c r="AH27" i="2"/>
  <c r="AH30" i="2"/>
  <c r="AH48" i="2" s="1"/>
  <c r="AD153" i="4"/>
  <c r="AN73" i="2" s="1"/>
  <c r="AN16" i="14"/>
  <c r="AD100" i="4"/>
  <c r="AD110" i="4" s="1"/>
  <c r="AN9" i="2"/>
  <c r="BD9" i="2" s="1"/>
  <c r="E12" i="7" s="1"/>
  <c r="L12" i="7" s="1"/>
  <c r="J7" i="1" s="1"/>
  <c r="BF182" i="4"/>
  <c r="BF100" i="4" s="1"/>
  <c r="BF110" i="4" s="1"/>
  <c r="AK10" i="7"/>
  <c r="AI18" i="2"/>
  <c r="AI26" i="2"/>
  <c r="AG321" i="4"/>
  <c r="AG314" i="4"/>
  <c r="AH313" i="4"/>
  <c r="AI315" i="4" s="1"/>
  <c r="AG319" i="4"/>
  <c r="AO316" i="4"/>
  <c r="AK521" i="4"/>
  <c r="AK577" i="4"/>
  <c r="AN535" i="4"/>
  <c r="AN555" i="4" s="1"/>
  <c r="AN540" i="4"/>
  <c r="AN560" i="4" s="1"/>
  <c r="AN80" i="2"/>
  <c r="AQ79" i="2"/>
  <c r="BD52" i="2"/>
  <c r="E55" i="7" s="1"/>
  <c r="AN75" i="2"/>
  <c r="BF107" i="4"/>
  <c r="AD334" i="4"/>
  <c r="AD135" i="4" s="1"/>
  <c r="AD131" i="4" s="1"/>
  <c r="AN67" i="2" s="1"/>
  <c r="AD125" i="4"/>
  <c r="AD121" i="4" s="1"/>
  <c r="AK15" i="2"/>
  <c r="AJ17" i="2"/>
  <c r="AF318" i="4"/>
  <c r="AF320" i="4"/>
  <c r="AP50" i="2"/>
  <c r="AP32" i="2"/>
  <c r="AP52" i="2" s="1"/>
  <c r="AQ29" i="2"/>
  <c r="AN68" i="2"/>
  <c r="AP8" i="7" l="1"/>
  <c r="BD67" i="2"/>
  <c r="E70" i="7" s="1"/>
  <c r="L34" i="7" s="1"/>
  <c r="J26" i="1" s="1"/>
  <c r="AN44" i="2"/>
  <c r="BD44" i="2" s="1"/>
  <c r="E47" i="7" s="1"/>
  <c r="AD119" i="4"/>
  <c r="AI200" i="4"/>
  <c r="AI199" i="4"/>
  <c r="AJ198" i="4"/>
  <c r="AP8" i="2"/>
  <c r="AE100" i="4"/>
  <c r="AE110" i="4" s="1"/>
  <c r="AO9" i="2"/>
  <c r="AL15" i="2"/>
  <c r="AK17" i="2"/>
  <c r="AF107" i="4"/>
  <c r="AN8" i="14"/>
  <c r="AE218" i="4"/>
  <c r="AF218" i="4" s="1"/>
  <c r="AG218" i="4" s="1"/>
  <c r="AN558" i="4"/>
  <c r="AL10" i="7"/>
  <c r="AJ26" i="2"/>
  <c r="AJ18" i="2"/>
  <c r="BD68" i="2"/>
  <c r="E71" i="7" s="1"/>
  <c r="L35" i="7" s="1"/>
  <c r="J27" i="1" s="1"/>
  <c r="AO68" i="2"/>
  <c r="AG320" i="4"/>
  <c r="AG318" i="4"/>
  <c r="AH67" i="7"/>
  <c r="AB167" i="4"/>
  <c r="AP103" i="4"/>
  <c r="AP113" i="4" s="1"/>
  <c r="AZ12" i="2"/>
  <c r="BG185" i="4"/>
  <c r="AJ130" i="5"/>
  <c r="AJ115" i="5"/>
  <c r="AF331" i="4"/>
  <c r="AF90" i="4"/>
  <c r="AN565" i="4"/>
  <c r="AH326" i="4"/>
  <c r="BF175" i="4"/>
  <c r="AD7" i="7"/>
  <c r="AD20" i="7" s="1"/>
  <c r="AD42" i="7" s="1"/>
  <c r="AB65" i="2"/>
  <c r="BC66" i="2"/>
  <c r="D69" i="7" s="1"/>
  <c r="K33" i="7" s="1"/>
  <c r="I25" i="1" s="1"/>
  <c r="AC292" i="4"/>
  <c r="AC293" i="4" s="1"/>
  <c r="AC287" i="4"/>
  <c r="AN539" i="4"/>
  <c r="AN559" i="4" s="1"/>
  <c r="AN564" i="4" s="1"/>
  <c r="AF182" i="4"/>
  <c r="AF330" i="4"/>
  <c r="AF322" i="4"/>
  <c r="AF323" i="4" s="1"/>
  <c r="AF311" i="4"/>
  <c r="AO75" i="2"/>
  <c r="AP75" i="2" s="1"/>
  <c r="BD75" i="2"/>
  <c r="E78" i="7" s="1"/>
  <c r="L38" i="7" s="1"/>
  <c r="J30" i="1" s="1"/>
  <c r="AK11" i="7"/>
  <c r="AK43" i="7" s="1"/>
  <c r="AI30" i="2"/>
  <c r="AI48" i="2" s="1"/>
  <c r="AI27" i="2"/>
  <c r="AP12" i="7"/>
  <c r="BD73" i="2"/>
  <c r="E76" i="7" s="1"/>
  <c r="AG326" i="4"/>
  <c r="AG327" i="4" s="1"/>
  <c r="AG168" i="4" s="1"/>
  <c r="AA163" i="4"/>
  <c r="AA117" i="4"/>
  <c r="AK46" i="2" s="1"/>
  <c r="AN258" i="4"/>
  <c r="AO103" i="4"/>
  <c r="AO113" i="4" s="1"/>
  <c r="AY12" i="2"/>
  <c r="BD41" i="2"/>
  <c r="AC58" i="2"/>
  <c r="AK13" i="14"/>
  <c r="AB253" i="4"/>
  <c r="AA252" i="4"/>
  <c r="AN7" i="14"/>
  <c r="AE217" i="4"/>
  <c r="AF217" i="4" s="1"/>
  <c r="AG217" i="4" s="1"/>
  <c r="AP516" i="4"/>
  <c r="AP138" i="4" s="1"/>
  <c r="AP128" i="4"/>
  <c r="BD72" i="2"/>
  <c r="E75" i="7" s="1"/>
  <c r="AO72" i="2"/>
  <c r="AN553" i="4"/>
  <c r="AN532" i="4"/>
  <c r="AG83" i="2"/>
  <c r="AH82" i="2" s="1"/>
  <c r="AK188" i="4"/>
  <c r="AU10" i="2" s="1"/>
  <c r="AK183" i="4"/>
  <c r="AH210" i="4"/>
  <c r="AI205" i="4"/>
  <c r="AH144" i="4"/>
  <c r="AH214" i="4"/>
  <c r="AH154" i="4" s="1"/>
  <c r="AH87" i="4"/>
  <c r="AM563" i="4"/>
  <c r="AM562" i="4" s="1"/>
  <c r="AM552" i="4"/>
  <c r="AN10" i="14"/>
  <c r="AE220" i="4"/>
  <c r="AF220" i="4" s="1"/>
  <c r="AG220" i="4" s="1"/>
  <c r="AK14" i="14"/>
  <c r="AB254" i="4"/>
  <c r="AO516" i="4"/>
  <c r="AO138" i="4" s="1"/>
  <c r="AO128" i="4"/>
  <c r="AG68" i="7"/>
  <c r="AA289" i="4"/>
  <c r="AG69" i="7" s="1"/>
  <c r="AM6" i="14"/>
  <c r="AG298" i="4"/>
  <c r="AL521" i="4"/>
  <c r="AL577" i="4"/>
  <c r="AA85" i="4"/>
  <c r="AK20" i="14" s="1"/>
  <c r="AA99" i="4"/>
  <c r="BD8" i="2"/>
  <c r="AN5" i="2"/>
  <c r="AF74" i="2"/>
  <c r="AE71" i="2"/>
  <c r="AE70" i="2" s="1"/>
  <c r="AJ12" i="14"/>
  <c r="AJ5" i="14" s="1"/>
  <c r="AJ22" i="14" s="1"/>
  <c r="AJ23" i="14" s="1"/>
  <c r="AF270" i="4"/>
  <c r="AF155" i="4" s="1"/>
  <c r="AF145" i="4"/>
  <c r="AG221" i="4"/>
  <c r="AI144" i="5"/>
  <c r="AI135" i="5"/>
  <c r="AI133" i="5"/>
  <c r="AO539" i="4"/>
  <c r="AO559" i="4" s="1"/>
  <c r="AO534" i="4"/>
  <c r="AO554" i="4" s="1"/>
  <c r="AH281" i="4"/>
  <c r="AH285" i="4"/>
  <c r="AG213" i="4"/>
  <c r="AG132" i="4" s="1"/>
  <c r="AG122" i="4"/>
  <c r="AR79" i="2"/>
  <c r="AH232" i="4"/>
  <c r="AH234" i="4"/>
  <c r="AH209" i="4"/>
  <c r="AJ204" i="4"/>
  <c r="AH201" i="4"/>
  <c r="AH202" i="4" s="1"/>
  <c r="AH235" i="4"/>
  <c r="AH196" i="4"/>
  <c r="AH231" i="4"/>
  <c r="AH233" i="4"/>
  <c r="AH178" i="4"/>
  <c r="AF124" i="4"/>
  <c r="AM24" i="2"/>
  <c r="AM20" i="2" s="1"/>
  <c r="AC20" i="4"/>
  <c r="AC22" i="4" s="1"/>
  <c r="AC23" i="4" s="1"/>
  <c r="AM47" i="2" s="1"/>
  <c r="AE335" i="4"/>
  <c r="AE157" i="4" s="1"/>
  <c r="AE153" i="4" s="1"/>
  <c r="AO73" i="2" s="1"/>
  <c r="AQ12" i="7" s="1"/>
  <c r="AE147" i="4"/>
  <c r="AE143" i="4" s="1"/>
  <c r="AI204" i="4"/>
  <c r="AF261" i="4"/>
  <c r="AF262" i="4"/>
  <c r="Z109" i="4"/>
  <c r="Z96" i="4"/>
  <c r="Z106" i="4" s="1"/>
  <c r="AN568" i="4"/>
  <c r="AN91" i="4"/>
  <c r="AI117" i="5"/>
  <c r="AI116" i="5"/>
  <c r="AI118" i="5" s="1"/>
  <c r="AI121" i="5" s="1"/>
  <c r="AE74" i="4" s="1"/>
  <c r="AO527" i="4"/>
  <c r="AO533" i="4"/>
  <c r="AH280" i="4"/>
  <c r="AH282" i="4" s="1"/>
  <c r="AH284" i="4"/>
  <c r="AQ32" i="2"/>
  <c r="AQ52" i="2" s="1"/>
  <c r="AR29" i="2"/>
  <c r="AQ50" i="2"/>
  <c r="AH34" i="2"/>
  <c r="AD141" i="4"/>
  <c r="AN45" i="2"/>
  <c r="BD45" i="2" s="1"/>
  <c r="E48" i="7" s="1"/>
  <c r="AD56" i="4"/>
  <c r="AE57" i="4"/>
  <c r="AH243" i="4"/>
  <c r="AH244" i="4"/>
  <c r="AI240" i="4"/>
  <c r="AH242" i="4"/>
  <c r="AP7" i="2"/>
  <c r="AF98" i="4"/>
  <c r="AF108" i="4" s="1"/>
  <c r="AD80" i="4"/>
  <c r="AD286" i="4" s="1"/>
  <c r="AH149" i="5"/>
  <c r="AH147" i="5"/>
  <c r="BG93" i="4"/>
  <c r="AP291" i="4"/>
  <c r="AG181" i="4"/>
  <c r="AG297" i="4"/>
  <c r="AG273" i="4"/>
  <c r="AH325" i="4"/>
  <c r="AH327" i="4" s="1"/>
  <c r="AH168" i="4" s="1"/>
  <c r="AP528" i="4"/>
  <c r="AP529" i="4"/>
  <c r="AP575" i="4"/>
  <c r="AP574" i="4"/>
  <c r="AP571" i="4" s="1"/>
  <c r="AP530" i="4"/>
  <c r="AN9" i="14"/>
  <c r="AE219" i="4"/>
  <c r="AF219" i="4" s="1"/>
  <c r="AG219" i="4" s="1"/>
  <c r="AO535" i="4"/>
  <c r="AO555" i="4" s="1"/>
  <c r="AO540" i="4"/>
  <c r="AO560" i="4" s="1"/>
  <c r="AI277" i="4"/>
  <c r="AN276" i="4"/>
  <c r="AJ275" i="4"/>
  <c r="AI278" i="4"/>
  <c r="AI305" i="4"/>
  <c r="AI325" i="4"/>
  <c r="BD80" i="2"/>
  <c r="E83" i="7" s="1"/>
  <c r="AO80" i="2"/>
  <c r="AH319" i="4"/>
  <c r="AI313" i="4"/>
  <c r="AJ315" i="4" s="1"/>
  <c r="AP316" i="4"/>
  <c r="AH314" i="4"/>
  <c r="AH321" i="4"/>
  <c r="AF146" i="4"/>
  <c r="AF302" i="4"/>
  <c r="AF156" i="4" s="1"/>
  <c r="AG265" i="4"/>
  <c r="AG238" i="4"/>
  <c r="AG179" i="4"/>
  <c r="AG260" i="4"/>
  <c r="AI248" i="4"/>
  <c r="AG245" i="4"/>
  <c r="AG246" i="4" s="1"/>
  <c r="AE175" i="4"/>
  <c r="AG97" i="4"/>
  <c r="AQ6" i="2"/>
  <c r="AE334" i="4"/>
  <c r="AE135" i="4" s="1"/>
  <c r="AE131" i="4" s="1"/>
  <c r="AO67" i="2" s="1"/>
  <c r="AQ8" i="7" s="1"/>
  <c r="AQ13" i="7" s="1"/>
  <c r="AE125" i="4"/>
  <c r="AE121" i="4" s="1"/>
  <c r="AB89" i="4"/>
  <c r="AB288" i="4"/>
  <c r="AO44" i="7"/>
  <c r="AO21" i="7"/>
  <c r="AP544" i="4"/>
  <c r="AP549" i="4" s="1"/>
  <c r="AP543" i="4"/>
  <c r="AP548" i="4" s="1"/>
  <c r="AP545" i="4"/>
  <c r="AP550" i="4" s="1"/>
  <c r="AO571" i="4"/>
  <c r="AL47" i="5"/>
  <c r="AL49" i="5"/>
  <c r="AL41" i="5"/>
  <c r="AL48" i="5"/>
  <c r="AL46" i="5"/>
  <c r="AL44" i="5"/>
  <c r="AL43" i="5"/>
  <c r="AL45" i="5"/>
  <c r="AH306" i="4"/>
  <c r="AL42" i="5"/>
  <c r="AK39" i="5"/>
  <c r="AK40" i="5"/>
  <c r="AK38" i="5"/>
  <c r="AH249" i="4"/>
  <c r="AH250" i="4" s="1"/>
  <c r="AH166" i="4" s="1"/>
  <c r="AG266" i="4"/>
  <c r="AG88" i="4"/>
  <c r="AP51" i="2"/>
  <c r="AQ31" i="2"/>
  <c r="AF269" i="4"/>
  <c r="AF133" i="4" s="1"/>
  <c r="AF123" i="4"/>
  <c r="AE141" i="4" l="1"/>
  <c r="AO45" i="2"/>
  <c r="AQ21" i="7"/>
  <c r="AQ44" i="7"/>
  <c r="AN24" i="2"/>
  <c r="AD20" i="4"/>
  <c r="AD22" i="4" s="1"/>
  <c r="AD23" i="4" s="1"/>
  <c r="AN47" i="2" s="1"/>
  <c r="BD47" i="2" s="1"/>
  <c r="E50" i="7" s="1"/>
  <c r="AH181" i="4"/>
  <c r="AH297" i="4"/>
  <c r="AH273" i="4"/>
  <c r="AH97" i="4"/>
  <c r="AR6" i="2"/>
  <c r="E11" i="7"/>
  <c r="L11" i="7" s="1"/>
  <c r="J6" i="1" s="1"/>
  <c r="BD5" i="2"/>
  <c r="AP72" i="2"/>
  <c r="AL13" i="14"/>
  <c r="AB252" i="4"/>
  <c r="AC253" i="4"/>
  <c r="AF100" i="4"/>
  <c r="AF110" i="4" s="1"/>
  <c r="AP9" i="2"/>
  <c r="AP5" i="2" s="1"/>
  <c r="AF335" i="4"/>
  <c r="AF157" i="4" s="1"/>
  <c r="AF147" i="4"/>
  <c r="AF143" i="4" s="1"/>
  <c r="AL11" i="7"/>
  <c r="AL43" i="7" s="1"/>
  <c r="AJ30" i="2"/>
  <c r="AJ48" i="2" s="1"/>
  <c r="AJ27" i="2"/>
  <c r="AI206" i="4"/>
  <c r="AI165" i="4" s="1"/>
  <c r="AO564" i="4"/>
  <c r="AF153" i="4"/>
  <c r="AP73" i="2" s="1"/>
  <c r="AR12" i="7" s="1"/>
  <c r="AA109" i="4"/>
  <c r="AA96" i="4"/>
  <c r="AA106" i="4" s="1"/>
  <c r="AH220" i="4"/>
  <c r="AK12" i="14"/>
  <c r="AK5" i="14" s="1"/>
  <c r="AK22" i="14" s="1"/>
  <c r="AK23" i="14" s="1"/>
  <c r="AJ117" i="5"/>
  <c r="AJ116" i="5"/>
  <c r="AJ118" i="5" s="1"/>
  <c r="AJ121" i="5" s="1"/>
  <c r="AF74" i="4" s="1"/>
  <c r="AM10" i="7"/>
  <c r="AK18" i="2"/>
  <c r="AK26" i="2"/>
  <c r="AJ199" i="4"/>
  <c r="AJ200" i="4"/>
  <c r="AK198" i="4"/>
  <c r="AP13" i="7"/>
  <c r="AJ278" i="4"/>
  <c r="AJ305" i="4"/>
  <c r="AK275" i="4"/>
  <c r="AO276" i="4"/>
  <c r="AJ277" i="4"/>
  <c r="AQ8" i="2"/>
  <c r="AO532" i="4"/>
  <c r="AO553" i="4"/>
  <c r="AK101" i="4"/>
  <c r="AK111" i="4" s="1"/>
  <c r="AC66" i="2"/>
  <c r="AD41" i="2"/>
  <c r="AD58" i="2" s="1"/>
  <c r="AJ144" i="5"/>
  <c r="AJ135" i="5"/>
  <c r="AJ133" i="5"/>
  <c r="AN537" i="4"/>
  <c r="AM15" i="2"/>
  <c r="AL17" i="2"/>
  <c r="AI235" i="4"/>
  <c r="AI178" i="4"/>
  <c r="AI233" i="4"/>
  <c r="AI231" i="4"/>
  <c r="AI196" i="4"/>
  <c r="AI209" i="4"/>
  <c r="AI201" i="4"/>
  <c r="AI202" i="4" s="1"/>
  <c r="AI232" i="4"/>
  <c r="AI234" i="4"/>
  <c r="AG301" i="4"/>
  <c r="AG134" i="4" s="1"/>
  <c r="AH35" i="2"/>
  <c r="AH43" i="2"/>
  <c r="AH83" i="2" s="1"/>
  <c r="AO538" i="4"/>
  <c r="AS79" i="2"/>
  <c r="E44" i="7"/>
  <c r="AC89" i="4"/>
  <c r="AC288" i="4"/>
  <c r="AG322" i="4"/>
  <c r="AG323" i="4" s="1"/>
  <c r="AG330" i="4"/>
  <c r="AG311" i="4"/>
  <c r="AG182" i="4"/>
  <c r="AN557" i="4"/>
  <c r="AN567" i="4" s="1"/>
  <c r="AN569" i="4" s="1"/>
  <c r="AN169" i="4" s="1"/>
  <c r="AO5" i="2"/>
  <c r="AJ205" i="4"/>
  <c r="AI210" i="4"/>
  <c r="AI214" i="4"/>
  <c r="AI154" i="4" s="1"/>
  <c r="AI144" i="4"/>
  <c r="AI87" i="4"/>
  <c r="AF175" i="4"/>
  <c r="AO568" i="4"/>
  <c r="AO91" i="4"/>
  <c r="AB85" i="4"/>
  <c r="AL20" i="14" s="1"/>
  <c r="AB99" i="4"/>
  <c r="AP568" i="4"/>
  <c r="AP91" i="4"/>
  <c r="AR31" i="2"/>
  <c r="AQ51" i="2"/>
  <c r="AG98" i="4"/>
  <c r="AG108" i="4" s="1"/>
  <c r="AQ7" i="2"/>
  <c r="AP533" i="4"/>
  <c r="AP538" i="4" s="1"/>
  <c r="AP527" i="4"/>
  <c r="AI243" i="4"/>
  <c r="AI244" i="4"/>
  <c r="AI242" i="4"/>
  <c r="AJ240" i="4"/>
  <c r="AL188" i="4"/>
  <c r="AV10" i="2" s="1"/>
  <c r="AL183" i="4"/>
  <c r="AL101" i="4" s="1"/>
  <c r="AL111" i="4" s="1"/>
  <c r="AM521" i="4"/>
  <c r="AM577" i="4"/>
  <c r="AQ75" i="2"/>
  <c r="AI67" i="7"/>
  <c r="AC167" i="4"/>
  <c r="BG103" i="4"/>
  <c r="BG113" i="4" s="1"/>
  <c r="AG331" i="4"/>
  <c r="AG90" i="4"/>
  <c r="AP80" i="2"/>
  <c r="AG261" i="4"/>
  <c r="AG262" i="4"/>
  <c r="AE80" i="4"/>
  <c r="AE286" i="4" s="1"/>
  <c r="AI149" i="5"/>
  <c r="AI147" i="5"/>
  <c r="AG74" i="2"/>
  <c r="AF71" i="2"/>
  <c r="AF70" i="2" s="1"/>
  <c r="BE12" i="2"/>
  <c r="F15" i="7" s="1"/>
  <c r="M15" i="7" s="1"/>
  <c r="K10" i="1" s="1"/>
  <c r="AP68" i="2"/>
  <c r="AH218" i="4"/>
  <c r="AI218" i="4" s="1"/>
  <c r="AK130" i="5"/>
  <c r="AK115" i="5"/>
  <c r="AH68" i="7"/>
  <c r="AB289" i="4"/>
  <c r="AH69" i="7" s="1"/>
  <c r="AP535" i="4"/>
  <c r="AP555" i="4" s="1"/>
  <c r="AG124" i="4"/>
  <c r="AP547" i="4"/>
  <c r="AE119" i="4"/>
  <c r="AO44" i="2"/>
  <c r="AI250" i="4"/>
  <c r="AI166" i="4" s="1"/>
  <c r="AI284" i="4"/>
  <c r="AI280" i="4"/>
  <c r="AI282" i="4" s="1"/>
  <c r="AP534" i="4"/>
  <c r="AP554" i="4" s="1"/>
  <c r="AP539" i="4"/>
  <c r="AP559" i="4" s="1"/>
  <c r="AH260" i="4"/>
  <c r="AH265" i="4"/>
  <c r="AH245" i="4"/>
  <c r="AH246" i="4" s="1"/>
  <c r="AJ248" i="4"/>
  <c r="AH238" i="4"/>
  <c r="AH179" i="4"/>
  <c r="AI82" i="2"/>
  <c r="AH217" i="4"/>
  <c r="AI217" i="4" s="1"/>
  <c r="AG270" i="4"/>
  <c r="AG155" i="4" s="1"/>
  <c r="AG145" i="4"/>
  <c r="AL40" i="5"/>
  <c r="AL39" i="5"/>
  <c r="AL38" i="5"/>
  <c r="AG107" i="4"/>
  <c r="AG123" i="4"/>
  <c r="AG269" i="4"/>
  <c r="AG133" i="4" s="1"/>
  <c r="AM48" i="5"/>
  <c r="AM44" i="5"/>
  <c r="AM45" i="5"/>
  <c r="AM46" i="5"/>
  <c r="AM42" i="5"/>
  <c r="AM41" i="5"/>
  <c r="AM47" i="5"/>
  <c r="AM49" i="5"/>
  <c r="AM43" i="5"/>
  <c r="AI306" i="4"/>
  <c r="AH219" i="4"/>
  <c r="AI219" i="4" s="1"/>
  <c r="AI249" i="4"/>
  <c r="AH266" i="4"/>
  <c r="AH88" i="4"/>
  <c r="AJ206" i="4"/>
  <c r="AJ165" i="4" s="1"/>
  <c r="AH221" i="4"/>
  <c r="AI221" i="4" s="1"/>
  <c r="AN6" i="14"/>
  <c r="AO258" i="4"/>
  <c r="AB64" i="2"/>
  <c r="BC65" i="2"/>
  <c r="D68" i="7" s="1"/>
  <c r="AG180" i="4"/>
  <c r="AH318" i="4"/>
  <c r="AH320" i="4"/>
  <c r="AO565" i="4"/>
  <c r="AR32" i="2"/>
  <c r="AR52" i="2" s="1"/>
  <c r="AR50" i="2"/>
  <c r="AS29" i="2"/>
  <c r="AI314" i="4"/>
  <c r="AI319" i="4"/>
  <c r="AI321" i="4"/>
  <c r="AJ313" i="4"/>
  <c r="AK315" i="4" s="1"/>
  <c r="AI285" i="4"/>
  <c r="AI281" i="4"/>
  <c r="AD292" i="4"/>
  <c r="AD293" i="4" s="1"/>
  <c r="AD287" i="4"/>
  <c r="AE56" i="4"/>
  <c r="AF57" i="4"/>
  <c r="AH213" i="4"/>
  <c r="AH132" i="4" s="1"/>
  <c r="AH122" i="4"/>
  <c r="AH298" i="4"/>
  <c r="AP9" i="7"/>
  <c r="AG302" i="4"/>
  <c r="AG156" i="4" s="1"/>
  <c r="AG146" i="4"/>
  <c r="AL14" i="14"/>
  <c r="AC254" i="4"/>
  <c r="AN563" i="4"/>
  <c r="AN562" i="4" s="1"/>
  <c r="AN552" i="4"/>
  <c r="AI34" i="2"/>
  <c r="AF125" i="4"/>
  <c r="AF121" i="4" s="1"/>
  <c r="AF334" i="4"/>
  <c r="AF135" i="4" s="1"/>
  <c r="AF131" i="4" s="1"/>
  <c r="AP67" i="2" s="1"/>
  <c r="AR8" i="7" s="1"/>
  <c r="AR13" i="7" s="1"/>
  <c r="AB117" i="4"/>
  <c r="AL46" i="2" s="1"/>
  <c r="AB163" i="4"/>
  <c r="AF141" i="4" l="1"/>
  <c r="AP45" i="2"/>
  <c r="AR44" i="7"/>
  <c r="AR21" i="7"/>
  <c r="AR9" i="7"/>
  <c r="AF119" i="4"/>
  <c r="AP44" i="2"/>
  <c r="AP558" i="4"/>
  <c r="AG175" i="4"/>
  <c r="AD89" i="4"/>
  <c r="AD288" i="4"/>
  <c r="AH322" i="4"/>
  <c r="AH323" i="4" s="1"/>
  <c r="AH330" i="4"/>
  <c r="AH311" i="4"/>
  <c r="AH182" i="4"/>
  <c r="AH98" i="4"/>
  <c r="AH108" i="4" s="1"/>
  <c r="AR7" i="2"/>
  <c r="AC117" i="4"/>
  <c r="AM46" i="2" s="1"/>
  <c r="AC163" i="4"/>
  <c r="AJ243" i="4"/>
  <c r="AJ244" i="4"/>
  <c r="AJ242" i="4"/>
  <c r="AK240" i="4"/>
  <c r="AT79" i="2"/>
  <c r="AD66" i="2"/>
  <c r="AE41" i="2"/>
  <c r="AE58" i="2" s="1"/>
  <c r="AJ284" i="4"/>
  <c r="AJ280" i="4"/>
  <c r="AJ232" i="4"/>
  <c r="AJ201" i="4"/>
  <c r="AJ202" i="4" s="1"/>
  <c r="AJ234" i="4"/>
  <c r="AJ218" i="4" s="1"/>
  <c r="AJ196" i="4"/>
  <c r="AJ209" i="4"/>
  <c r="AL204" i="4"/>
  <c r="AJ178" i="4"/>
  <c r="AJ231" i="4"/>
  <c r="AJ219" i="4" s="1"/>
  <c r="AJ233" i="4"/>
  <c r="AJ235" i="4"/>
  <c r="AI220" i="4"/>
  <c r="AJ220" i="4" s="1"/>
  <c r="AL12" i="14"/>
  <c r="AL5" i="14" s="1"/>
  <c r="AL22" i="14" s="1"/>
  <c r="AL23" i="14" s="1"/>
  <c r="AN20" i="2"/>
  <c r="BD24" i="2"/>
  <c r="AQ68" i="2"/>
  <c r="AK248" i="4"/>
  <c r="AI245" i="4"/>
  <c r="AI246" i="4" s="1"/>
  <c r="AI238" i="4"/>
  <c r="AI260" i="4"/>
  <c r="AI179" i="4"/>
  <c r="AI180" i="4" s="1"/>
  <c r="AI265" i="4"/>
  <c r="AB109" i="4"/>
  <c r="AB96" i="4"/>
  <c r="AB106" i="4" s="1"/>
  <c r="AG334" i="4"/>
  <c r="AG135" i="4" s="1"/>
  <c r="AG131" i="4" s="1"/>
  <c r="AQ67" i="2" s="1"/>
  <c r="AS8" i="7" s="1"/>
  <c r="AG125" i="4"/>
  <c r="AG121" i="4" s="1"/>
  <c r="AN10" i="7"/>
  <c r="AL18" i="2"/>
  <c r="AL26" i="2"/>
  <c r="AE7" i="7"/>
  <c r="AE20" i="7" s="1"/>
  <c r="AE42" i="7" s="1"/>
  <c r="AC65" i="2"/>
  <c r="AC64" i="2" s="1"/>
  <c r="AC81" i="2" s="1"/>
  <c r="AC77" i="2" s="1"/>
  <c r="AC85" i="2" s="1"/>
  <c r="AM11" i="7"/>
  <c r="AM43" i="7" s="1"/>
  <c r="AK27" i="2"/>
  <c r="AK30" i="2"/>
  <c r="AK48" i="2" s="1"/>
  <c r="AQ72" i="2"/>
  <c r="AH107" i="4"/>
  <c r="AJ325" i="4"/>
  <c r="AM14" i="14"/>
  <c r="AD254" i="4"/>
  <c r="AH302" i="4"/>
  <c r="AH156" i="4" s="1"/>
  <c r="AH146" i="4"/>
  <c r="AM39" i="5"/>
  <c r="AM38" i="5"/>
  <c r="AM40" i="5"/>
  <c r="AI297" i="4"/>
  <c r="AI273" i="4"/>
  <c r="AI181" i="4"/>
  <c r="AS32" i="2"/>
  <c r="AS52" i="2" s="1"/>
  <c r="AT29" i="2"/>
  <c r="AS50" i="2"/>
  <c r="AJ221" i="4"/>
  <c r="AP540" i="4"/>
  <c r="AP560" i="4" s="1"/>
  <c r="AP565" i="4" s="1"/>
  <c r="AR75" i="2"/>
  <c r="AO558" i="4"/>
  <c r="AO557" i="4" s="1"/>
  <c r="AO567" i="4" s="1"/>
  <c r="AO569" i="4" s="1"/>
  <c r="AO169" i="4" s="1"/>
  <c r="AO537" i="4"/>
  <c r="AI213" i="4"/>
  <c r="AI132" i="4" s="1"/>
  <c r="AI122" i="4"/>
  <c r="AN15" i="2"/>
  <c r="AM17" i="2"/>
  <c r="AP276" i="4"/>
  <c r="AK277" i="4"/>
  <c r="AK305" i="4"/>
  <c r="AK278" i="4"/>
  <c r="AL275" i="4"/>
  <c r="AH180" i="4"/>
  <c r="AI298" i="4"/>
  <c r="AQ80" i="2"/>
  <c r="AJ249" i="4"/>
  <c r="AJ250" i="4" s="1"/>
  <c r="AJ166" i="4" s="1"/>
  <c r="AI266" i="4"/>
  <c r="AI88" i="4"/>
  <c r="AI68" i="7"/>
  <c r="AC289" i="4"/>
  <c r="AI69" i="7" s="1"/>
  <c r="AN49" i="5"/>
  <c r="AN41" i="5"/>
  <c r="AN43" i="5"/>
  <c r="AN48" i="5"/>
  <c r="AN44" i="5"/>
  <c r="AN42" i="5"/>
  <c r="AN47" i="5"/>
  <c r="AN46" i="5"/>
  <c r="AN45" i="5"/>
  <c r="AJ306" i="4"/>
  <c r="AQ9" i="7"/>
  <c r="AC85" i="4"/>
  <c r="AM20" i="14" s="1"/>
  <c r="AC99" i="4"/>
  <c r="AO563" i="4"/>
  <c r="AO562" i="4" s="1"/>
  <c r="AO552" i="4"/>
  <c r="AJ281" i="4"/>
  <c r="AJ285" i="4"/>
  <c r="E8" i="7"/>
  <c r="L16" i="7" s="1"/>
  <c r="AH124" i="4"/>
  <c r="AH301" i="4"/>
  <c r="AH134" i="4" s="1"/>
  <c r="AJ67" i="7"/>
  <c r="AD167" i="4"/>
  <c r="AJ217" i="4"/>
  <c r="AH123" i="4"/>
  <c r="AH269" i="4"/>
  <c r="AH133" i="4" s="1"/>
  <c r="AM183" i="4"/>
  <c r="AM101" i="4" s="1"/>
  <c r="AM111" i="4" s="1"/>
  <c r="AM188" i="4"/>
  <c r="AW10" i="2" s="1"/>
  <c r="AI43" i="2"/>
  <c r="AI83" i="2" s="1"/>
  <c r="AI35" i="2"/>
  <c r="AK117" i="5"/>
  <c r="AK116" i="5"/>
  <c r="AK118" i="5"/>
  <c r="AK121" i="5" s="1"/>
  <c r="AG74" i="4" s="1"/>
  <c r="AP21" i="7"/>
  <c r="AP44" i="7"/>
  <c r="AR8" i="2"/>
  <c r="AJ319" i="4"/>
  <c r="AK313" i="4"/>
  <c r="AJ321" i="4"/>
  <c r="AJ314" i="4"/>
  <c r="AH74" i="2"/>
  <c r="AG71" i="2"/>
  <c r="AG70" i="2" s="1"/>
  <c r="AH145" i="4"/>
  <c r="AH270" i="4"/>
  <c r="AH155" i="4" s="1"/>
  <c r="AK144" i="5"/>
  <c r="AK135" i="5"/>
  <c r="AK133" i="5"/>
  <c r="BG91" i="4"/>
  <c r="AI97" i="4"/>
  <c r="AS6" i="2"/>
  <c r="AJ149" i="5"/>
  <c r="AF80" i="4"/>
  <c r="AF286" i="4" s="1"/>
  <c r="AJ147" i="5"/>
  <c r="AK199" i="4"/>
  <c r="AL198" i="4"/>
  <c r="AK200" i="4"/>
  <c r="AJ34" i="2"/>
  <c r="AM13" i="14"/>
  <c r="AM12" i="14" s="1"/>
  <c r="AM5" i="14" s="1"/>
  <c r="AM22" i="14" s="1"/>
  <c r="AM23" i="14" s="1"/>
  <c r="AD253" i="4"/>
  <c r="AC252" i="4"/>
  <c r="AB81" i="2"/>
  <c r="AB77" i="2" s="1"/>
  <c r="BC64" i="2"/>
  <c r="D67" i="7" s="1"/>
  <c r="K32" i="7" s="1"/>
  <c r="I24" i="1" s="1"/>
  <c r="AJ82" i="2"/>
  <c r="AH261" i="4"/>
  <c r="AH262" i="4"/>
  <c r="AP532" i="4"/>
  <c r="AP553" i="4"/>
  <c r="AS31" i="2"/>
  <c r="AR51" i="2"/>
  <c r="AF56" i="4"/>
  <c r="AG57" i="4"/>
  <c r="AK325" i="4"/>
  <c r="AP258" i="4"/>
  <c r="AG147" i="4"/>
  <c r="AG143" i="4" s="1"/>
  <c r="AG335" i="4"/>
  <c r="AG157" i="4" s="1"/>
  <c r="AG153" i="4" s="1"/>
  <c r="AQ73" i="2" s="1"/>
  <c r="AS12" i="7" s="1"/>
  <c r="AN521" i="4"/>
  <c r="AN577" i="4"/>
  <c r="AO24" i="2"/>
  <c r="AE20" i="4"/>
  <c r="AE22" i="4" s="1"/>
  <c r="AE23" i="4" s="1"/>
  <c r="AO47" i="2" s="1"/>
  <c r="AI320" i="4"/>
  <c r="AI318" i="4"/>
  <c r="AH331" i="4"/>
  <c r="AH90" i="4"/>
  <c r="AL130" i="5"/>
  <c r="AL115" i="5"/>
  <c r="AP564" i="4"/>
  <c r="AE292" i="4"/>
  <c r="AE293" i="4" s="1"/>
  <c r="AE287" i="4"/>
  <c r="AI326" i="4"/>
  <c r="AI327" i="4" s="1"/>
  <c r="AI168" i="4" s="1"/>
  <c r="AG100" i="4"/>
  <c r="AG110" i="4" s="1"/>
  <c r="AQ9" i="2"/>
  <c r="AQ5" i="2" s="1"/>
  <c r="AK204" i="4"/>
  <c r="AJ210" i="4"/>
  <c r="AJ144" i="4"/>
  <c r="AK205" i="4"/>
  <c r="AJ87" i="4"/>
  <c r="AJ214" i="4"/>
  <c r="AJ154" i="4" s="1"/>
  <c r="AG119" i="4" l="1"/>
  <c r="AQ44" i="2"/>
  <c r="AG141" i="4"/>
  <c r="AQ45" i="2"/>
  <c r="AH131" i="4"/>
  <c r="AR67" i="2" s="1"/>
  <c r="AT8" i="7" s="1"/>
  <c r="AK219" i="4"/>
  <c r="AS9" i="7"/>
  <c r="AH121" i="4"/>
  <c r="AI330" i="4"/>
  <c r="AI182" i="4"/>
  <c r="AI322" i="4"/>
  <c r="AI323" i="4" s="1"/>
  <c r="AI311" i="4"/>
  <c r="AP24" i="2"/>
  <c r="AP20" i="2" s="1"/>
  <c r="AF20" i="4"/>
  <c r="AF22" i="4" s="1"/>
  <c r="AF23" i="4" s="1"/>
  <c r="AP47" i="2" s="1"/>
  <c r="AK210" i="4"/>
  <c r="AL205" i="4"/>
  <c r="AK214" i="4"/>
  <c r="AK154" i="4" s="1"/>
  <c r="AK144" i="4"/>
  <c r="AK87" i="4"/>
  <c r="AI107" i="4"/>
  <c r="AI270" i="4"/>
  <c r="AI155" i="4" s="1"/>
  <c r="AI145" i="4"/>
  <c r="AH175" i="4"/>
  <c r="AO15" i="2"/>
  <c r="BD15" i="2"/>
  <c r="AN17" i="2"/>
  <c r="AS8" i="2"/>
  <c r="AK34" i="2"/>
  <c r="AI261" i="4"/>
  <c r="AI262" i="4"/>
  <c r="AJ122" i="4"/>
  <c r="AJ213" i="4"/>
  <c r="AJ132" i="4" s="1"/>
  <c r="AF7" i="7"/>
  <c r="AF20" i="7" s="1"/>
  <c r="AF42" i="7" s="1"/>
  <c r="AD65" i="2"/>
  <c r="AD64" i="2" s="1"/>
  <c r="AD81" i="2" s="1"/>
  <c r="AD77" i="2" s="1"/>
  <c r="AD85" i="2" s="1"/>
  <c r="AP537" i="4"/>
  <c r="AN188" i="4"/>
  <c r="AX10" i="2" s="1"/>
  <c r="AN183" i="4"/>
  <c r="AN101" i="4" s="1"/>
  <c r="AN111" i="4" s="1"/>
  <c r="E27" i="7"/>
  <c r="L24" i="7" s="1"/>
  <c r="J19" i="1" s="1"/>
  <c r="BD20" i="2"/>
  <c r="E23" i="7" s="1"/>
  <c r="L25" i="7" s="1"/>
  <c r="J15" i="1" s="1"/>
  <c r="AJ97" i="4"/>
  <c r="AT6" i="2"/>
  <c r="AR72" i="2"/>
  <c r="AP557" i="4"/>
  <c r="AP567" i="4" s="1"/>
  <c r="AP569" i="4" s="1"/>
  <c r="AP169" i="4" s="1"/>
  <c r="AE89" i="4"/>
  <c r="AE288" i="4"/>
  <c r="AI331" i="4"/>
  <c r="AI90" i="4"/>
  <c r="AL200" i="4"/>
  <c r="AM198" i="4"/>
  <c r="AL199" i="4"/>
  <c r="AI74" i="2"/>
  <c r="AH71" i="2"/>
  <c r="AH70" i="2" s="1"/>
  <c r="AL278" i="4"/>
  <c r="AL305" i="4"/>
  <c r="AM275" i="4"/>
  <c r="AL277" i="4"/>
  <c r="AN14" i="14"/>
  <c r="AE254" i="4"/>
  <c r="AF254" i="4" s="1"/>
  <c r="AG254" i="4" s="1"/>
  <c r="AH254" i="4" s="1"/>
  <c r="AI254" i="4" s="1"/>
  <c r="AU79" i="2"/>
  <c r="AH334" i="4"/>
  <c r="AH135" i="4" s="1"/>
  <c r="AH125" i="4"/>
  <c r="AO521" i="4"/>
  <c r="AO577" i="4"/>
  <c r="AI302" i="4"/>
  <c r="AI156" i="4" s="1"/>
  <c r="AI146" i="4"/>
  <c r="AI269" i="4"/>
  <c r="AI133" i="4" s="1"/>
  <c r="AI123" i="4"/>
  <c r="AH100" i="4"/>
  <c r="AH110" i="4" s="1"/>
  <c r="AR9" i="2"/>
  <c r="AK67" i="7"/>
  <c r="AE167" i="4"/>
  <c r="AT31" i="2"/>
  <c r="AS51" i="2"/>
  <c r="BC77" i="2"/>
  <c r="D80" i="7" s="1"/>
  <c r="K39" i="7" s="1"/>
  <c r="I31" i="1" s="1"/>
  <c r="AB85" i="2"/>
  <c r="BC85" i="2" s="1"/>
  <c r="D88" i="7" s="1"/>
  <c r="K41" i="7" s="1"/>
  <c r="I32" i="1" s="1"/>
  <c r="AK233" i="4"/>
  <c r="AK217" i="4" s="1"/>
  <c r="AK235" i="4"/>
  <c r="AK231" i="4"/>
  <c r="AK201" i="4"/>
  <c r="AK202" i="4" s="1"/>
  <c r="AK234" i="4"/>
  <c r="AK218" i="4" s="1"/>
  <c r="AK209" i="4"/>
  <c r="AK196" i="4"/>
  <c r="AK232" i="4"/>
  <c r="AK221" i="4" s="1"/>
  <c r="AK178" i="4"/>
  <c r="AD163" i="4"/>
  <c r="AD117" i="4"/>
  <c r="AN46" i="2" s="1"/>
  <c r="BD46" i="2" s="1"/>
  <c r="E49" i="7" s="1"/>
  <c r="L46" i="7"/>
  <c r="J3" i="1"/>
  <c r="AK285" i="4"/>
  <c r="AK281" i="4"/>
  <c r="AS13" i="7"/>
  <c r="AK220" i="4"/>
  <c r="AH335" i="4"/>
  <c r="AH157" i="4" s="1"/>
  <c r="AH153" i="4" s="1"/>
  <c r="AR73" i="2" s="1"/>
  <c r="AT12" i="7" s="1"/>
  <c r="AH147" i="4"/>
  <c r="AH143" i="4" s="1"/>
  <c r="AJ43" i="2"/>
  <c r="AJ83" i="2" s="1"/>
  <c r="AK82" i="2" s="1"/>
  <c r="AJ35" i="2"/>
  <c r="AK319" i="4"/>
  <c r="AK321" i="4"/>
  <c r="AL313" i="4"/>
  <c r="AK314" i="4"/>
  <c r="AO10" i="7"/>
  <c r="AM18" i="2"/>
  <c r="AM26" i="2"/>
  <c r="AL206" i="4"/>
  <c r="AL165" i="4" s="1"/>
  <c r="AJ88" i="4"/>
  <c r="AK249" i="4"/>
  <c r="AJ266" i="4"/>
  <c r="AK206" i="4"/>
  <c r="AK165" i="4" s="1"/>
  <c r="AO20" i="2"/>
  <c r="AP552" i="4"/>
  <c r="AP563" i="4"/>
  <c r="AP562" i="4" s="1"/>
  <c r="AJ326" i="4"/>
  <c r="AJ298" i="4"/>
  <c r="AN40" i="5"/>
  <c r="AN38" i="5"/>
  <c r="AN39" i="5"/>
  <c r="AR80" i="2"/>
  <c r="AO42" i="5"/>
  <c r="AO46" i="5"/>
  <c r="AO41" i="5"/>
  <c r="AO43" i="5"/>
  <c r="AO49" i="5"/>
  <c r="AO44" i="5"/>
  <c r="AO47" i="5"/>
  <c r="AO45" i="5"/>
  <c r="AO48" i="5"/>
  <c r="AK306" i="4"/>
  <c r="AI124" i="4"/>
  <c r="AI301" i="4"/>
  <c r="AI134" i="4" s="1"/>
  <c r="AJ327" i="4"/>
  <c r="AJ168" i="4" s="1"/>
  <c r="AK250" i="4"/>
  <c r="AK166" i="4" s="1"/>
  <c r="AJ68" i="7"/>
  <c r="AD289" i="4"/>
  <c r="AJ69" i="7" s="1"/>
  <c r="AN11" i="7"/>
  <c r="AN43" i="7" s="1"/>
  <c r="AL30" i="2"/>
  <c r="AL48" i="2" s="1"/>
  <c r="AL27" i="2"/>
  <c r="AG56" i="4"/>
  <c r="AH57" i="4"/>
  <c r="AC109" i="4"/>
  <c r="AC96" i="4"/>
  <c r="AC106" i="4" s="1"/>
  <c r="AI98" i="4"/>
  <c r="AI108" i="4" s="1"/>
  <c r="AS7" i="2"/>
  <c r="AE66" i="2"/>
  <c r="AF41" i="2"/>
  <c r="AF58" i="2" s="1"/>
  <c r="AL117" i="5"/>
  <c r="AL116" i="5"/>
  <c r="AL118" i="5" s="1"/>
  <c r="AL121" i="5" s="1"/>
  <c r="AH74" i="4" s="1"/>
  <c r="AK284" i="4"/>
  <c r="AK280" i="4"/>
  <c r="AR68" i="2"/>
  <c r="AS68" i="2" s="1"/>
  <c r="AL240" i="4"/>
  <c r="AK242" i="4"/>
  <c r="AK243" i="4"/>
  <c r="AK244" i="4"/>
  <c r="BF89" i="4"/>
  <c r="AD85" i="4"/>
  <c r="AN20" i="14" s="1"/>
  <c r="AD99" i="4"/>
  <c r="AL144" i="5"/>
  <c r="AL135" i="5"/>
  <c r="AL133" i="5"/>
  <c r="AN13" i="14"/>
  <c r="AN12" i="14" s="1"/>
  <c r="AN5" i="14" s="1"/>
  <c r="AN22" i="14" s="1"/>
  <c r="AN23" i="14" s="1"/>
  <c r="AE253" i="4"/>
  <c r="AD252" i="4"/>
  <c r="AF292" i="4"/>
  <c r="AF293" i="4" s="1"/>
  <c r="AF287" i="4"/>
  <c r="AG80" i="4"/>
  <c r="AG286" i="4" s="1"/>
  <c r="AK149" i="5"/>
  <c r="AK147" i="5"/>
  <c r="AJ318" i="4"/>
  <c r="AJ320" i="4"/>
  <c r="AK326" i="4" s="1"/>
  <c r="AK327" i="4" s="1"/>
  <c r="AK168" i="4" s="1"/>
  <c r="AS75" i="2"/>
  <c r="AT75" i="2" s="1"/>
  <c r="AU29" i="2"/>
  <c r="AT32" i="2"/>
  <c r="AT52" i="2" s="1"/>
  <c r="AT50" i="2"/>
  <c r="AM130" i="5"/>
  <c r="AM115" i="5"/>
  <c r="AJ282" i="4"/>
  <c r="AJ245" i="4"/>
  <c r="AJ246" i="4" s="1"/>
  <c r="AJ260" i="4"/>
  <c r="AL248" i="4"/>
  <c r="AJ179" i="4"/>
  <c r="AJ180" i="4" s="1"/>
  <c r="AJ238" i="4"/>
  <c r="AJ265" i="4"/>
  <c r="AL315" i="4"/>
  <c r="AM315" i="4" s="1"/>
  <c r="AH141" i="4" l="1"/>
  <c r="AR45" i="2"/>
  <c r="AJ269" i="4"/>
  <c r="AJ133" i="4" s="1"/>
  <c r="AJ123" i="4"/>
  <c r="AL249" i="4"/>
  <c r="AK266" i="4"/>
  <c r="AK88" i="4"/>
  <c r="E18" i="7"/>
  <c r="L17" i="7" s="1"/>
  <c r="J11" i="1" s="1"/>
  <c r="BD17" i="2"/>
  <c r="AJ297" i="4"/>
  <c r="AJ181" i="4"/>
  <c r="AJ273" i="4"/>
  <c r="AJ322" i="4"/>
  <c r="AJ323" i="4" s="1"/>
  <c r="AJ311" i="4"/>
  <c r="AJ182" i="4"/>
  <c r="AJ330" i="4"/>
  <c r="BF85" i="4"/>
  <c r="BF99" i="4"/>
  <c r="AG7" i="7"/>
  <c r="AG20" i="7" s="1"/>
  <c r="AG42" i="7" s="1"/>
  <c r="AE65" i="2"/>
  <c r="AE64" i="2" s="1"/>
  <c r="AE81" i="2" s="1"/>
  <c r="AE77" i="2" s="1"/>
  <c r="AE85" i="2" s="1"/>
  <c r="AL34" i="2"/>
  <c r="AK97" i="4"/>
  <c r="AU6" i="2"/>
  <c r="AJ74" i="2"/>
  <c r="AI71" i="2"/>
  <c r="AI70" i="2" s="1"/>
  <c r="AL325" i="4"/>
  <c r="AR5" i="2"/>
  <c r="AO11" i="7"/>
  <c r="AO43" i="7" s="1"/>
  <c r="AM34" i="2"/>
  <c r="AM27" i="2"/>
  <c r="AM30" i="2"/>
  <c r="AM48" i="2" s="1"/>
  <c r="AO183" i="4"/>
  <c r="AO101" i="4" s="1"/>
  <c r="AO111" i="4" s="1"/>
  <c r="AO188" i="4"/>
  <c r="AY10" i="2" s="1"/>
  <c r="AM117" i="5"/>
  <c r="AM116" i="5"/>
  <c r="AM118" i="5" s="1"/>
  <c r="AM121" i="5" s="1"/>
  <c r="AI74" i="4" s="1"/>
  <c r="AP521" i="4"/>
  <c r="AP577" i="4"/>
  <c r="AL209" i="4"/>
  <c r="AL235" i="4"/>
  <c r="AL233" i="4"/>
  <c r="AL217" i="4" s="1"/>
  <c r="AL178" i="4"/>
  <c r="AL231" i="4"/>
  <c r="AL219" i="4" s="1"/>
  <c r="AL232" i="4"/>
  <c r="AL221" i="4" s="1"/>
  <c r="AL201" i="4"/>
  <c r="AL202" i="4" s="1"/>
  <c r="AN204" i="4"/>
  <c r="AL234" i="4"/>
  <c r="AL218" i="4" s="1"/>
  <c r="AL196" i="4"/>
  <c r="AP10" i="7"/>
  <c r="AN26" i="2"/>
  <c r="AN18" i="2"/>
  <c r="AT13" i="7"/>
  <c r="AK298" i="4"/>
  <c r="AK213" i="4"/>
  <c r="AK132" i="4" s="1"/>
  <c r="AK122" i="4"/>
  <c r="AL284" i="4"/>
  <c r="AL280" i="4"/>
  <c r="AL214" i="4"/>
  <c r="AL154" i="4" s="1"/>
  <c r="AL210" i="4"/>
  <c r="AM205" i="4"/>
  <c r="AL144" i="4"/>
  <c r="AL87" i="4"/>
  <c r="AP15" i="2"/>
  <c r="AO17" i="2"/>
  <c r="AN198" i="4"/>
  <c r="AM199" i="4"/>
  <c r="AM200" i="4"/>
  <c r="AH119" i="4"/>
  <c r="AR44" i="2"/>
  <c r="AM248" i="4"/>
  <c r="AK245" i="4"/>
  <c r="AK246" i="4" s="1"/>
  <c r="AK179" i="4"/>
  <c r="AK260" i="4"/>
  <c r="AK238" i="4"/>
  <c r="AK265" i="4"/>
  <c r="AJ98" i="4"/>
  <c r="AJ108" i="4" s="1"/>
  <c r="AT7" i="2"/>
  <c r="AF89" i="4"/>
  <c r="AF288" i="4"/>
  <c r="AH80" i="4"/>
  <c r="AH286" i="4" s="1"/>
  <c r="AL149" i="5"/>
  <c r="AL147" i="5"/>
  <c r="AL242" i="4"/>
  <c r="AL243" i="4"/>
  <c r="AL244" i="4"/>
  <c r="AM240" i="4"/>
  <c r="AN130" i="5"/>
  <c r="AN115" i="5"/>
  <c r="AM305" i="4"/>
  <c r="AM278" i="4"/>
  <c r="AN275" i="4"/>
  <c r="AM277" i="4"/>
  <c r="AS80" i="2"/>
  <c r="AG292" i="4"/>
  <c r="AG293" i="4" s="1"/>
  <c r="AG287" i="4"/>
  <c r="AL250" i="4"/>
  <c r="AL166" i="4" s="1"/>
  <c r="AV29" i="2"/>
  <c r="AU32" i="2"/>
  <c r="AU52" i="2" s="1"/>
  <c r="AU50" i="2"/>
  <c r="AL67" i="7"/>
  <c r="AF167" i="4"/>
  <c r="AI57" i="4"/>
  <c r="AH56" i="4"/>
  <c r="AK320" i="4"/>
  <c r="AK318" i="4"/>
  <c r="AU31" i="2"/>
  <c r="AT51" i="2"/>
  <c r="AT68" i="2" s="1"/>
  <c r="AP43" i="5"/>
  <c r="AP49" i="5"/>
  <c r="AP48" i="5"/>
  <c r="AP45" i="5"/>
  <c r="AP44" i="5"/>
  <c r="AP42" i="5"/>
  <c r="AP41" i="5"/>
  <c r="AP47" i="5"/>
  <c r="AP46" i="5"/>
  <c r="AL306" i="4"/>
  <c r="AI335" i="4"/>
  <c r="AI157" i="4" s="1"/>
  <c r="AI153" i="4" s="1"/>
  <c r="AS73" i="2" s="1"/>
  <c r="AU12" i="7" s="1"/>
  <c r="AI147" i="4"/>
  <c r="AI143" i="4" s="1"/>
  <c r="AK35" i="2"/>
  <c r="AK43" i="2"/>
  <c r="AK83" i="2" s="1"/>
  <c r="AL82" i="2" s="1"/>
  <c r="AI100" i="4"/>
  <c r="AI110" i="4" s="1"/>
  <c r="AS9" i="2"/>
  <c r="AS5" i="2" s="1"/>
  <c r="AM144" i="5"/>
  <c r="AM135" i="5"/>
  <c r="AM133" i="5"/>
  <c r="AS72" i="2"/>
  <c r="AJ261" i="4"/>
  <c r="AJ262" i="4"/>
  <c r="AJ254" i="4" s="1"/>
  <c r="AU75" i="2"/>
  <c r="AD109" i="4"/>
  <c r="AD96" i="4"/>
  <c r="AD106" i="4" s="1"/>
  <c r="AK282" i="4"/>
  <c r="AQ24" i="2"/>
  <c r="AQ20" i="2" s="1"/>
  <c r="AG20" i="4"/>
  <c r="AG22" i="4" s="1"/>
  <c r="AG23" i="4" s="1"/>
  <c r="AQ47" i="2" s="1"/>
  <c r="AJ270" i="4"/>
  <c r="AJ155" i="4" s="1"/>
  <c r="AJ145" i="4"/>
  <c r="AL220" i="4"/>
  <c r="AM204" i="4"/>
  <c r="AM206" i="4" s="1"/>
  <c r="AM165" i="4" s="1"/>
  <c r="AV79" i="2"/>
  <c r="AL285" i="4"/>
  <c r="AL281" i="4"/>
  <c r="AK68" i="7"/>
  <c r="AE289" i="4"/>
  <c r="AK69" i="7" s="1"/>
  <c r="AI334" i="4"/>
  <c r="AI135" i="4" s="1"/>
  <c r="AI131" i="4" s="1"/>
  <c r="AS67" i="2" s="1"/>
  <c r="AU8" i="7" s="1"/>
  <c r="AI125" i="4"/>
  <c r="AI121" i="4" s="1"/>
  <c r="AL321" i="4"/>
  <c r="AL314" i="4"/>
  <c r="AM313" i="4"/>
  <c r="AL319" i="4"/>
  <c r="AJ331" i="4"/>
  <c r="AJ90" i="4"/>
  <c r="AE252" i="4"/>
  <c r="AF253" i="4"/>
  <c r="AG41" i="2"/>
  <c r="AG58" i="2" s="1"/>
  <c r="AF66" i="2"/>
  <c r="AO38" i="5"/>
  <c r="AO39" i="5"/>
  <c r="AO40" i="5"/>
  <c r="AJ302" i="4"/>
  <c r="AJ156" i="4" s="1"/>
  <c r="AJ146" i="4"/>
  <c r="AL326" i="4"/>
  <c r="AS44" i="7"/>
  <c r="AS21" i="7"/>
  <c r="AE117" i="4"/>
  <c r="AO46" i="2" s="1"/>
  <c r="AE163" i="4"/>
  <c r="AE99" i="4"/>
  <c r="AE85" i="4"/>
  <c r="AJ107" i="4"/>
  <c r="AI175" i="4"/>
  <c r="AI141" i="4" l="1"/>
  <c r="AS45" i="2"/>
  <c r="AU9" i="7"/>
  <c r="AU68" i="2"/>
  <c r="AH7" i="7"/>
  <c r="AH20" i="7" s="1"/>
  <c r="AH42" i="7" s="1"/>
  <c r="AF65" i="2"/>
  <c r="AF64" i="2" s="1"/>
  <c r="AF81" i="2" s="1"/>
  <c r="AF77" i="2" s="1"/>
  <c r="AF85" i="2" s="1"/>
  <c r="AM321" i="4"/>
  <c r="AM314" i="4"/>
  <c r="AN313" i="4"/>
  <c r="AM319" i="4"/>
  <c r="AG253" i="4"/>
  <c r="AF252" i="4"/>
  <c r="AL298" i="4"/>
  <c r="AT72" i="2"/>
  <c r="AV31" i="2"/>
  <c r="AU51" i="2"/>
  <c r="AF117" i="4"/>
  <c r="AP46" i="2" s="1"/>
  <c r="AF163" i="4"/>
  <c r="AN116" i="5"/>
  <c r="AN117" i="5"/>
  <c r="AN118" i="5" s="1"/>
  <c r="AN121" i="5" s="1"/>
  <c r="AJ74" i="4" s="1"/>
  <c r="AH292" i="4"/>
  <c r="AH293" i="4" s="1"/>
  <c r="AH287" i="4"/>
  <c r="AK98" i="4"/>
  <c r="AK108" i="4" s="1"/>
  <c r="AU7" i="2"/>
  <c r="AL213" i="4"/>
  <c r="AL132" i="4" s="1"/>
  <c r="AL122" i="4"/>
  <c r="AL327" i="4"/>
  <c r="AL168" i="4" s="1"/>
  <c r="AL35" i="2"/>
  <c r="AL43" i="2"/>
  <c r="AL83" i="2" s="1"/>
  <c r="AM82" i="2" s="1"/>
  <c r="AN82" i="2" s="1"/>
  <c r="AI119" i="4"/>
  <c r="AS44" i="2"/>
  <c r="AW79" i="2"/>
  <c r="AK297" i="4"/>
  <c r="AK273" i="4"/>
  <c r="AK181" i="4"/>
  <c r="AK330" i="4"/>
  <c r="AK311" i="4"/>
  <c r="AK322" i="4"/>
  <c r="AK323" i="4" s="1"/>
  <c r="AK182" i="4"/>
  <c r="AT80" i="2"/>
  <c r="AN144" i="5"/>
  <c r="AN135" i="5"/>
  <c r="AN133" i="5"/>
  <c r="AL68" i="7"/>
  <c r="AF289" i="4"/>
  <c r="AL69" i="7" s="1"/>
  <c r="AT44" i="7"/>
  <c r="AT21" i="7"/>
  <c r="AN206" i="4"/>
  <c r="AN165" i="4" s="1"/>
  <c r="AK270" i="4"/>
  <c r="AK155" i="4" s="1"/>
  <c r="AK145" i="4"/>
  <c r="AU13" i="7"/>
  <c r="AK331" i="4"/>
  <c r="AK90" i="4"/>
  <c r="AN240" i="4"/>
  <c r="AM244" i="4"/>
  <c r="AM242" i="4"/>
  <c r="AM243" i="4"/>
  <c r="AF85" i="4"/>
  <c r="AF99" i="4"/>
  <c r="AQ10" i="7"/>
  <c r="AO18" i="2"/>
  <c r="AO26" i="2"/>
  <c r="AL282" i="4"/>
  <c r="AK74" i="2"/>
  <c r="AJ71" i="2"/>
  <c r="AJ70" i="2" s="1"/>
  <c r="AT8" i="2"/>
  <c r="AJ335" i="4"/>
  <c r="AJ157" i="4" s="1"/>
  <c r="AJ147" i="4"/>
  <c r="AJ143" i="4" s="1"/>
  <c r="AM280" i="4"/>
  <c r="AM282" i="4" s="1"/>
  <c r="AM284" i="4"/>
  <c r="AQ15" i="2"/>
  <c r="AP17" i="2"/>
  <c r="BF109" i="4"/>
  <c r="BF96" i="4"/>
  <c r="BF106" i="4" s="1"/>
  <c r="AJ124" i="4"/>
  <c r="AJ301" i="4"/>
  <c r="AJ134" i="4" s="1"/>
  <c r="AJ131" i="4" s="1"/>
  <c r="AT67" i="2" s="1"/>
  <c r="AV8" i="7" s="1"/>
  <c r="AV13" i="7" s="1"/>
  <c r="AI80" i="4"/>
  <c r="AI286" i="4" s="1"/>
  <c r="AM149" i="5"/>
  <c r="AM147" i="5"/>
  <c r="AW29" i="2"/>
  <c r="AV50" i="2"/>
  <c r="AV32" i="2"/>
  <c r="AV52" i="2" s="1"/>
  <c r="AN277" i="4"/>
  <c r="AN305" i="4"/>
  <c r="AO275" i="4"/>
  <c r="AN278" i="4"/>
  <c r="AL266" i="4"/>
  <c r="AM249" i="4"/>
  <c r="AM250" i="4" s="1"/>
  <c r="AM166" i="4" s="1"/>
  <c r="AL88" i="4"/>
  <c r="AP11" i="7"/>
  <c r="AP43" i="7" s="1"/>
  <c r="AN30" i="2"/>
  <c r="AN34" i="2" s="1"/>
  <c r="AN27" i="2"/>
  <c r="AP183" i="4"/>
  <c r="AP188" i="4"/>
  <c r="AZ10" i="2" s="1"/>
  <c r="BE10" i="2" s="1"/>
  <c r="F13" i="7" s="1"/>
  <c r="M13" i="7" s="1"/>
  <c r="K8" i="1" s="1"/>
  <c r="AM35" i="2"/>
  <c r="AM43" i="2"/>
  <c r="AM83" i="2" s="1"/>
  <c r="AE109" i="4"/>
  <c r="AE96" i="4"/>
  <c r="AE106" i="4" s="1"/>
  <c r="AO130" i="5"/>
  <c r="AO115" i="5"/>
  <c r="AV75" i="2"/>
  <c r="AP38" i="5"/>
  <c r="AP39" i="5"/>
  <c r="AP40" i="5"/>
  <c r="AR24" i="2"/>
  <c r="AR20" i="2" s="1"/>
  <c r="AH20" i="4"/>
  <c r="AH22" i="4" s="1"/>
  <c r="AH23" i="4" s="1"/>
  <c r="AR47" i="2" s="1"/>
  <c r="AL97" i="4"/>
  <c r="AV6" i="2"/>
  <c r="AK107" i="4"/>
  <c r="AJ334" i="4"/>
  <c r="AJ135" i="4" s="1"/>
  <c r="AJ125" i="4"/>
  <c r="AN315" i="4"/>
  <c r="AO315" i="4" s="1"/>
  <c r="AM285" i="4"/>
  <c r="AM281" i="4"/>
  <c r="AL245" i="4"/>
  <c r="AL246" i="4" s="1"/>
  <c r="AL260" i="4"/>
  <c r="AN248" i="4"/>
  <c r="AL265" i="4"/>
  <c r="AL238" i="4"/>
  <c r="AL179" i="4"/>
  <c r="AK269" i="4"/>
  <c r="AK133" i="4" s="1"/>
  <c r="AK123" i="4"/>
  <c r="AN205" i="4"/>
  <c r="AM214" i="4"/>
  <c r="AM154" i="4" s="1"/>
  <c r="AM144" i="4"/>
  <c r="AM87" i="4"/>
  <c r="AM210" i="4"/>
  <c r="AH41" i="2"/>
  <c r="AH58" i="2" s="1"/>
  <c r="AG66" i="2"/>
  <c r="AL318" i="4"/>
  <c r="AL320" i="4"/>
  <c r="AM326" i="4" s="1"/>
  <c r="AJ153" i="4"/>
  <c r="AT73" i="2" s="1"/>
  <c r="AV12" i="7" s="1"/>
  <c r="AJ57" i="4"/>
  <c r="AI56" i="4"/>
  <c r="AG89" i="4"/>
  <c r="AG288" i="4"/>
  <c r="AQ44" i="5"/>
  <c r="AQ48" i="5"/>
  <c r="AQ43" i="5"/>
  <c r="AQ47" i="5"/>
  <c r="AQ46" i="5"/>
  <c r="AQ42" i="5"/>
  <c r="AQ45" i="5"/>
  <c r="AQ49" i="5"/>
  <c r="AQ41" i="5"/>
  <c r="AM306" i="4"/>
  <c r="AM231" i="4"/>
  <c r="AM219" i="4" s="1"/>
  <c r="AM233" i="4"/>
  <c r="AM217" i="4" s="1"/>
  <c r="AM235" i="4"/>
  <c r="AM220" i="4" s="1"/>
  <c r="AM201" i="4"/>
  <c r="AM202" i="4" s="1"/>
  <c r="AM178" i="4"/>
  <c r="AM232" i="4"/>
  <c r="AM221" i="4" s="1"/>
  <c r="AM209" i="4"/>
  <c r="AM196" i="4"/>
  <c r="AM234" i="4"/>
  <c r="AM218" i="4" s="1"/>
  <c r="AK302" i="4"/>
  <c r="AK156" i="4" s="1"/>
  <c r="AK146" i="4"/>
  <c r="AK180" i="4"/>
  <c r="AT9" i="2"/>
  <c r="AJ100" i="4"/>
  <c r="AJ110" i="4" s="1"/>
  <c r="E20" i="7"/>
  <c r="L18" i="7" s="1"/>
  <c r="J12" i="1" s="1"/>
  <c r="BD18" i="2"/>
  <c r="E21" i="7" s="1"/>
  <c r="L19" i="7" s="1"/>
  <c r="J13" i="1" s="1"/>
  <c r="BD26" i="2"/>
  <c r="AM67" i="7"/>
  <c r="AG167" i="4"/>
  <c r="AK261" i="4"/>
  <c r="AK262" i="4"/>
  <c r="AK254" i="4" s="1"/>
  <c r="AN200" i="4"/>
  <c r="AN199" i="4"/>
  <c r="AO204" i="4" s="1"/>
  <c r="AO198" i="4"/>
  <c r="AT9" i="7"/>
  <c r="AM325" i="4"/>
  <c r="AJ175" i="4"/>
  <c r="BD82" i="2" l="1"/>
  <c r="E85" i="7" s="1"/>
  <c r="AV21" i="7"/>
  <c r="AV44" i="7"/>
  <c r="AN43" i="2"/>
  <c r="AN35" i="2"/>
  <c r="AL254" i="4"/>
  <c r="AJ141" i="4"/>
  <c r="AT45" i="2"/>
  <c r="AG85" i="4"/>
  <c r="AG99" i="4"/>
  <c r="AO118" i="5"/>
  <c r="AO121" i="5" s="1"/>
  <c r="AK74" i="4" s="1"/>
  <c r="AO116" i="5"/>
  <c r="AO117" i="5"/>
  <c r="AP101" i="4"/>
  <c r="AP111" i="4" s="1"/>
  <c r="BG183" i="4"/>
  <c r="BG101" i="4" s="1"/>
  <c r="BG111" i="4" s="1"/>
  <c r="AW50" i="2"/>
  <c r="AW32" i="2"/>
  <c r="AW52" i="2" s="1"/>
  <c r="AX29" i="2"/>
  <c r="AM297" i="4"/>
  <c r="AM273" i="4"/>
  <c r="AM181" i="4"/>
  <c r="AO144" i="5"/>
  <c r="AO135" i="5"/>
  <c r="AO133" i="5"/>
  <c r="AL270" i="4"/>
  <c r="AL155" i="4" s="1"/>
  <c r="AL145" i="4"/>
  <c r="AJ121" i="4"/>
  <c r="AL74" i="2"/>
  <c r="AK71" i="2"/>
  <c r="AK70" i="2" s="1"/>
  <c r="AN249" i="4"/>
  <c r="AM266" i="4"/>
  <c r="AM88" i="4"/>
  <c r="AK334" i="4"/>
  <c r="AK135" i="4" s="1"/>
  <c r="AK125" i="4"/>
  <c r="AH89" i="4"/>
  <c r="AH288" i="4"/>
  <c r="AV51" i="2"/>
  <c r="AV68" i="2" s="1"/>
  <c r="AW31" i="2"/>
  <c r="AK57" i="4"/>
  <c r="AJ56" i="4"/>
  <c r="AL123" i="4"/>
  <c r="AL269" i="4"/>
  <c r="AL133" i="4" s="1"/>
  <c r="AN281" i="4"/>
  <c r="AN285" i="4"/>
  <c r="AL297" i="4"/>
  <c r="AL181" i="4"/>
  <c r="AL273" i="4"/>
  <c r="AM265" i="4"/>
  <c r="AM238" i="4"/>
  <c r="AM179" i="4"/>
  <c r="AM260" i="4"/>
  <c r="AM245" i="4"/>
  <c r="AM246" i="4" s="1"/>
  <c r="AO248" i="4"/>
  <c r="AN67" i="7"/>
  <c r="AH167" i="4"/>
  <c r="AU72" i="2"/>
  <c r="AN319" i="4"/>
  <c r="AN314" i="4"/>
  <c r="AN321" i="4"/>
  <c r="AO313" i="4"/>
  <c r="AL98" i="4"/>
  <c r="AL108" i="4" s="1"/>
  <c r="AV7" i="2"/>
  <c r="AN214" i="4"/>
  <c r="AN154" i="4" s="1"/>
  <c r="AN210" i="4"/>
  <c r="AN144" i="4"/>
  <c r="AN87" i="4"/>
  <c r="AO205" i="4"/>
  <c r="AO206" i="4" s="1"/>
  <c r="AO165" i="4" s="1"/>
  <c r="AL331" i="4"/>
  <c r="AL90" i="4"/>
  <c r="AL261" i="4"/>
  <c r="AL262" i="4"/>
  <c r="AR45" i="5"/>
  <c r="AR49" i="5"/>
  <c r="AR46" i="5"/>
  <c r="AR41" i="5"/>
  <c r="AR47" i="5"/>
  <c r="AR42" i="5"/>
  <c r="AR48" i="5"/>
  <c r="AR44" i="5"/>
  <c r="AR43" i="5"/>
  <c r="AN306" i="4"/>
  <c r="AN244" i="4"/>
  <c r="AN242" i="4"/>
  <c r="AO240" i="4"/>
  <c r="AN243" i="4"/>
  <c r="AM320" i="4"/>
  <c r="AM318" i="4"/>
  <c r="AP315" i="4"/>
  <c r="AN234" i="4"/>
  <c r="AN218" i="4" s="1"/>
  <c r="AN209" i="4"/>
  <c r="AN196" i="4"/>
  <c r="AN232" i="4"/>
  <c r="AN221" i="4" s="1"/>
  <c r="AN235" i="4"/>
  <c r="AN220" i="4" s="1"/>
  <c r="AN201" i="4"/>
  <c r="AN202" i="4" s="1"/>
  <c r="AN233" i="4"/>
  <c r="AN217" i="4" s="1"/>
  <c r="AN231" i="4"/>
  <c r="AN219" i="4" s="1"/>
  <c r="AN178" i="4"/>
  <c r="AS24" i="2"/>
  <c r="AI20" i="4"/>
  <c r="AI22" i="4" s="1"/>
  <c r="AI23" i="4" s="1"/>
  <c r="AS47" i="2" s="1"/>
  <c r="AQ40" i="5"/>
  <c r="AQ38" i="5"/>
  <c r="AQ39" i="5"/>
  <c r="AL311" i="4"/>
  <c r="AL322" i="4"/>
  <c r="AL323" i="4" s="1"/>
  <c r="AL182" i="4"/>
  <c r="AL330" i="4"/>
  <c r="AN280" i="4"/>
  <c r="AN282" i="4" s="1"/>
  <c r="AN284" i="4"/>
  <c r="AR10" i="7"/>
  <c r="AP26" i="2"/>
  <c r="AP18" i="2"/>
  <c r="AU80" i="2"/>
  <c r="AK124" i="4"/>
  <c r="AK121" i="4" s="1"/>
  <c r="AK301" i="4"/>
  <c r="AK134" i="4" s="1"/>
  <c r="AK131" i="4" s="1"/>
  <c r="AU67" i="2" s="1"/>
  <c r="AW8" i="7" s="1"/>
  <c r="AL302" i="4"/>
  <c r="AL156" i="4" s="1"/>
  <c r="AL146" i="4"/>
  <c r="AN326" i="4"/>
  <c r="AN250" i="4"/>
  <c r="AN166" i="4" s="1"/>
  <c r="AN48" i="2"/>
  <c r="BD30" i="2"/>
  <c r="E33" i="7" s="1"/>
  <c r="AO278" i="4"/>
  <c r="AP275" i="4"/>
  <c r="AO277" i="4"/>
  <c r="AO305" i="4"/>
  <c r="AI292" i="4"/>
  <c r="AI293" i="4" s="1"/>
  <c r="AI287" i="4"/>
  <c r="AJ80" i="4"/>
  <c r="AJ286" i="4" s="1"/>
  <c r="AN149" i="5"/>
  <c r="AN147" i="5"/>
  <c r="AU8" i="2"/>
  <c r="AM327" i="4"/>
  <c r="AM168" i="4" s="1"/>
  <c r="AM213" i="4"/>
  <c r="AM132" i="4" s="1"/>
  <c r="AM122" i="4"/>
  <c r="AP130" i="5"/>
  <c r="AP115" i="5"/>
  <c r="AG163" i="4"/>
  <c r="AG117" i="4"/>
  <c r="AQ46" i="2" s="1"/>
  <c r="AI7" i="7"/>
  <c r="AI20" i="7" s="1"/>
  <c r="AI42" i="7" s="1"/>
  <c r="AG65" i="2"/>
  <c r="AG64" i="2" s="1"/>
  <c r="AG81" i="2" s="1"/>
  <c r="AG77" i="2" s="1"/>
  <c r="AG85" i="2" s="1"/>
  <c r="AL107" i="4"/>
  <c r="AW75" i="2"/>
  <c r="AR15" i="2"/>
  <c r="AQ17" i="2"/>
  <c r="AT5" i="2"/>
  <c r="AK335" i="4"/>
  <c r="AK157" i="4" s="1"/>
  <c r="AK153" i="4" s="1"/>
  <c r="AU73" i="2" s="1"/>
  <c r="AW12" i="7" s="1"/>
  <c r="AK147" i="4"/>
  <c r="AK143" i="4" s="1"/>
  <c r="AK100" i="4"/>
  <c r="AK110" i="4" s="1"/>
  <c r="AU9" i="2"/>
  <c r="AX79" i="2"/>
  <c r="AP198" i="4"/>
  <c r="AO199" i="4"/>
  <c r="AO200" i="4"/>
  <c r="E29" i="7"/>
  <c r="L26" i="7" s="1"/>
  <c r="BD27" i="2"/>
  <c r="E30" i="7" s="1"/>
  <c r="L27" i="7" s="1"/>
  <c r="J21" i="1" s="1"/>
  <c r="BD34" i="2"/>
  <c r="AQ11" i="7"/>
  <c r="AQ43" i="7" s="1"/>
  <c r="AO34" i="2"/>
  <c r="AO30" i="2"/>
  <c r="AO27" i="2"/>
  <c r="AK175" i="4"/>
  <c r="AM97" i="4"/>
  <c r="AM180" i="4"/>
  <c r="AW6" i="2"/>
  <c r="AM68" i="7"/>
  <c r="AG289" i="4"/>
  <c r="AM69" i="7" s="1"/>
  <c r="AI41" i="2"/>
  <c r="AI58" i="2" s="1"/>
  <c r="AH66" i="2"/>
  <c r="AM298" i="4"/>
  <c r="AL180" i="4"/>
  <c r="AL175" i="4" s="1"/>
  <c r="AN325" i="4"/>
  <c r="AN327" i="4" s="1"/>
  <c r="AN168" i="4" s="1"/>
  <c r="AF109" i="4"/>
  <c r="AF96" i="4"/>
  <c r="AF106" i="4" s="1"/>
  <c r="AU21" i="7"/>
  <c r="AU44" i="7"/>
  <c r="AG252" i="4"/>
  <c r="AH253" i="4"/>
  <c r="AK141" i="4" l="1"/>
  <c r="AU45" i="2"/>
  <c r="AI66" i="2"/>
  <c r="AJ41" i="2"/>
  <c r="AJ58" i="2" s="1"/>
  <c r="AY79" i="2"/>
  <c r="AP144" i="5"/>
  <c r="AP135" i="5"/>
  <c r="AP133" i="5"/>
  <c r="AJ292" i="4"/>
  <c r="AJ293" i="4" s="1"/>
  <c r="AJ287" i="4"/>
  <c r="BD48" i="2"/>
  <c r="E51" i="7" s="1"/>
  <c r="AR49" i="2"/>
  <c r="BE49" i="2" s="1"/>
  <c r="F52" i="7" s="1"/>
  <c r="AK119" i="4"/>
  <c r="AU44" i="2"/>
  <c r="AO242" i="4"/>
  <c r="AO243" i="4"/>
  <c r="AO244" i="4"/>
  <c r="AP240" i="4"/>
  <c r="AL147" i="4"/>
  <c r="AL143" i="4" s="1"/>
  <c r="AL335" i="4"/>
  <c r="AL157" i="4" s="1"/>
  <c r="AH117" i="4"/>
  <c r="AR46" i="2" s="1"/>
  <c r="AH163" i="4"/>
  <c r="AL334" i="4"/>
  <c r="AL135" i="4" s="1"/>
  <c r="AL125" i="4"/>
  <c r="AS20" i="2"/>
  <c r="AN265" i="4"/>
  <c r="AN245" i="4"/>
  <c r="AN246" i="4" s="1"/>
  <c r="AN260" i="4"/>
  <c r="AN179" i="4"/>
  <c r="AN238" i="4"/>
  <c r="AP248" i="4"/>
  <c r="AO321" i="4"/>
  <c r="AO314" i="4"/>
  <c r="AO319" i="4"/>
  <c r="AP313" i="4"/>
  <c r="AV8" i="2"/>
  <c r="AT24" i="2"/>
  <c r="AT20" i="2" s="1"/>
  <c r="AJ20" i="4"/>
  <c r="AJ22" i="4" s="1"/>
  <c r="AJ23" i="4" s="1"/>
  <c r="AT47" i="2" s="1"/>
  <c r="AL153" i="4"/>
  <c r="AV73" i="2" s="1"/>
  <c r="AX12" i="7" s="1"/>
  <c r="L47" i="7"/>
  <c r="J20" i="1"/>
  <c r="AI89" i="4"/>
  <c r="AI288" i="4"/>
  <c r="AP205" i="4"/>
  <c r="AO214" i="4"/>
  <c r="AO154" i="4" s="1"/>
  <c r="AO144" i="4"/>
  <c r="AO87" i="4"/>
  <c r="AO210" i="4"/>
  <c r="AO67" i="7"/>
  <c r="AI167" i="4"/>
  <c r="AV80" i="2"/>
  <c r="AL100" i="4"/>
  <c r="AL110" i="4" s="1"/>
  <c r="AV9" i="2"/>
  <c r="AN180" i="4"/>
  <c r="AN97" i="4"/>
  <c r="AX6" i="2"/>
  <c r="AN213" i="4"/>
  <c r="AN132" i="4" s="1"/>
  <c r="AN122" i="4"/>
  <c r="AL57" i="4"/>
  <c r="AK56" i="4"/>
  <c r="AM124" i="4"/>
  <c r="AM301" i="4"/>
  <c r="AM134" i="4" s="1"/>
  <c r="AO231" i="4"/>
  <c r="AO219" i="4" s="1"/>
  <c r="AO178" i="4"/>
  <c r="AO235" i="4"/>
  <c r="AO220" i="4" s="1"/>
  <c r="AO232" i="4"/>
  <c r="AO221" i="4" s="1"/>
  <c r="AO233" i="4"/>
  <c r="AO217" i="4" s="1"/>
  <c r="AO234" i="4"/>
  <c r="AO218" i="4" s="1"/>
  <c r="AO209" i="4"/>
  <c r="AO201" i="4"/>
  <c r="AO202" i="4" s="1"/>
  <c r="AO196" i="4"/>
  <c r="AS46" i="5"/>
  <c r="AS45" i="5"/>
  <c r="AS48" i="5"/>
  <c r="AS47" i="5"/>
  <c r="AS49" i="5"/>
  <c r="AS43" i="5"/>
  <c r="AS44" i="5"/>
  <c r="AS42" i="5"/>
  <c r="AS41" i="5"/>
  <c r="AO306" i="4"/>
  <c r="AR38" i="5"/>
  <c r="AR40" i="5"/>
  <c r="AR39" i="5"/>
  <c r="AN320" i="4"/>
  <c r="AO326" i="4" s="1"/>
  <c r="AN318" i="4"/>
  <c r="AL124" i="4"/>
  <c r="AL121" i="4" s="1"/>
  <c r="AL301" i="4"/>
  <c r="AL134" i="4" s="1"/>
  <c r="AL131" i="4" s="1"/>
  <c r="AV67" i="2" s="1"/>
  <c r="AX8" i="7" s="1"/>
  <c r="AX13" i="7" s="1"/>
  <c r="AW51" i="2"/>
  <c r="AW68" i="2" s="1"/>
  <c r="AX31" i="2"/>
  <c r="AM270" i="4"/>
  <c r="AM155" i="4" s="1"/>
  <c r="AM145" i="4"/>
  <c r="AX50" i="2"/>
  <c r="AY29" i="2"/>
  <c r="AX32" i="2"/>
  <c r="AX52" i="2" s="1"/>
  <c r="AX75" i="2" s="1"/>
  <c r="AH252" i="4"/>
  <c r="AI253" i="4"/>
  <c r="AM175" i="4"/>
  <c r="AO48" i="2"/>
  <c r="AP200" i="4"/>
  <c r="AP199" i="4"/>
  <c r="AO284" i="4"/>
  <c r="AO280" i="4"/>
  <c r="AR11" i="7"/>
  <c r="AR43" i="7" s="1"/>
  <c r="AP34" i="2"/>
  <c r="AP27" i="2"/>
  <c r="AP30" i="2"/>
  <c r="AP48" i="2" s="1"/>
  <c r="AP325" i="4"/>
  <c r="AM261" i="4"/>
  <c r="AM262" i="4"/>
  <c r="AN298" i="4"/>
  <c r="AK80" i="4"/>
  <c r="AK286" i="4" s="1"/>
  <c r="AO149" i="5"/>
  <c r="AO147" i="5"/>
  <c r="AG109" i="4"/>
  <c r="AG96" i="4"/>
  <c r="AG106" i="4" s="1"/>
  <c r="AM254" i="4"/>
  <c r="AM311" i="4"/>
  <c r="AM330" i="4"/>
  <c r="AM322" i="4"/>
  <c r="AM323" i="4" s="1"/>
  <c r="AM182" i="4"/>
  <c r="AO325" i="4"/>
  <c r="AM98" i="4"/>
  <c r="AM108" i="4" s="1"/>
  <c r="AW7" i="2"/>
  <c r="AN68" i="7"/>
  <c r="AH289" i="4"/>
  <c r="AN69" i="7" s="1"/>
  <c r="AM107" i="4"/>
  <c r="AO43" i="2"/>
  <c r="AO35" i="2"/>
  <c r="AV9" i="7"/>
  <c r="AU5" i="2"/>
  <c r="AP305" i="4"/>
  <c r="AP277" i="4"/>
  <c r="AP278" i="4"/>
  <c r="AO285" i="4"/>
  <c r="AO281" i="4"/>
  <c r="AQ130" i="5"/>
  <c r="AQ115" i="5"/>
  <c r="AP204" i="4"/>
  <c r="AP206" i="4" s="1"/>
  <c r="AP165" i="4" s="1"/>
  <c r="AM331" i="4"/>
  <c r="AM90" i="4"/>
  <c r="AV72" i="2"/>
  <c r="AH85" i="4"/>
  <c r="AH99" i="4"/>
  <c r="AM74" i="2"/>
  <c r="AL71" i="2"/>
  <c r="AL70" i="2" s="1"/>
  <c r="AN83" i="2"/>
  <c r="BD43" i="2"/>
  <c r="AM302" i="4"/>
  <c r="AM156" i="4" s="1"/>
  <c r="AM146" i="4"/>
  <c r="AS10" i="7"/>
  <c r="AQ26" i="2"/>
  <c r="AQ18" i="2"/>
  <c r="AJ7" i="7"/>
  <c r="AJ20" i="7" s="1"/>
  <c r="AJ42" i="7" s="1"/>
  <c r="AH65" i="2"/>
  <c r="AH64" i="2" s="1"/>
  <c r="AH81" i="2" s="1"/>
  <c r="AH77" i="2" s="1"/>
  <c r="AH85" i="2" s="1"/>
  <c r="E37" i="7"/>
  <c r="BD35" i="2"/>
  <c r="E38" i="7" s="1"/>
  <c r="AS15" i="2"/>
  <c r="AR17" i="2"/>
  <c r="AP116" i="5"/>
  <c r="AP117" i="5"/>
  <c r="AP118" i="5" s="1"/>
  <c r="AP121" i="5" s="1"/>
  <c r="AL74" i="4" s="1"/>
  <c r="AW13" i="7"/>
  <c r="AN297" i="4"/>
  <c r="AN124" i="4" s="1"/>
  <c r="AN273" i="4"/>
  <c r="AN181" i="4"/>
  <c r="AN266" i="4"/>
  <c r="AO249" i="4"/>
  <c r="AO250" i="4" s="1"/>
  <c r="AO166" i="4" s="1"/>
  <c r="AN88" i="4"/>
  <c r="AM269" i="4"/>
  <c r="AM133" i="4" s="1"/>
  <c r="AM123" i="4"/>
  <c r="AJ119" i="4"/>
  <c r="AT44" i="2"/>
  <c r="AW8" i="2"/>
  <c r="AL141" i="4" l="1"/>
  <c r="AV45" i="2"/>
  <c r="AM131" i="4"/>
  <c r="AW67" i="2" s="1"/>
  <c r="AY8" i="7" s="1"/>
  <c r="AL119" i="4"/>
  <c r="AV44" i="2"/>
  <c r="AO97" i="4"/>
  <c r="AY6" i="2"/>
  <c r="AO320" i="4"/>
  <c r="AO318" i="4"/>
  <c r="AZ79" i="2"/>
  <c r="AW44" i="7"/>
  <c r="AW21" i="7"/>
  <c r="E46" i="7"/>
  <c r="BD58" i="2"/>
  <c r="E61" i="7" s="1"/>
  <c r="AP285" i="4"/>
  <c r="AP281" i="4"/>
  <c r="AM100" i="4"/>
  <c r="AM110" i="4" s="1"/>
  <c r="AW9" i="2"/>
  <c r="AW5" i="2" s="1"/>
  <c r="AN330" i="4"/>
  <c r="AN182" i="4"/>
  <c r="AN311" i="4"/>
  <c r="AN322" i="4"/>
  <c r="AN323" i="4" s="1"/>
  <c r="AP326" i="4"/>
  <c r="AP327" i="4" s="1"/>
  <c r="AP168" i="4" s="1"/>
  <c r="AP243" i="4"/>
  <c r="AP244" i="4"/>
  <c r="AP242" i="4"/>
  <c r="AJ89" i="4"/>
  <c r="AJ288" i="4"/>
  <c r="AK41" i="2"/>
  <c r="AK58" i="2" s="1"/>
  <c r="AJ66" i="2"/>
  <c r="AO327" i="4"/>
  <c r="AO168" i="4" s="1"/>
  <c r="AP214" i="4"/>
  <c r="AP154" i="4" s="1"/>
  <c r="AP210" i="4"/>
  <c r="AP144" i="4"/>
  <c r="AP87" i="4"/>
  <c r="AP35" i="2"/>
  <c r="AP43" i="2"/>
  <c r="AP83" i="2" s="1"/>
  <c r="AX51" i="2"/>
  <c r="AX68" i="2" s="1"/>
  <c r="AY31" i="2"/>
  <c r="AN331" i="4"/>
  <c r="AN90" i="4"/>
  <c r="AP67" i="7"/>
  <c r="AJ167" i="4"/>
  <c r="AK7" i="7"/>
  <c r="AK20" i="7" s="1"/>
  <c r="AK42" i="7" s="1"/>
  <c r="AI65" i="2"/>
  <c r="AI64" i="2" s="1"/>
  <c r="AI81" i="2" s="1"/>
  <c r="AI77" i="2" s="1"/>
  <c r="AI85" i="2" s="1"/>
  <c r="BD83" i="2"/>
  <c r="E86" i="7" s="1"/>
  <c r="AO82" i="2"/>
  <c r="AP284" i="4"/>
  <c r="AP280" i="4"/>
  <c r="AP282" i="4" s="1"/>
  <c r="AK292" i="4"/>
  <c r="AK293" i="4" s="1"/>
  <c r="AK287" i="4"/>
  <c r="AT47" i="5"/>
  <c r="AT42" i="5"/>
  <c r="AT48" i="5"/>
  <c r="AT44" i="5"/>
  <c r="AT45" i="5"/>
  <c r="AT49" i="5"/>
  <c r="AT43" i="5"/>
  <c r="AT41" i="5"/>
  <c r="AT46" i="5"/>
  <c r="AP306" i="4"/>
  <c r="AM334" i="4"/>
  <c r="AM135" i="4" s="1"/>
  <c r="AM125" i="4"/>
  <c r="AM121" i="4" s="1"/>
  <c r="AJ253" i="4"/>
  <c r="AI252" i="4"/>
  <c r="AO213" i="4"/>
  <c r="AO132" i="4" s="1"/>
  <c r="AO122" i="4"/>
  <c r="AW80" i="2"/>
  <c r="AP249" i="4"/>
  <c r="AP250" i="4" s="1"/>
  <c r="AP166" i="4" s="1"/>
  <c r="AO266" i="4"/>
  <c r="AO88" i="4"/>
  <c r="AT15" i="2"/>
  <c r="AT17" i="2" s="1"/>
  <c r="AS17" i="2"/>
  <c r="AO298" i="4"/>
  <c r="AN270" i="4"/>
  <c r="AN155" i="4" s="1"/>
  <c r="AN145" i="4"/>
  <c r="AQ117" i="5"/>
  <c r="AQ116" i="5"/>
  <c r="AQ118" i="5"/>
  <c r="AQ121" i="5" s="1"/>
  <c r="AM74" i="4" s="1"/>
  <c r="AW9" i="7"/>
  <c r="AN146" i="4"/>
  <c r="AN302" i="4"/>
  <c r="AN156" i="4" s="1"/>
  <c r="AO282" i="4"/>
  <c r="AI163" i="4"/>
  <c r="AI117" i="4"/>
  <c r="AS46" i="2" s="1"/>
  <c r="AO68" i="7"/>
  <c r="AI289" i="4"/>
  <c r="AO69" i="7" s="1"/>
  <c r="AV5" i="2"/>
  <c r="AX7" i="2"/>
  <c r="AN98" i="4"/>
  <c r="AN108" i="4" s="1"/>
  <c r="AO265" i="4"/>
  <c r="AO238" i="4"/>
  <c r="AO179" i="4"/>
  <c r="AO245" i="4"/>
  <c r="AO246" i="4" s="1"/>
  <c r="AO260" i="4"/>
  <c r="AW72" i="2"/>
  <c r="AO83" i="2"/>
  <c r="AM335" i="4"/>
  <c r="AM157" i="4" s="1"/>
  <c r="AM153" i="4" s="1"/>
  <c r="AW73" i="2" s="1"/>
  <c r="AY12" i="7" s="1"/>
  <c r="AM147" i="4"/>
  <c r="AM143" i="4" s="1"/>
  <c r="AN74" i="2"/>
  <c r="AM71" i="2"/>
  <c r="AM70" i="2" s="1"/>
  <c r="AX8" i="2"/>
  <c r="AT10" i="7"/>
  <c r="AR18" i="2"/>
  <c r="AR26" i="2"/>
  <c r="AS11" i="7"/>
  <c r="AS43" i="7" s="1"/>
  <c r="AQ30" i="2"/>
  <c r="AQ48" i="2" s="1"/>
  <c r="AQ27" i="2"/>
  <c r="AH109" i="4"/>
  <c r="AH96" i="4"/>
  <c r="AH106" i="4" s="1"/>
  <c r="AQ144" i="5"/>
  <c r="AQ135" i="5"/>
  <c r="AQ133" i="5"/>
  <c r="AN254" i="4"/>
  <c r="AN301" i="4"/>
  <c r="AN134" i="4" s="1"/>
  <c r="AU24" i="2"/>
  <c r="AK20" i="4"/>
  <c r="AK22" i="4" s="1"/>
  <c r="AK23" i="4" s="1"/>
  <c r="AU47" i="2" s="1"/>
  <c r="AN107" i="4"/>
  <c r="AI85" i="4"/>
  <c r="AI99" i="4"/>
  <c r="AN261" i="4"/>
  <c r="AN262" i="4"/>
  <c r="AL80" i="4"/>
  <c r="AL286" i="4" s="1"/>
  <c r="AP149" i="5"/>
  <c r="AP147" i="5"/>
  <c r="AP232" i="4"/>
  <c r="AP221" i="4" s="1"/>
  <c r="AP234" i="4"/>
  <c r="AP218" i="4" s="1"/>
  <c r="AP209" i="4"/>
  <c r="AP231" i="4"/>
  <c r="AP219" i="4" s="1"/>
  <c r="AP201" i="4"/>
  <c r="AP202" i="4" s="1"/>
  <c r="AP233" i="4"/>
  <c r="AP217" i="4" s="1"/>
  <c r="AP196" i="4"/>
  <c r="AP235" i="4"/>
  <c r="AP220" i="4" s="1"/>
  <c r="AP178" i="4"/>
  <c r="AY50" i="2"/>
  <c r="AY32" i="2"/>
  <c r="AY52" i="2" s="1"/>
  <c r="AY75" i="2" s="1"/>
  <c r="AZ29" i="2"/>
  <c r="AR115" i="5"/>
  <c r="AR130" i="5"/>
  <c r="AM57" i="4"/>
  <c r="AL56" i="4"/>
  <c r="AN175" i="4"/>
  <c r="AP314" i="4"/>
  <c r="AP319" i="4"/>
  <c r="AP321" i="4"/>
  <c r="AX44" i="7"/>
  <c r="AX21" i="7"/>
  <c r="AS39" i="5"/>
  <c r="AS40" i="5"/>
  <c r="AS38" i="5"/>
  <c r="AN269" i="4"/>
  <c r="AN133" i="4" s="1"/>
  <c r="AN123" i="4"/>
  <c r="AM119" i="4" l="1"/>
  <c r="AW44" i="2"/>
  <c r="AM141" i="4"/>
  <c r="AW45" i="2"/>
  <c r="AY9" i="7"/>
  <c r="AM80" i="4"/>
  <c r="AM286" i="4" s="1"/>
  <c r="AQ149" i="5"/>
  <c r="AQ147" i="5"/>
  <c r="AL292" i="4"/>
  <c r="AL293" i="4" s="1"/>
  <c r="AL287" i="4"/>
  <c r="AV24" i="2"/>
  <c r="AV20" i="2" s="1"/>
  <c r="AL20" i="4"/>
  <c r="AL22" i="4" s="1"/>
  <c r="AL23" i="4" s="1"/>
  <c r="AV47" i="2" s="1"/>
  <c r="AP180" i="4"/>
  <c r="AP97" i="4"/>
  <c r="AZ6" i="2"/>
  <c r="BG178" i="4"/>
  <c r="AI109" i="4"/>
  <c r="AI96" i="4"/>
  <c r="AI106" i="4" s="1"/>
  <c r="AO74" i="2"/>
  <c r="BD74" i="2"/>
  <c r="E77" i="7" s="1"/>
  <c r="AN71" i="2"/>
  <c r="AP260" i="4"/>
  <c r="AP179" i="4"/>
  <c r="AP238" i="4"/>
  <c r="AP265" i="4"/>
  <c r="AP245" i="4"/>
  <c r="AP246" i="4" s="1"/>
  <c r="AN334" i="4"/>
  <c r="AN135" i="4" s="1"/>
  <c r="AN131" i="4" s="1"/>
  <c r="AX67" i="2" s="1"/>
  <c r="AZ8" i="7" s="1"/>
  <c r="AZ13" i="7" s="1"/>
  <c r="AN125" i="4"/>
  <c r="AN121" i="4" s="1"/>
  <c r="AM56" i="4"/>
  <c r="AN57" i="4"/>
  <c r="AO98" i="4"/>
  <c r="AO108" i="4" s="1"/>
  <c r="AY7" i="2"/>
  <c r="AU10" i="7"/>
  <c r="AS18" i="2"/>
  <c r="AS26" i="2"/>
  <c r="AN335" i="4"/>
  <c r="AN157" i="4" s="1"/>
  <c r="AN147" i="4"/>
  <c r="AP266" i="4"/>
  <c r="AP88" i="4"/>
  <c r="BG88" i="4" s="1"/>
  <c r="AO180" i="4"/>
  <c r="AY13" i="7"/>
  <c r="AZ31" i="2"/>
  <c r="AY51" i="2"/>
  <c r="AY68" i="2" s="1"/>
  <c r="AO107" i="4"/>
  <c r="AR118" i="5"/>
  <c r="AR121" i="5" s="1"/>
  <c r="AN74" i="4" s="1"/>
  <c r="AR117" i="5"/>
  <c r="AR116" i="5"/>
  <c r="AO145" i="4"/>
  <c r="AO270" i="4"/>
  <c r="AO155" i="4" s="1"/>
  <c r="AJ252" i="4"/>
  <c r="AK253" i="4"/>
  <c r="AQ67" i="7"/>
  <c r="AK167" i="4"/>
  <c r="AJ163" i="4"/>
  <c r="AJ117" i="4"/>
  <c r="AT46" i="2" s="1"/>
  <c r="AL7" i="7"/>
  <c r="AL20" i="7" s="1"/>
  <c r="AL42" i="7" s="1"/>
  <c r="AJ65" i="2"/>
  <c r="AJ64" i="2" s="1"/>
  <c r="AJ81" i="2" s="1"/>
  <c r="AJ77" i="2" s="1"/>
  <c r="AJ85" i="2" s="1"/>
  <c r="AO269" i="4"/>
  <c r="AO133" i="4" s="1"/>
  <c r="AO123" i="4"/>
  <c r="AK89" i="4"/>
  <c r="AK288" i="4"/>
  <c r="AZ32" i="2"/>
  <c r="AZ50" i="2"/>
  <c r="BE50" i="2" s="1"/>
  <c r="F53" i="7" s="1"/>
  <c r="BE29" i="2"/>
  <c r="F32" i="7" s="1"/>
  <c r="AO297" i="4"/>
  <c r="AO273" i="4"/>
  <c r="AO181" i="4"/>
  <c r="AN143" i="4"/>
  <c r="AP181" i="4"/>
  <c r="AP273" i="4"/>
  <c r="AP297" i="4"/>
  <c r="AP124" i="4" s="1"/>
  <c r="AL41" i="2"/>
  <c r="AL58" i="2" s="1"/>
  <c r="AK66" i="2"/>
  <c r="BE79" i="2"/>
  <c r="F82" i="7" s="1"/>
  <c r="AV10" i="7"/>
  <c r="AT18" i="2"/>
  <c r="AT26" i="2"/>
  <c r="AU20" i="2"/>
  <c r="AP320" i="4"/>
  <c r="AP318" i="4"/>
  <c r="AP213" i="4"/>
  <c r="AP132" i="4" s="1"/>
  <c r="AP122" i="4"/>
  <c r="AX72" i="2"/>
  <c r="AX9" i="7"/>
  <c r="AN153" i="4"/>
  <c r="AX73" i="2" s="1"/>
  <c r="AZ12" i="7" s="1"/>
  <c r="AP68" i="7"/>
  <c r="AJ289" i="4"/>
  <c r="AP69" i="7" s="1"/>
  <c r="AO322" i="4"/>
  <c r="AO323" i="4" s="1"/>
  <c r="AO330" i="4"/>
  <c r="AO311" i="4"/>
  <c r="AO182" i="4"/>
  <c r="AR144" i="5"/>
  <c r="AR135" i="5"/>
  <c r="AR133" i="5"/>
  <c r="AT11" i="7"/>
  <c r="AT43" i="7" s="1"/>
  <c r="AR30" i="2"/>
  <c r="AR48" i="2" s="1"/>
  <c r="AR27" i="2"/>
  <c r="AS130" i="5"/>
  <c r="AS115" i="5"/>
  <c r="AQ34" i="2"/>
  <c r="AO261" i="4"/>
  <c r="AO262" i="4"/>
  <c r="AO254" i="4" s="1"/>
  <c r="AO146" i="4"/>
  <c r="AO302" i="4"/>
  <c r="AO156" i="4" s="1"/>
  <c r="AX80" i="2"/>
  <c r="AT40" i="5"/>
  <c r="AT39" i="5"/>
  <c r="AT38" i="5"/>
  <c r="AP82" i="2"/>
  <c r="AQ82" i="2" s="1"/>
  <c r="BG87" i="4"/>
  <c r="AJ85" i="4"/>
  <c r="AJ99" i="4"/>
  <c r="AN100" i="4"/>
  <c r="AN110" i="4" s="1"/>
  <c r="AX9" i="2"/>
  <c r="AX5" i="2" s="1"/>
  <c r="AP298" i="4"/>
  <c r="AO331" i="4"/>
  <c r="AO90" i="4"/>
  <c r="AN119" i="4" l="1"/>
  <c r="AX44" i="2"/>
  <c r="AO335" i="4"/>
  <c r="AO157" i="4" s="1"/>
  <c r="AO147" i="4"/>
  <c r="AY80" i="2"/>
  <c r="AR34" i="2"/>
  <c r="AO124" i="4"/>
  <c r="AP301" i="4"/>
  <c r="AP134" i="4" s="1"/>
  <c r="AO301" i="4"/>
  <c r="AO134" i="4" s="1"/>
  <c r="AO153" i="4"/>
  <c r="AY73" i="2" s="1"/>
  <c r="BA12" i="7" s="1"/>
  <c r="AZ51" i="2"/>
  <c r="BE51" i="2" s="1"/>
  <c r="F54" i="7" s="1"/>
  <c r="BE31" i="2"/>
  <c r="F34" i="7" s="1"/>
  <c r="AP98" i="4"/>
  <c r="AP108" i="4" s="1"/>
  <c r="AZ7" i="2"/>
  <c r="BE7" i="2" s="1"/>
  <c r="F10" i="7" s="1"/>
  <c r="M10" i="7" s="1"/>
  <c r="K5" i="1" s="1"/>
  <c r="BG179" i="4"/>
  <c r="BG98" i="4" s="1"/>
  <c r="BG108" i="4" s="1"/>
  <c r="AR67" i="7"/>
  <c r="AL167" i="4"/>
  <c r="AO334" i="4"/>
  <c r="AO135" i="4" s="1"/>
  <c r="AO125" i="4"/>
  <c r="AY72" i="2"/>
  <c r="AV11" i="7"/>
  <c r="AV43" i="7" s="1"/>
  <c r="AT27" i="2"/>
  <c r="AT30" i="2"/>
  <c r="AT48" i="2" s="1"/>
  <c r="AO143" i="4"/>
  <c r="AY21" i="7"/>
  <c r="AY44" i="7"/>
  <c r="AN56" i="4"/>
  <c r="AO57" i="4"/>
  <c r="AP261" i="4"/>
  <c r="AP262" i="4"/>
  <c r="AP254" i="4" s="1"/>
  <c r="BG97" i="4"/>
  <c r="AZ8" i="2"/>
  <c r="BE8" i="2" s="1"/>
  <c r="F11" i="7" s="1"/>
  <c r="M11" i="7" s="1"/>
  <c r="K6" i="1" s="1"/>
  <c r="BG181" i="4"/>
  <c r="AO175" i="4"/>
  <c r="AW24" i="2"/>
  <c r="AW20" i="2" s="1"/>
  <c r="AM20" i="4"/>
  <c r="AM22" i="4" s="1"/>
  <c r="AM23" i="4" s="1"/>
  <c r="AW47" i="2" s="1"/>
  <c r="BE6" i="2"/>
  <c r="AZ52" i="2"/>
  <c r="BE32" i="2"/>
  <c r="F35" i="7" s="1"/>
  <c r="AU11" i="7"/>
  <c r="AU43" i="7" s="1"/>
  <c r="AS34" i="2"/>
  <c r="AS30" i="2"/>
  <c r="AS27" i="2"/>
  <c r="BD71" i="2"/>
  <c r="E74" i="7" s="1"/>
  <c r="L37" i="7" s="1"/>
  <c r="J29" i="1" s="1"/>
  <c r="AN70" i="2"/>
  <c r="BD70" i="2" s="1"/>
  <c r="E73" i="7" s="1"/>
  <c r="L36" i="7" s="1"/>
  <c r="J28" i="1" s="1"/>
  <c r="AP107" i="4"/>
  <c r="AM292" i="4"/>
  <c r="AM293" i="4" s="1"/>
  <c r="AM287" i="4"/>
  <c r="AQ68" i="7"/>
  <c r="AK289" i="4"/>
  <c r="AQ69" i="7" s="1"/>
  <c r="BG180" i="4"/>
  <c r="AK117" i="4"/>
  <c r="AU46" i="2" s="1"/>
  <c r="AK163" i="4"/>
  <c r="AQ43" i="2"/>
  <c r="AQ35" i="2"/>
  <c r="AP322" i="4"/>
  <c r="AP323" i="4" s="1"/>
  <c r="AP330" i="4"/>
  <c r="AP182" i="4"/>
  <c r="AP311" i="4"/>
  <c r="AK85" i="4"/>
  <c r="AU15" i="2" s="1"/>
  <c r="AU17" i="2" s="1"/>
  <c r="AK99" i="4"/>
  <c r="AP74" i="2"/>
  <c r="AO71" i="2"/>
  <c r="AO70" i="2" s="1"/>
  <c r="AT130" i="5"/>
  <c r="AT115" i="5"/>
  <c r="AN141" i="4"/>
  <c r="AX45" i="2"/>
  <c r="AP270" i="4"/>
  <c r="AP155" i="4" s="1"/>
  <c r="AP145" i="4"/>
  <c r="AZ44" i="7"/>
  <c r="AZ21" i="7"/>
  <c r="AZ9" i="7"/>
  <c r="AS117" i="5"/>
  <c r="AS118" i="5" s="1"/>
  <c r="AS121" i="5" s="1"/>
  <c r="AO74" i="4" s="1"/>
  <c r="AS116" i="5"/>
  <c r="AR149" i="5"/>
  <c r="AN80" i="4"/>
  <c r="AN286" i="4" s="1"/>
  <c r="AR147" i="5"/>
  <c r="AP331" i="4"/>
  <c r="AP90" i="4"/>
  <c r="BG90" i="4" s="1"/>
  <c r="AM7" i="7"/>
  <c r="AM20" i="7" s="1"/>
  <c r="AM42" i="7" s="1"/>
  <c r="AK65" i="2"/>
  <c r="AK64" i="2" s="1"/>
  <c r="AK81" i="2" s="1"/>
  <c r="AK77" i="2" s="1"/>
  <c r="AK85" i="2" s="1"/>
  <c r="AY8" i="2"/>
  <c r="AL253" i="4"/>
  <c r="AK252" i="4"/>
  <c r="AP123" i="4"/>
  <c r="AP269" i="4"/>
  <c r="AP133" i="4" s="1"/>
  <c r="AP302" i="4"/>
  <c r="AP156" i="4" s="1"/>
  <c r="AP146" i="4"/>
  <c r="AJ109" i="4"/>
  <c r="AJ96" i="4"/>
  <c r="AJ106" i="4" s="1"/>
  <c r="AS144" i="5"/>
  <c r="AS135" i="5"/>
  <c r="AS133" i="5"/>
  <c r="AO100" i="4"/>
  <c r="AO110" i="4" s="1"/>
  <c r="AY9" i="2"/>
  <c r="AL66" i="2"/>
  <c r="AM41" i="2"/>
  <c r="AM58" i="2" s="1"/>
  <c r="AL89" i="4"/>
  <c r="AL288" i="4"/>
  <c r="AZ72" i="2" l="1"/>
  <c r="AZ80" i="2"/>
  <c r="AP334" i="4"/>
  <c r="AP135" i="4" s="1"/>
  <c r="AP131" i="4" s="1"/>
  <c r="AZ67" i="2" s="1"/>
  <c r="AP125" i="4"/>
  <c r="AP121" i="4" s="1"/>
  <c r="F9" i="7"/>
  <c r="M9" i="7" s="1"/>
  <c r="K4" i="1" s="1"/>
  <c r="AO141" i="4"/>
  <c r="AY45" i="2"/>
  <c r="AT118" i="5"/>
  <c r="AT121" i="5" s="1"/>
  <c r="AP74" i="4" s="1"/>
  <c r="AT116" i="5"/>
  <c r="AT117" i="5"/>
  <c r="AL85" i="4"/>
  <c r="AV15" i="2" s="1"/>
  <c r="AV17" i="2" s="1"/>
  <c r="AL99" i="4"/>
  <c r="AM253" i="4"/>
  <c r="AL252" i="4"/>
  <c r="AN292" i="4"/>
  <c r="AN293" i="4" s="1"/>
  <c r="AN287" i="4"/>
  <c r="AQ74" i="2"/>
  <c r="AP71" i="2"/>
  <c r="AP70" i="2" s="1"/>
  <c r="AS48" i="2"/>
  <c r="BG107" i="4"/>
  <c r="AT34" i="2"/>
  <c r="AL117" i="4"/>
  <c r="AV46" i="2" s="1"/>
  <c r="AL163" i="4"/>
  <c r="AO131" i="4"/>
  <c r="AY67" i="2" s="1"/>
  <c r="BA8" i="7" s="1"/>
  <c r="BA13" i="7" s="1"/>
  <c r="AP100" i="4"/>
  <c r="AP110" i="4" s="1"/>
  <c r="AZ9" i="2"/>
  <c r="BE9" i="2" s="1"/>
  <c r="F12" i="7" s="1"/>
  <c r="M12" i="7" s="1"/>
  <c r="K7" i="1" s="1"/>
  <c r="BG182" i="4"/>
  <c r="BG100" i="4" s="1"/>
  <c r="BG110" i="4" s="1"/>
  <c r="AP175" i="4"/>
  <c r="AP147" i="4"/>
  <c r="AP143" i="4" s="1"/>
  <c r="AP335" i="4"/>
  <c r="AP157" i="4" s="1"/>
  <c r="AR68" i="7"/>
  <c r="AL289" i="4"/>
  <c r="AR69" i="7" s="1"/>
  <c r="AO80" i="4"/>
  <c r="AO286" i="4" s="1"/>
  <c r="AS149" i="5"/>
  <c r="AS147" i="5"/>
  <c r="AM66" i="2"/>
  <c r="AN41" i="2"/>
  <c r="AN58" i="2" s="1"/>
  <c r="AY5" i="2"/>
  <c r="AQ83" i="2"/>
  <c r="AR82" i="2" s="1"/>
  <c r="AM89" i="4"/>
  <c r="AM288" i="4"/>
  <c r="AS35" i="2"/>
  <c r="AS43" i="2"/>
  <c r="AS83" i="2" s="1"/>
  <c r="AZ68" i="2"/>
  <c r="BE68" i="2" s="1"/>
  <c r="F71" i="7" s="1"/>
  <c r="M35" i="7" s="1"/>
  <c r="K27" i="1" s="1"/>
  <c r="AT144" i="5"/>
  <c r="AT135" i="5"/>
  <c r="AT133" i="5"/>
  <c r="AN7" i="7"/>
  <c r="AN20" i="7" s="1"/>
  <c r="AN42" i="7" s="1"/>
  <c r="AL65" i="2"/>
  <c r="AL64" i="2" s="1"/>
  <c r="AL81" i="2" s="1"/>
  <c r="AL77" i="2" s="1"/>
  <c r="AL85" i="2" s="1"/>
  <c r="AP153" i="4"/>
  <c r="AZ73" i="2" s="1"/>
  <c r="AK109" i="4"/>
  <c r="AK96" i="4"/>
  <c r="AK106" i="4" s="1"/>
  <c r="AS67" i="7"/>
  <c r="AM167" i="4"/>
  <c r="AO121" i="4"/>
  <c r="AW10" i="7"/>
  <c r="AU18" i="2"/>
  <c r="AU26" i="2"/>
  <c r="AO56" i="4"/>
  <c r="AP57" i="4"/>
  <c r="AP56" i="4" s="1"/>
  <c r="AR43" i="2"/>
  <c r="AR83" i="2" s="1"/>
  <c r="AR35" i="2"/>
  <c r="BG175" i="4"/>
  <c r="BE52" i="2"/>
  <c r="F55" i="7" s="1"/>
  <c r="AZ75" i="2"/>
  <c r="BE75" i="2" s="1"/>
  <c r="F78" i="7" s="1"/>
  <c r="M38" i="7" s="1"/>
  <c r="K30" i="1" s="1"/>
  <c r="AX24" i="2"/>
  <c r="AX20" i="2" s="1"/>
  <c r="AN20" i="4"/>
  <c r="AN22" i="4" s="1"/>
  <c r="AN23" i="4" s="1"/>
  <c r="AX47" i="2" s="1"/>
  <c r="AP119" i="4" l="1"/>
  <c r="AZ44" i="2"/>
  <c r="BB8" i="7"/>
  <c r="BE67" i="2"/>
  <c r="F70" i="7" s="1"/>
  <c r="M34" i="7" s="1"/>
  <c r="K26" i="1" s="1"/>
  <c r="AZ45" i="2"/>
  <c r="BE45" i="2" s="1"/>
  <c r="F48" i="7" s="1"/>
  <c r="AP141" i="4"/>
  <c r="AS82" i="2"/>
  <c r="AT82" i="2" s="1"/>
  <c r="BA44" i="7"/>
  <c r="BA21" i="7"/>
  <c r="AX10" i="7"/>
  <c r="AV26" i="2"/>
  <c r="AV18" i="2"/>
  <c r="AZ24" i="2"/>
  <c r="AP20" i="4"/>
  <c r="AP22" i="4" s="1"/>
  <c r="AP80" i="4"/>
  <c r="AP286" i="4" s="1"/>
  <c r="AT149" i="5"/>
  <c r="AT147" i="5"/>
  <c r="AY24" i="2"/>
  <c r="AY20" i="2" s="1"/>
  <c r="AO20" i="4"/>
  <c r="AO22" i="4" s="1"/>
  <c r="AO23" i="4" s="1"/>
  <c r="AY47" i="2" s="1"/>
  <c r="AR74" i="2"/>
  <c r="AQ71" i="2"/>
  <c r="AQ70" i="2" s="1"/>
  <c r="BA9" i="7"/>
  <c r="AW11" i="7"/>
  <c r="AW43" i="7" s="1"/>
  <c r="AU30" i="2"/>
  <c r="AU27" i="2"/>
  <c r="AU34" i="2"/>
  <c r="AT35" i="2"/>
  <c r="AT43" i="2"/>
  <c r="AT83" i="2" s="1"/>
  <c r="AN89" i="4"/>
  <c r="AN288" i="4"/>
  <c r="BE80" i="2"/>
  <c r="F83" i="7" s="1"/>
  <c r="BB12" i="7"/>
  <c r="BE73" i="2"/>
  <c r="F76" i="7" s="1"/>
  <c r="AO7" i="7"/>
  <c r="AO20" i="7" s="1"/>
  <c r="AO42" i="7" s="1"/>
  <c r="AM65" i="2"/>
  <c r="AM64" i="2" s="1"/>
  <c r="AM81" i="2" s="1"/>
  <c r="AM77" i="2" s="1"/>
  <c r="AM85" i="2" s="1"/>
  <c r="AT67" i="7"/>
  <c r="AN167" i="4"/>
  <c r="BE72" i="2"/>
  <c r="F75" i="7" s="1"/>
  <c r="AN66" i="2"/>
  <c r="AO41" i="2"/>
  <c r="AS68" i="7"/>
  <c r="AM289" i="4"/>
  <c r="AS69" i="7" s="1"/>
  <c r="AO119" i="4"/>
  <c r="AY44" i="2"/>
  <c r="AM85" i="4"/>
  <c r="AW15" i="2" s="1"/>
  <c r="AW17" i="2" s="1"/>
  <c r="AM99" i="4"/>
  <c r="AZ5" i="2"/>
  <c r="AM252" i="4"/>
  <c r="AN253" i="4"/>
  <c r="BE5" i="2"/>
  <c r="AM117" i="4"/>
  <c r="AW46" i="2" s="1"/>
  <c r="AM163" i="4"/>
  <c r="AO292" i="4"/>
  <c r="AO293" i="4" s="1"/>
  <c r="AO287" i="4"/>
  <c r="AL109" i="4"/>
  <c r="AL96" i="4"/>
  <c r="AL106" i="4" s="1"/>
  <c r="AY10" i="7" l="1"/>
  <c r="AW26" i="2"/>
  <c r="AW18" i="2"/>
  <c r="AN117" i="4"/>
  <c r="AX46" i="2" s="1"/>
  <c r="AN163" i="4"/>
  <c r="AT68" i="7"/>
  <c r="AN289" i="4"/>
  <c r="AT69" i="7" s="1"/>
  <c r="AP292" i="4"/>
  <c r="AP293" i="4" s="1"/>
  <c r="AP287" i="4"/>
  <c r="AN99" i="4"/>
  <c r="AN85" i="4"/>
  <c r="AX15" i="2" s="1"/>
  <c r="AX17" i="2" s="1"/>
  <c r="AP23" i="4"/>
  <c r="AZ47" i="2" s="1"/>
  <c r="BE47" i="2" s="1"/>
  <c r="F50" i="7" s="1"/>
  <c r="AU82" i="2"/>
  <c r="F8" i="7"/>
  <c r="M16" i="7" s="1"/>
  <c r="AZ20" i="2"/>
  <c r="BE24" i="2"/>
  <c r="AO253" i="4"/>
  <c r="AN252" i="4"/>
  <c r="AS74" i="2"/>
  <c r="AR71" i="2"/>
  <c r="AR70" i="2" s="1"/>
  <c r="AO58" i="2"/>
  <c r="BE41" i="2"/>
  <c r="AO89" i="4"/>
  <c r="AO288" i="4"/>
  <c r="BB9" i="7"/>
  <c r="AP7" i="7"/>
  <c r="AP20" i="7" s="1"/>
  <c r="AP42" i="7" s="1"/>
  <c r="AN65" i="2"/>
  <c r="BD66" i="2"/>
  <c r="E69" i="7" s="1"/>
  <c r="L33" i="7" s="1"/>
  <c r="J25" i="1" s="1"/>
  <c r="BB13" i="7"/>
  <c r="AU35" i="2"/>
  <c r="AU43" i="2"/>
  <c r="AX11" i="7"/>
  <c r="AX43" i="7" s="1"/>
  <c r="AV30" i="2"/>
  <c r="AV48" i="2" s="1"/>
  <c r="AV34" i="2"/>
  <c r="AV27" i="2"/>
  <c r="AU67" i="7"/>
  <c r="AO167" i="4"/>
  <c r="AM109" i="4"/>
  <c r="AM96" i="4"/>
  <c r="AM106" i="4" s="1"/>
  <c r="AU48" i="2"/>
  <c r="BE44" i="2"/>
  <c r="F47" i="7" s="1"/>
  <c r="AU83" i="2" l="1"/>
  <c r="AV82" i="2" s="1"/>
  <c r="AW82" i="2" s="1"/>
  <c r="AU68" i="7"/>
  <c r="AO289" i="4"/>
  <c r="AU69" i="7" s="1"/>
  <c r="AO85" i="4"/>
  <c r="AY15" i="2" s="1"/>
  <c r="AO99" i="4"/>
  <c r="AV67" i="7"/>
  <c r="AP167" i="4"/>
  <c r="AO117" i="4"/>
  <c r="AY46" i="2" s="1"/>
  <c r="AO163" i="4"/>
  <c r="AP41" i="2"/>
  <c r="AP58" i="2" s="1"/>
  <c r="AO66" i="2"/>
  <c r="M46" i="7"/>
  <c r="K3" i="1"/>
  <c r="BB44" i="7"/>
  <c r="BB21" i="7"/>
  <c r="BD65" i="2"/>
  <c r="E68" i="7" s="1"/>
  <c r="AN64" i="2"/>
  <c r="AT74" i="2"/>
  <c r="AS71" i="2"/>
  <c r="AS70" i="2" s="1"/>
  <c r="AZ10" i="7"/>
  <c r="AX26" i="2"/>
  <c r="AX18" i="2"/>
  <c r="F44" i="7"/>
  <c r="AV43" i="2"/>
  <c r="AV83" i="2" s="1"/>
  <c r="AV35" i="2"/>
  <c r="AP253" i="4"/>
  <c r="AP252" i="4" s="1"/>
  <c r="AO252" i="4"/>
  <c r="AN109" i="4"/>
  <c r="AN96" i="4"/>
  <c r="AN106" i="4" s="1"/>
  <c r="AY11" i="7"/>
  <c r="AY43" i="7" s="1"/>
  <c r="AW30" i="2"/>
  <c r="AW48" i="2" s="1"/>
  <c r="AW27" i="2"/>
  <c r="F27" i="7"/>
  <c r="M24" i="7" s="1"/>
  <c r="K19" i="1" s="1"/>
  <c r="BE20" i="2"/>
  <c r="F23" i="7" s="1"/>
  <c r="M25" i="7" s="1"/>
  <c r="K15" i="1" s="1"/>
  <c r="AP89" i="4"/>
  <c r="AP288" i="4"/>
  <c r="AP85" i="4" l="1"/>
  <c r="AP99" i="4"/>
  <c r="BG89" i="4"/>
  <c r="AV68" i="7"/>
  <c r="AP289" i="4"/>
  <c r="AV69" i="7" s="1"/>
  <c r="AP117" i="4"/>
  <c r="AZ46" i="2" s="1"/>
  <c r="BE46" i="2" s="1"/>
  <c r="F49" i="7" s="1"/>
  <c r="AP163" i="4"/>
  <c r="AZ11" i="7"/>
  <c r="AZ43" i="7" s="1"/>
  <c r="AX27" i="2"/>
  <c r="AX30" i="2"/>
  <c r="AX48" i="2" s="1"/>
  <c r="AO109" i="4"/>
  <c r="AO96" i="4"/>
  <c r="AO106" i="4" s="1"/>
  <c r="AZ15" i="2"/>
  <c r="AY17" i="2"/>
  <c r="AQ41" i="2"/>
  <c r="AQ58" i="2" s="1"/>
  <c r="AP66" i="2"/>
  <c r="AU74" i="2"/>
  <c r="AT71" i="2"/>
  <c r="AT70" i="2" s="1"/>
  <c r="AQ7" i="7"/>
  <c r="AQ20" i="7" s="1"/>
  <c r="AQ42" i="7" s="1"/>
  <c r="AO65" i="2"/>
  <c r="AO64" i="2" s="1"/>
  <c r="AO81" i="2" s="1"/>
  <c r="AO77" i="2" s="1"/>
  <c r="AO85" i="2" s="1"/>
  <c r="AW34" i="2"/>
  <c r="AN81" i="2"/>
  <c r="BD64" i="2"/>
  <c r="E67" i="7" s="1"/>
  <c r="L32" i="7" s="1"/>
  <c r="J24" i="1" s="1"/>
  <c r="BA10" i="7" l="1"/>
  <c r="AY26" i="2"/>
  <c r="AY18" i="2"/>
  <c r="BE15" i="2"/>
  <c r="AZ17" i="2"/>
  <c r="AV74" i="2"/>
  <c r="AU71" i="2"/>
  <c r="AU70" i="2" s="1"/>
  <c r="AP109" i="4"/>
  <c r="AP96" i="4"/>
  <c r="AP106" i="4" s="1"/>
  <c r="BD81" i="2"/>
  <c r="E84" i="7" s="1"/>
  <c r="AN77" i="2"/>
  <c r="AW43" i="2"/>
  <c r="AW83" i="2" s="1"/>
  <c r="AX82" i="2" s="1"/>
  <c r="AW35" i="2"/>
  <c r="BG85" i="4"/>
  <c r="BG99" i="4"/>
  <c r="AR7" i="7"/>
  <c r="AR20" i="7" s="1"/>
  <c r="AR42" i="7" s="1"/>
  <c r="AP65" i="2"/>
  <c r="AP64" i="2" s="1"/>
  <c r="AP81" i="2" s="1"/>
  <c r="AP77" i="2" s="1"/>
  <c r="AP85" i="2" s="1"/>
  <c r="AX34" i="2"/>
  <c r="AQ66" i="2"/>
  <c r="AR41" i="2"/>
  <c r="AR58" i="2" s="1"/>
  <c r="BB10" i="7" l="1"/>
  <c r="AZ26" i="2"/>
  <c r="AZ18" i="2"/>
  <c r="BG109" i="4"/>
  <c r="BG96" i="4"/>
  <c r="BG106" i="4" s="1"/>
  <c r="AW74" i="2"/>
  <c r="AV71" i="2"/>
  <c r="AV70" i="2" s="1"/>
  <c r="AS41" i="2"/>
  <c r="AS58" i="2" s="1"/>
  <c r="AR66" i="2"/>
  <c r="F18" i="7"/>
  <c r="M17" i="7" s="1"/>
  <c r="K11" i="1" s="1"/>
  <c r="BE17" i="2"/>
  <c r="AS7" i="7"/>
  <c r="AS20" i="7" s="1"/>
  <c r="AS42" i="7" s="1"/>
  <c r="AQ65" i="2"/>
  <c r="AQ64" i="2" s="1"/>
  <c r="AQ81" i="2" s="1"/>
  <c r="AQ77" i="2" s="1"/>
  <c r="AQ85" i="2" s="1"/>
  <c r="AN85" i="2"/>
  <c r="BD85" i="2" s="1"/>
  <c r="E88" i="7" s="1"/>
  <c r="L41" i="7" s="1"/>
  <c r="J32" i="1" s="1"/>
  <c r="BD77" i="2"/>
  <c r="E80" i="7" s="1"/>
  <c r="L39" i="7" s="1"/>
  <c r="J31" i="1" s="1"/>
  <c r="AY82" i="2"/>
  <c r="AX35" i="2"/>
  <c r="AX43" i="2"/>
  <c r="AX83" i="2" s="1"/>
  <c r="BA11" i="7"/>
  <c r="BA43" i="7" s="1"/>
  <c r="AY30" i="2"/>
  <c r="AY48" i="2" s="1"/>
  <c r="AY27" i="2"/>
  <c r="AS66" i="2" l="1"/>
  <c r="AT41" i="2"/>
  <c r="AT58" i="2" s="1"/>
  <c r="AX74" i="2"/>
  <c r="AW71" i="2"/>
  <c r="AW70" i="2" s="1"/>
  <c r="AY34" i="2"/>
  <c r="F20" i="7"/>
  <c r="M18" i="7" s="1"/>
  <c r="K12" i="1" s="1"/>
  <c r="BE18" i="2"/>
  <c r="F21" i="7" s="1"/>
  <c r="M19" i="7" s="1"/>
  <c r="K13" i="1" s="1"/>
  <c r="BE26" i="2"/>
  <c r="BB11" i="7"/>
  <c r="BB43" i="7" s="1"/>
  <c r="AZ30" i="2"/>
  <c r="AZ27" i="2"/>
  <c r="AZ34" i="2"/>
  <c r="AT7" i="7"/>
  <c r="AT20" i="7" s="1"/>
  <c r="AT42" i="7" s="1"/>
  <c r="AR65" i="2"/>
  <c r="AR64" i="2" s="1"/>
  <c r="AR81" i="2" s="1"/>
  <c r="AR77" i="2" s="1"/>
  <c r="AR85" i="2" s="1"/>
  <c r="F29" i="7" l="1"/>
  <c r="M26" i="7" s="1"/>
  <c r="BE27" i="2"/>
  <c r="F30" i="7" s="1"/>
  <c r="M27" i="7" s="1"/>
  <c r="K21" i="1" s="1"/>
  <c r="AZ43" i="2"/>
  <c r="AZ35" i="2"/>
  <c r="AY74" i="2"/>
  <c r="AX71" i="2"/>
  <c r="AX70" i="2" s="1"/>
  <c r="AY43" i="2"/>
  <c r="AY83" i="2" s="1"/>
  <c r="AZ82" i="2" s="1"/>
  <c r="BE82" i="2" s="1"/>
  <c r="F85" i="7" s="1"/>
  <c r="AY35" i="2"/>
  <c r="AZ48" i="2"/>
  <c r="BE48" i="2" s="1"/>
  <c r="F51" i="7" s="1"/>
  <c r="BE30" i="2"/>
  <c r="F33" i="7" s="1"/>
  <c r="AU41" i="2"/>
  <c r="AU58" i="2" s="1"/>
  <c r="AT66" i="2"/>
  <c r="AU7" i="7"/>
  <c r="AU20" i="7" s="1"/>
  <c r="AU42" i="7" s="1"/>
  <c r="AS65" i="2"/>
  <c r="AS64" i="2" s="1"/>
  <c r="AS81" i="2" s="1"/>
  <c r="AS77" i="2" s="1"/>
  <c r="AS85" i="2" s="1"/>
  <c r="AZ74" i="2" l="1"/>
  <c r="AY71" i="2"/>
  <c r="AY70" i="2" s="1"/>
  <c r="AV7" i="7"/>
  <c r="AV20" i="7" s="1"/>
  <c r="AV42" i="7" s="1"/>
  <c r="AT65" i="2"/>
  <c r="AT64" i="2" s="1"/>
  <c r="AT81" i="2" s="1"/>
  <c r="AT77" i="2" s="1"/>
  <c r="AT85" i="2" s="1"/>
  <c r="AU66" i="2"/>
  <c r="AV41" i="2"/>
  <c r="AV58" i="2" s="1"/>
  <c r="M47" i="7"/>
  <c r="K20" i="1"/>
  <c r="AZ83" i="2"/>
  <c r="BE83" i="2" s="1"/>
  <c r="F86" i="7" s="1"/>
  <c r="BE43" i="2"/>
  <c r="BE34" i="2"/>
  <c r="F37" i="7" l="1"/>
  <c r="BE35" i="2"/>
  <c r="F38" i="7" s="1"/>
  <c r="BE74" i="2"/>
  <c r="F77" i="7" s="1"/>
  <c r="AZ71" i="2"/>
  <c r="AV66" i="2"/>
  <c r="AW41" i="2"/>
  <c r="AW58" i="2" s="1"/>
  <c r="AW7" i="7"/>
  <c r="AW20" i="7" s="1"/>
  <c r="AW42" i="7" s="1"/>
  <c r="AU65" i="2"/>
  <c r="AU64" i="2" s="1"/>
  <c r="AU81" i="2" s="1"/>
  <c r="AU77" i="2" s="1"/>
  <c r="AU85" i="2" s="1"/>
  <c r="F46" i="7"/>
  <c r="BE58" i="2"/>
  <c r="F61" i="7" s="1"/>
  <c r="AW66" i="2" l="1"/>
  <c r="AX41" i="2"/>
  <c r="AX58" i="2" s="1"/>
  <c r="AX7" i="7"/>
  <c r="AX20" i="7" s="1"/>
  <c r="AX42" i="7" s="1"/>
  <c r="AV65" i="2"/>
  <c r="AV64" i="2" s="1"/>
  <c r="AV81" i="2" s="1"/>
  <c r="AV77" i="2" s="1"/>
  <c r="AV85" i="2" s="1"/>
  <c r="BE71" i="2"/>
  <c r="F74" i="7" s="1"/>
  <c r="M37" i="7" s="1"/>
  <c r="K29" i="1" s="1"/>
  <c r="AZ70" i="2"/>
  <c r="BE70" i="2" s="1"/>
  <c r="F73" i="7" s="1"/>
  <c r="M36" i="7" s="1"/>
  <c r="K28" i="1" s="1"/>
  <c r="AY7" i="7" l="1"/>
  <c r="AY20" i="7" s="1"/>
  <c r="AY42" i="7" s="1"/>
  <c r="AW65" i="2"/>
  <c r="AW64" i="2" s="1"/>
  <c r="AW81" i="2" s="1"/>
  <c r="AW77" i="2" s="1"/>
  <c r="AW85" i="2" s="1"/>
  <c r="AY41" i="2"/>
  <c r="AY58" i="2" s="1"/>
  <c r="AX66" i="2"/>
  <c r="AY66" i="2" l="1"/>
  <c r="AZ41" i="2"/>
  <c r="AZ58" i="2" s="1"/>
  <c r="AZ66" i="2" s="1"/>
  <c r="AZ7" i="7"/>
  <c r="AZ20" i="7" s="1"/>
  <c r="AZ42" i="7" s="1"/>
  <c r="AX65" i="2"/>
  <c r="AX64" i="2" s="1"/>
  <c r="AX81" i="2" s="1"/>
  <c r="AX77" i="2" s="1"/>
  <c r="AX85" i="2" s="1"/>
  <c r="BA7" i="7" l="1"/>
  <c r="BA20" i="7" s="1"/>
  <c r="BA42" i="7" s="1"/>
  <c r="AY65" i="2"/>
  <c r="AY64" i="2" s="1"/>
  <c r="AY81" i="2" s="1"/>
  <c r="AY77" i="2" s="1"/>
  <c r="AY85" i="2" s="1"/>
  <c r="BB7" i="7"/>
  <c r="BB20" i="7" s="1"/>
  <c r="BB42" i="7" s="1"/>
  <c r="AZ65" i="2"/>
  <c r="BE66" i="2"/>
  <c r="F69" i="7" s="1"/>
  <c r="M33" i="7" s="1"/>
  <c r="K25" i="1" s="1"/>
  <c r="AZ64" i="2" l="1"/>
  <c r="BE65" i="2"/>
  <c r="F68" i="7" s="1"/>
  <c r="AZ81" i="2" l="1"/>
  <c r="BE64" i="2"/>
  <c r="F67" i="7" s="1"/>
  <c r="M32" i="7" s="1"/>
  <c r="K24" i="1" s="1"/>
  <c r="BE81" i="2" l="1"/>
  <c r="F84" i="7" s="1"/>
  <c r="AZ77" i="2"/>
  <c r="AZ85" i="2" l="1"/>
  <c r="BE85" i="2" s="1"/>
  <c r="F88" i="7" s="1"/>
  <c r="M41" i="7" s="1"/>
  <c r="K32" i="1" s="1"/>
  <c r="BE77" i="2"/>
  <c r="F80" i="7" s="1"/>
  <c r="M39" i="7" s="1"/>
  <c r="K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4" authorId="0" shapeId="0" xr:uid="{00000000-0006-0000-0100-000001000000}">
      <text>
        <r>
          <rPr>
            <sz val="11"/>
            <color theme="1"/>
            <rFont val="Aptos Narrow"/>
            <scheme val="minor"/>
          </rPr>
          <t>Rich Cohen:
Empower MH is currently an S-Corp. $450K withdrawn to pay taxes charged to the Owner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" authorId="0" shapeId="0" xr:uid="{00000000-0006-0000-0400-000001000000}">
      <text>
        <r>
          <rPr>
            <sz val="11"/>
            <color theme="1"/>
            <rFont val="Aptos Narrow"/>
            <scheme val="minor"/>
          </rPr>
          <t>Rich Cohen:
Empower MH is currently an S-Corp. $450K withdrawn to pay taxes charged to the Owner</t>
        </r>
      </text>
    </comment>
    <comment ref="B10" authorId="0" shapeId="0" xr:uid="{00000000-0006-0000-0400-000002000000}">
      <text>
        <r>
          <rPr>
            <sz val="11"/>
            <color theme="1"/>
            <rFont val="Aptos Narrow"/>
            <scheme val="minor"/>
          </rPr>
          <t xml:space="preserve">Rich Cohen:
Is Nate the COO or another C level
</t>
        </r>
      </text>
    </comment>
    <comment ref="B13" authorId="0" shapeId="0" xr:uid="{00000000-0006-0000-0400-000003000000}">
      <text>
        <r>
          <rPr>
            <sz val="11"/>
            <color theme="1"/>
            <rFont val="Aptos Narrow"/>
            <scheme val="minor"/>
          </rPr>
          <t>Rich Cohen:
Is this the person who will be managing the procurement and management of the new offices</t>
        </r>
      </text>
    </comment>
    <comment ref="G20" authorId="0" shapeId="0" xr:uid="{00000000-0006-0000-0400-000004000000}">
      <text>
        <r>
          <rPr>
            <sz val="11"/>
            <color theme="1"/>
            <rFont val="Aptos Narrow"/>
            <scheme val="minor"/>
          </rPr>
          <t xml:space="preserve">Rich Cohen:
$24/hour </t>
        </r>
      </text>
    </comment>
    <comment ref="G66" authorId="0" shapeId="0" xr:uid="{00000000-0006-0000-0400-000005000000}">
      <text>
        <r>
          <rPr>
            <sz val="11"/>
            <color theme="1"/>
            <rFont val="Aptos Narrow"/>
            <scheme val="minor"/>
          </rPr>
          <t>Rich Cohen:
100K seems high, check</t>
        </r>
      </text>
    </comment>
  </commentList>
</comments>
</file>

<file path=xl/sharedStrings.xml><?xml version="1.0" encoding="utf-8"?>
<sst xmlns="http://schemas.openxmlformats.org/spreadsheetml/2006/main" count="1676" uniqueCount="809">
  <si>
    <t>x</t>
  </si>
  <si>
    <t>Financial Dashboard</t>
  </si>
  <si>
    <t>Income Statement</t>
  </si>
  <si>
    <t>2025-F</t>
  </si>
  <si>
    <t>2026-F</t>
  </si>
  <si>
    <t>2027-F</t>
  </si>
  <si>
    <t>Balance Sheet</t>
  </si>
  <si>
    <t>Assets</t>
  </si>
  <si>
    <t>Liabilities</t>
  </si>
  <si>
    <t>Equity</t>
  </si>
  <si>
    <t xml:space="preserve"> </t>
  </si>
  <si>
    <t>Profit &amp; Loss Forecast</t>
  </si>
  <si>
    <t>Revenue</t>
  </si>
  <si>
    <t>VA Mental Health</t>
  </si>
  <si>
    <t>VA Medical Exams</t>
  </si>
  <si>
    <t>Personal Injury</t>
  </si>
  <si>
    <t>Workers Comp</t>
  </si>
  <si>
    <t>SaaS</t>
  </si>
  <si>
    <t>Corrections</t>
  </si>
  <si>
    <t>Healthcare Compliance</t>
  </si>
  <si>
    <t>Employee Wellness</t>
  </si>
  <si>
    <t>COGS</t>
  </si>
  <si>
    <t>Gross Profit</t>
  </si>
  <si>
    <t>Gross Margin</t>
  </si>
  <si>
    <t>Expenses</t>
  </si>
  <si>
    <t>Technology</t>
  </si>
  <si>
    <t>Marketing &amp; Development</t>
  </si>
  <si>
    <t>Clinical Operations</t>
  </si>
  <si>
    <t>General Administrative</t>
  </si>
  <si>
    <t>EBITDA</t>
  </si>
  <si>
    <t>EBIT Margin</t>
  </si>
  <si>
    <t>Interest Expense</t>
  </si>
  <si>
    <t>Income Tax</t>
  </si>
  <si>
    <t>Depreciation</t>
  </si>
  <si>
    <t>Amortization</t>
  </si>
  <si>
    <t>Net Income</t>
  </si>
  <si>
    <t>Net Margin</t>
  </si>
  <si>
    <t>Cashflow Forecast</t>
  </si>
  <si>
    <t>Starting Cash</t>
  </si>
  <si>
    <t>Recievables</t>
  </si>
  <si>
    <t>Payables - COGS</t>
  </si>
  <si>
    <t xml:space="preserve">Net Contribution Cash </t>
  </si>
  <si>
    <t xml:space="preserve">Net Expense Cash </t>
  </si>
  <si>
    <t>Taxes Paid</t>
  </si>
  <si>
    <t>Net Credit Card</t>
  </si>
  <si>
    <t>Owner's Draw</t>
  </si>
  <si>
    <t>Capital Raise</t>
  </si>
  <si>
    <t>Loan Principal</t>
  </si>
  <si>
    <t>Ending Cash</t>
  </si>
  <si>
    <t>Balance Sheet Forecast</t>
  </si>
  <si>
    <t>ASSETS</t>
  </si>
  <si>
    <t>Current Assets</t>
  </si>
  <si>
    <t>Cash</t>
  </si>
  <si>
    <t>Accounts Receivable</t>
  </si>
  <si>
    <t>Fixed Assets</t>
  </si>
  <si>
    <t>LIABILITIES</t>
  </si>
  <si>
    <t>Current Liabilities</t>
  </si>
  <si>
    <t>Total Credit Cards</t>
  </si>
  <si>
    <t>Accounts Payable</t>
  </si>
  <si>
    <t>Taxes Payable</t>
  </si>
  <si>
    <t>Long-Term Liabilities</t>
  </si>
  <si>
    <t>EQUITY</t>
  </si>
  <si>
    <t>Opening Balance Equity</t>
  </si>
  <si>
    <t>Investment By Others</t>
  </si>
  <si>
    <t>Cumulative Owners Draw</t>
  </si>
  <si>
    <t xml:space="preserve">Balancing  </t>
  </si>
  <si>
    <t>Retained Earnings</t>
  </si>
  <si>
    <t>LIABILITIES AND EQUITY</t>
  </si>
  <si>
    <t>ASSUMPTIONS:</t>
  </si>
  <si>
    <t>General:</t>
  </si>
  <si>
    <t>G1</t>
  </si>
  <si>
    <t>The model spans 4 years: 2024 - 2027.  It includes both actual and forecasted financials.</t>
  </si>
  <si>
    <t>G2</t>
  </si>
  <si>
    <t>The Financial outputs can be found in the "Dashboard" page highlited in red or the "Monthly Financial Reports" highlited in blue</t>
  </si>
  <si>
    <t>G3</t>
  </si>
  <si>
    <t>The model uses the GAAP-approved acrural accounting method and treats taxes as if the company were a C-corp.  At present the company is an S-Corp that manages its books on a cash basis. In transistioning from method to the other, there may be small inconsistencies.</t>
  </si>
  <si>
    <t>G4</t>
  </si>
  <si>
    <t xml:space="preserve">The model is interactive.  All assumption inputs are in boxed yellow cells.  Changes to an assumption will flow through the entire model. </t>
  </si>
  <si>
    <t>G5</t>
  </si>
  <si>
    <t>Most of the assumptions and calculations are inputted and performed on the "Worksheet" page highlited in green.</t>
  </si>
  <si>
    <t>Fund Raise:</t>
  </si>
  <si>
    <t>FR1</t>
  </si>
  <si>
    <t>Input for the capital raised is on line 55 of the "Monthly Financial Reports."</t>
  </si>
  <si>
    <t>Staffing:</t>
  </si>
  <si>
    <t>S1</t>
  </si>
  <si>
    <t>Staffing details and inputs are on the "Staffing" sheet highlited in yellow</t>
  </si>
  <si>
    <t>S2</t>
  </si>
  <si>
    <t>Employees focused on one specific product are counted as COGS for that product.  The remainder are counted as an expense by function.</t>
  </si>
  <si>
    <t>S3</t>
  </si>
  <si>
    <t>The starting dates of all staff counted as COGS are driven by the start date of that product.</t>
  </si>
  <si>
    <t>S4</t>
  </si>
  <si>
    <t>Starting dates for funcitional staff and all salaries are inputted manually on the staffing sheet.</t>
  </si>
  <si>
    <t>Product Rollout:</t>
  </si>
  <si>
    <t>PR1</t>
  </si>
  <si>
    <t>Starting dates of the product rollout are inputted in Worksheet rows 6-18 and drive the calculations for the rest of the model</t>
  </si>
  <si>
    <t>PR2</t>
  </si>
  <si>
    <t>There is a graphical representation of the rollout as a seperate sheet highlited in pink</t>
  </si>
  <si>
    <t>Expenses:</t>
  </si>
  <si>
    <t>EX1</t>
  </si>
  <si>
    <t>Functional Expenses and overhead are tracked in Worksheet rows 20-83</t>
  </si>
  <si>
    <t>EX2</t>
  </si>
  <si>
    <t>Most inputs are growth factors to existing expenses</t>
  </si>
  <si>
    <t>Taxes and Benefits:</t>
  </si>
  <si>
    <t>TB1</t>
  </si>
  <si>
    <t>Payroll tax: 7.65% of gross salary - Input on "Staffing" sheet</t>
  </si>
  <si>
    <t>TB2</t>
  </si>
  <si>
    <t>Average Employee Benefits: 16% of gross salary - Input in "Staffing" sheet.</t>
  </si>
  <si>
    <t>TB3</t>
  </si>
  <si>
    <t>Federal and State Income tax: 25.9% of EBITDA - Input in "Monthly Financial Reports"</t>
  </si>
  <si>
    <t>TB4</t>
  </si>
  <si>
    <t>For simplicity, model shows income taxes paid once a year in April.  This is not going to be the case in reality.</t>
  </si>
  <si>
    <t>Summaries of Revenue, COGS and Accrual Adjustments:</t>
  </si>
  <si>
    <t>RCC1</t>
  </si>
  <si>
    <t>Financial assumptions and calculations are inputted and performed per project in the in "Worksheet"</t>
  </si>
  <si>
    <t>RCC2</t>
  </si>
  <si>
    <t>The Summaries of the Revenue, COGS and Accrual Adjustments are the results of those assumprtions and calculations.</t>
  </si>
  <si>
    <t>RCC3</t>
  </si>
  <si>
    <t>The Summary of COGS is shown in Worksheet rows 85-115</t>
  </si>
  <si>
    <t>RCC4</t>
  </si>
  <si>
    <t>The Summary of Revenues is shown in Worksheet rows 175-192</t>
  </si>
  <si>
    <t>RCC5</t>
  </si>
  <si>
    <t>Accrual adjustments are summarized in Worksheet lines 117-173</t>
  </si>
  <si>
    <t>RCC6</t>
  </si>
  <si>
    <t>The Income Statement is affected by the MONTHLY Receivables and Payables of each Product</t>
  </si>
  <si>
    <t>RCC7</t>
  </si>
  <si>
    <t>The Balance Sheet is affected by MONTHLY Net Cash as well as CUMULATIVE recievables and payables of each product</t>
  </si>
  <si>
    <t>Product Assumptions and Calculations:</t>
  </si>
  <si>
    <r>
      <rPr>
        <b/>
        <sz val="11"/>
        <color theme="1"/>
        <rFont val="Calibri"/>
      </rPr>
      <t>VA Mental Health</t>
    </r>
    <r>
      <rPr>
        <sz val="11"/>
        <color theme="1"/>
        <rFont val="Calibri"/>
      </rPr>
      <t>: Worksheet lines 196-236</t>
    </r>
  </si>
  <si>
    <t xml:space="preserve"> - Current product line, broken out by contract, financial assumptions based on actual data</t>
  </si>
  <si>
    <r>
      <rPr>
        <b/>
        <sz val="11"/>
        <color theme="1"/>
        <rFont val="Calibri"/>
      </rPr>
      <t>VA Medical Exams</t>
    </r>
    <r>
      <rPr>
        <sz val="11"/>
        <color theme="1"/>
        <rFont val="Calibri"/>
      </rPr>
      <t>: Worksheet lines 238-271</t>
    </r>
  </si>
  <si>
    <t xml:space="preserve"> - Current product line, broken out by contract, projected assumptions based on actual data</t>
  </si>
  <si>
    <t xml:space="preserve"> - Sharp increase in sales driven by addition of Loyal Source contract in August 2025</t>
  </si>
  <si>
    <r>
      <rPr>
        <b/>
        <sz val="11"/>
        <color theme="1"/>
        <rFont val="Calibri"/>
      </rPr>
      <t>Personal Injury</t>
    </r>
    <r>
      <rPr>
        <sz val="11"/>
        <color theme="1"/>
        <rFont val="Calibri"/>
      </rPr>
      <t>: Worksheet lines 273-309</t>
    </r>
  </si>
  <si>
    <t xml:space="preserve"> - Current product line, financial assumptions based on actual data</t>
  </si>
  <si>
    <t xml:space="preserve"> - 9 month recievable is key driver in cash driver of available cash </t>
  </si>
  <si>
    <t xml:space="preserve"> - Start dates of PI-only staff managed in this section and are tied to growth of PI sales</t>
  </si>
  <si>
    <r>
      <rPr>
        <b/>
        <sz val="11"/>
        <color theme="1"/>
        <rFont val="Calibri"/>
      </rPr>
      <t>Workers Comp</t>
    </r>
    <r>
      <rPr>
        <sz val="11"/>
        <color theme="1"/>
        <rFont val="Calibri"/>
      </rPr>
      <t>: Worksheet lines 311-337</t>
    </r>
  </si>
  <si>
    <t xml:space="preserve"> - Program started in August 2025</t>
  </si>
  <si>
    <r>
      <rPr>
        <b/>
        <sz val="11"/>
        <color theme="1"/>
        <rFont val="Calibri"/>
      </rPr>
      <t>SaaS</t>
    </r>
    <r>
      <rPr>
        <sz val="11"/>
        <color theme="1"/>
        <rFont val="Calibri"/>
      </rPr>
      <t>: Worksheet lines 521-579</t>
    </r>
  </si>
  <si>
    <t xml:space="preserve"> - COGS include per user fees and growth in SaaS staffing</t>
  </si>
  <si>
    <r>
      <rPr>
        <b/>
        <sz val="11"/>
        <color theme="1"/>
        <rFont val="Calibri"/>
      </rPr>
      <t>Corrections</t>
    </r>
    <r>
      <rPr>
        <sz val="11"/>
        <color theme="1"/>
        <rFont val="Calibri"/>
      </rPr>
      <t>:  Worksheet lines 339-419</t>
    </r>
  </si>
  <si>
    <t xml:space="preserve"> - Start out as subcontractor to establish reputation.  Then approach clients as a direct provider, requiring lobbying support.</t>
  </si>
  <si>
    <r>
      <rPr>
        <b/>
        <sz val="11"/>
        <color theme="1"/>
        <rFont val="Calibri"/>
      </rPr>
      <t>Healthcare Compliance</t>
    </r>
    <r>
      <rPr>
        <sz val="11"/>
        <color theme="1"/>
        <rFont val="Calibri"/>
      </rPr>
      <t>: Worksheet lines 467-519</t>
    </r>
  </si>
  <si>
    <t xml:space="preserve"> - Modest 2027 sales are for Dialysis industry only.  However, this product is applicable thoughout the medical industry.</t>
  </si>
  <si>
    <t xml:space="preserve"> - EmpowerHC views Healthcare Compliance as a high-potential growth sector for 2028 and beyond (outside the timeframe of this model)</t>
  </si>
  <si>
    <t>Annual</t>
  </si>
  <si>
    <t>Product Rollout</t>
  </si>
  <si>
    <t>Launch Date</t>
  </si>
  <si>
    <t>Months Prep</t>
  </si>
  <si>
    <t>Start Prep</t>
  </si>
  <si>
    <t>VA - Mental Health</t>
  </si>
  <si>
    <t>VA - Medical Evaluations</t>
  </si>
  <si>
    <t>Starting to have expenses</t>
  </si>
  <si>
    <t>Data Analytics</t>
  </si>
  <si>
    <t>Expenses less Staff</t>
  </si>
  <si>
    <t>Difference month to month</t>
  </si>
  <si>
    <t>IT department - development costs and staff (How many staff?)</t>
  </si>
  <si>
    <t>Set up // Monthly</t>
  </si>
  <si>
    <t>SEO Tools and Audit</t>
  </si>
  <si>
    <t>Data analysis: HC Compliance</t>
  </si>
  <si>
    <t>Monthly</t>
  </si>
  <si>
    <t>Staff</t>
  </si>
  <si>
    <t xml:space="preserve"> Marketing and Development</t>
  </si>
  <si>
    <t>BD</t>
  </si>
  <si>
    <t>Brand Development</t>
  </si>
  <si>
    <t>For 9 months</t>
  </si>
  <si>
    <t>Content Production</t>
  </si>
  <si>
    <t>Thought Leadership Content</t>
  </si>
  <si>
    <t>Quarterly</t>
  </si>
  <si>
    <t>Brand Collateral</t>
  </si>
  <si>
    <t>Digital Demand Generator</t>
  </si>
  <si>
    <t>ABM Tools</t>
  </si>
  <si>
    <t>Sales Enablement Collateral</t>
  </si>
  <si>
    <t>Flagship Conf Booths - 3</t>
  </si>
  <si>
    <t>Roadshows - 5 Cities</t>
  </si>
  <si>
    <t>Every other month except Dec</t>
  </si>
  <si>
    <t>Onsite Staffing and Travel</t>
  </si>
  <si>
    <t>Single Marquee Sponsorship</t>
  </si>
  <si>
    <t>Annually</t>
  </si>
  <si>
    <t>Paid Search and Social</t>
  </si>
  <si>
    <t>Organic Social Management</t>
  </si>
  <si>
    <t>CO</t>
  </si>
  <si>
    <t>Sign on incent: 2.5K/250 providers</t>
  </si>
  <si>
    <t>per month</t>
  </si>
  <si>
    <t>Recruitment Ads (10 mkts)</t>
  </si>
  <si>
    <t>per 2 Markets</t>
  </si>
  <si>
    <t>Outreach Platform</t>
  </si>
  <si>
    <t>month program; expense/month</t>
  </si>
  <si>
    <t>Provider Workshops&amp; events</t>
  </si>
  <si>
    <t>first 3 quarters // year end</t>
  </si>
  <si>
    <t>Swag and provider kits</t>
  </si>
  <si>
    <t>per month // Workshop extras</t>
  </si>
  <si>
    <t>Base Expense</t>
  </si>
  <si>
    <t>Periodic Growth</t>
  </si>
  <si>
    <t>GA</t>
  </si>
  <si>
    <t>Automobile Expense</t>
  </si>
  <si>
    <t>Base/mo. - Growth/mo.</t>
  </si>
  <si>
    <t>Dues and Subscriptions</t>
  </si>
  <si>
    <t>Freelancers</t>
  </si>
  <si>
    <t>Insurance Expense</t>
  </si>
  <si>
    <t>Legal &amp; Professional Fees</t>
  </si>
  <si>
    <t>License</t>
  </si>
  <si>
    <t>Meals and Entertainment</t>
  </si>
  <si>
    <t>Office Expenses</t>
  </si>
  <si>
    <t>Office Supplies</t>
  </si>
  <si>
    <t>Payroll Processing Fees</t>
  </si>
  <si>
    <t>Rent Expense</t>
  </si>
  <si>
    <t>Plus $2,000/6 months</t>
  </si>
  <si>
    <t>Total Bank Charges</t>
  </si>
  <si>
    <t>Travel Expense</t>
  </si>
  <si>
    <t>Plus $100/month</t>
  </si>
  <si>
    <t>ST</t>
  </si>
  <si>
    <t>Total Payroll (tax/Benefits)</t>
  </si>
  <si>
    <t>G&amp;A</t>
  </si>
  <si>
    <t>Clinical Ops</t>
  </si>
  <si>
    <t>Marketing</t>
  </si>
  <si>
    <t>Business Dev</t>
  </si>
  <si>
    <t>PI</t>
  </si>
  <si>
    <t>HC Compliance</t>
  </si>
  <si>
    <t>Accrual Adjustments: Receivables, Payables and Net Cash</t>
  </si>
  <si>
    <t>Accounts Recievable</t>
  </si>
  <si>
    <t>Total AR (Monthly Cash Stmt)</t>
  </si>
  <si>
    <t>VA Medical Evaluations</t>
  </si>
  <si>
    <t>Total AR (Balance Sheet)</t>
  </si>
  <si>
    <t xml:space="preserve">Accounts Payable </t>
  </si>
  <si>
    <t>Total AP (Monthly Cash Stmt)</t>
  </si>
  <si>
    <t>Total AP (Balance)</t>
  </si>
  <si>
    <t>NET CONTRIBUTION CASH</t>
  </si>
  <si>
    <t>Initial Plug - Timing of AR</t>
  </si>
  <si>
    <t>VA Total</t>
  </si>
  <si>
    <t>Marketplace</t>
  </si>
  <si>
    <t xml:space="preserve"> 1 - Services</t>
  </si>
  <si>
    <t>Monthly Evals</t>
  </si>
  <si>
    <t>Evaluations</t>
  </si>
  <si>
    <t xml:space="preserve">Monthly Growth </t>
  </si>
  <si>
    <t>Avg Price</t>
  </si>
  <si>
    <t>Cash IN</t>
  </si>
  <si>
    <t>Days</t>
  </si>
  <si>
    <t>Avg Cost</t>
  </si>
  <si>
    <t>Cash OUT</t>
  </si>
  <si>
    <t>NET Cash</t>
  </si>
  <si>
    <t>Working Capital:</t>
  </si>
  <si>
    <t>NEW Recievable</t>
  </si>
  <si>
    <t>NEW Payable</t>
  </si>
  <si>
    <t>Balance Sheet:</t>
  </si>
  <si>
    <t>TOTAL Accounts Recievable</t>
  </si>
  <si>
    <t>TOTAL Accounts Payable</t>
  </si>
  <si>
    <t>Revenue by Contract</t>
  </si>
  <si>
    <t xml:space="preserve"> - OptumServe</t>
  </si>
  <si>
    <t xml:space="preserve"> - QTC Med Grp</t>
  </si>
  <si>
    <t>VES</t>
  </si>
  <si>
    <t>Other</t>
  </si>
  <si>
    <t>Loyal Source</t>
  </si>
  <si>
    <t>Mo Change</t>
  </si>
  <si>
    <t>Aug Mix</t>
  </si>
  <si>
    <t>Incremental Revenue Mix:</t>
  </si>
  <si>
    <t>Incremental Revenue:</t>
  </si>
  <si>
    <t>Monthly Encounters</t>
  </si>
  <si>
    <t>Encounters:</t>
  </si>
  <si>
    <t>Per Encounter</t>
  </si>
  <si>
    <t>Revenue:</t>
  </si>
  <si>
    <t>Avg Cost - Providers</t>
  </si>
  <si>
    <t>COGS - Providers:</t>
  </si>
  <si>
    <t>COGS - Office Space</t>
  </si>
  <si>
    <t>COGS - Office Space:</t>
  </si>
  <si>
    <t>Gross Profit:</t>
  </si>
  <si>
    <t>Gross Margin:</t>
  </si>
  <si>
    <t>Contract Analysis:</t>
  </si>
  <si>
    <t>Monthly Revenue</t>
  </si>
  <si>
    <t>Pct of new Revenue</t>
  </si>
  <si>
    <t>Incremental Monthly Revenue</t>
  </si>
  <si>
    <t>Balanace Sheet:</t>
  </si>
  <si>
    <t>Total</t>
  </si>
  <si>
    <t>Monthly New Patients</t>
  </si>
  <si>
    <t>Total Patients:</t>
  </si>
  <si>
    <t>Turnover:</t>
  </si>
  <si>
    <t>6 month Turnover</t>
  </si>
  <si>
    <t>Evaluations:</t>
  </si>
  <si>
    <t>Percent Evaluations</t>
  </si>
  <si>
    <t>Therapy:</t>
  </si>
  <si>
    <t>Percent Therapy</t>
  </si>
  <si>
    <t>Gross Price</t>
  </si>
  <si>
    <t>Collection %</t>
  </si>
  <si>
    <t>Collected Price</t>
  </si>
  <si>
    <t>Months</t>
  </si>
  <si>
    <t>Providers (Evaluations):</t>
  </si>
  <si>
    <t>Providers (Therapy):</t>
  </si>
  <si>
    <t>COGS Staff</t>
  </si>
  <si>
    <t>Cash IN:</t>
  </si>
  <si>
    <t>Cash OUT:</t>
  </si>
  <si>
    <t>NET Cash:</t>
  </si>
  <si>
    <t>Patients/New Coordnator</t>
  </si>
  <si>
    <t>Coordinators/New Manager</t>
  </si>
  <si>
    <t>NEW Recievable:</t>
  </si>
  <si>
    <t>NEW Payable:</t>
  </si>
  <si>
    <t>Total Recievbales:</t>
  </si>
  <si>
    <t>Total Payables:</t>
  </si>
  <si>
    <t>Required Clinical Ops Staff:</t>
  </si>
  <si>
    <t>Legal Med Clinical Coordinators:</t>
  </si>
  <si>
    <t>Legal Med Clinical Manager:</t>
  </si>
  <si>
    <t>New Patients</t>
  </si>
  <si>
    <t>Initial Exams</t>
  </si>
  <si>
    <t>Sessions/month</t>
  </si>
  <si>
    <t>Monthly Sessions</t>
  </si>
  <si>
    <t>Months/patient</t>
  </si>
  <si>
    <t>Completed Sessions</t>
  </si>
  <si>
    <t>Percent Initial Evaluation</t>
  </si>
  <si>
    <t>Price: Initial Exam</t>
  </si>
  <si>
    <t>Initial Exam Revenue</t>
  </si>
  <si>
    <t>Price: Weekly Sessions</t>
  </si>
  <si>
    <t>Session Revenue</t>
  </si>
  <si>
    <t>Price: Session Month</t>
  </si>
  <si>
    <t>Initial Exam COGS</t>
  </si>
  <si>
    <t>COGS: Initial Exam</t>
  </si>
  <si>
    <t>Session COGS</t>
  </si>
  <si>
    <t>COGS: Weekly Sessions</t>
  </si>
  <si>
    <t>COGS: Session Month</t>
  </si>
  <si>
    <t>TOTAL Accounts Recievable:</t>
  </si>
  <si>
    <t>TOTAL Accounts Payable:</t>
  </si>
  <si>
    <t>Contract</t>
  </si>
  <si>
    <t>Direct</t>
  </si>
  <si>
    <t>Subcontract</t>
  </si>
  <si>
    <t>Number of Facilities</t>
  </si>
  <si>
    <t>Inmates per Facility</t>
  </si>
  <si>
    <t>Percent Participation</t>
  </si>
  <si>
    <t>Particating Inmates/Contract</t>
  </si>
  <si>
    <t>Provider - In House 1 on 1</t>
  </si>
  <si>
    <t>Support % of Provider</t>
  </si>
  <si>
    <t>Support Cost</t>
  </si>
  <si>
    <t>Mark Up</t>
  </si>
  <si>
    <t>Contribution Margin</t>
  </si>
  <si>
    <t>Price/Inmate Event</t>
  </si>
  <si>
    <t>Times per month</t>
  </si>
  <si>
    <t>Sessions/ month</t>
  </si>
  <si>
    <t>Revenue/Inmate per Mo</t>
  </si>
  <si>
    <t>Revenue per Month</t>
  </si>
  <si>
    <t>Group /Inmate per month</t>
  </si>
  <si>
    <t>Group Size</t>
  </si>
  <si>
    <t>Group / month</t>
  </si>
  <si>
    <t>Group Revenue Month</t>
  </si>
  <si>
    <t>COGS w/Support</t>
  </si>
  <si>
    <t xml:space="preserve">Gross Profit </t>
  </si>
  <si>
    <t>Mos btwn Contracts</t>
  </si>
  <si>
    <t>Mo #</t>
  </si>
  <si>
    <t>Month</t>
  </si>
  <si>
    <t>Active Prisioners</t>
  </si>
  <si>
    <t>Contract 1 - Base</t>
  </si>
  <si>
    <t>Contract 2</t>
  </si>
  <si>
    <t>Contract 3</t>
  </si>
  <si>
    <t>Contract 4</t>
  </si>
  <si>
    <t>Contract 5</t>
  </si>
  <si>
    <t>Contract 6</t>
  </si>
  <si>
    <t>Contract 7</t>
  </si>
  <si>
    <t>Contract 8</t>
  </si>
  <si>
    <t>Contract 9</t>
  </si>
  <si>
    <t>Contract 10</t>
  </si>
  <si>
    <t xml:space="preserve">Contract Type </t>
  </si>
  <si>
    <t>Prisoners</t>
  </si>
  <si>
    <t>Revenue/Mo</t>
  </si>
  <si>
    <t>Sub</t>
  </si>
  <si>
    <t>Dir</t>
  </si>
  <si>
    <t>COGS/Mo</t>
  </si>
  <si>
    <t>NEW Recievables:</t>
  </si>
  <si>
    <t>NEW Payables:</t>
  </si>
  <si>
    <t>CASH IN</t>
  </si>
  <si>
    <t>CASH OUT</t>
  </si>
  <si>
    <t>NET CASH</t>
  </si>
  <si>
    <t>Company Monthly Growth</t>
  </si>
  <si>
    <t>New Companies</t>
  </si>
  <si>
    <t>Cumulative Companies</t>
  </si>
  <si>
    <t>Draft Cumulative</t>
  </si>
  <si>
    <t>Annual Retention</t>
  </si>
  <si>
    <t>Retention</t>
  </si>
  <si>
    <t>Mix</t>
  </si>
  <si>
    <t>Total Companies:</t>
  </si>
  <si>
    <t>Level 1</t>
  </si>
  <si>
    <t>Level 1:</t>
  </si>
  <si>
    <t>Level 2</t>
  </si>
  <si>
    <t>Level 2:</t>
  </si>
  <si>
    <t>Level 3</t>
  </si>
  <si>
    <t>Level 3:</t>
  </si>
  <si>
    <t>Employees/Company</t>
  </si>
  <si>
    <t>Total Employees:</t>
  </si>
  <si>
    <t>Price/head</t>
  </si>
  <si>
    <t>Total Revenue:</t>
  </si>
  <si>
    <t>COGS/Head</t>
  </si>
  <si>
    <t>COGS:</t>
  </si>
  <si>
    <t>CASH IN:</t>
  </si>
  <si>
    <t>CASH OUT:</t>
  </si>
  <si>
    <t>NET CASH:</t>
  </si>
  <si>
    <t>Health Care Compliance - Dialysis</t>
  </si>
  <si>
    <t xml:space="preserve">Clinics/Patients </t>
  </si>
  <si>
    <t>Launch</t>
  </si>
  <si>
    <t>Increased Growth by 1/mo.</t>
  </si>
  <si>
    <t>Clinics Monthly Growth</t>
  </si>
  <si>
    <t>Active Clinics</t>
  </si>
  <si>
    <t>Monthly Patients/Clinic</t>
  </si>
  <si>
    <t>Total Patients</t>
  </si>
  <si>
    <t xml:space="preserve">Mix </t>
  </si>
  <si>
    <t>Patients/Tier:</t>
  </si>
  <si>
    <t>Tier 1</t>
  </si>
  <si>
    <t>Tier 1:</t>
  </si>
  <si>
    <t>Tier 2</t>
  </si>
  <si>
    <t>Tier 2:</t>
  </si>
  <si>
    <t>Tier 3</t>
  </si>
  <si>
    <t>Tier 3:</t>
  </si>
  <si>
    <t>Price PMPM</t>
  </si>
  <si>
    <t>COGS $</t>
  </si>
  <si>
    <t>Services</t>
  </si>
  <si>
    <t>Price</t>
  </si>
  <si>
    <t>Tier One:</t>
  </si>
  <si>
    <t xml:space="preserve"> - Wearables</t>
  </si>
  <si>
    <t xml:space="preserve"> - AI-driven alerts</t>
  </si>
  <si>
    <t xml:space="preserve"> - Scheduling Assistance</t>
  </si>
  <si>
    <t xml:space="preserve"> - Reporting Dashboard</t>
  </si>
  <si>
    <t xml:space="preserve"> - Population Analytics</t>
  </si>
  <si>
    <t>Tiered Staff COGS:</t>
  </si>
  <si>
    <t>Tiered Staff COGS</t>
  </si>
  <si>
    <t>Tier Two:</t>
  </si>
  <si>
    <t xml:space="preserve"> - Tier 1 services:</t>
  </si>
  <si>
    <t xml:space="preserve"> - Live Care Coordinators</t>
  </si>
  <si>
    <t xml:space="preserve"> - Automated TH Check-ins</t>
  </si>
  <si>
    <t>Ops COGS Salary:</t>
  </si>
  <si>
    <t xml:space="preserve"> - Crisis Intervention</t>
  </si>
  <si>
    <t>Less Tiered Staff COGS:</t>
  </si>
  <si>
    <t>Bus Develop COGS Salary:</t>
  </si>
  <si>
    <t>Tier Three:</t>
  </si>
  <si>
    <t>Net Staff COGS:</t>
  </si>
  <si>
    <t xml:space="preserve"> - Telehealth Check-ins</t>
  </si>
  <si>
    <t xml:space="preserve"> - Therapy</t>
  </si>
  <si>
    <t xml:space="preserve"> - Psych Med Management</t>
  </si>
  <si>
    <t xml:space="preserve"> - Case Management</t>
  </si>
  <si>
    <t>Days for providers</t>
  </si>
  <si>
    <t xml:space="preserve"> 2 - SaaS</t>
  </si>
  <si>
    <t>Sales</t>
  </si>
  <si>
    <t>Monthly Growth Factor</t>
  </si>
  <si>
    <t>New Users:</t>
  </si>
  <si>
    <t>Monthly Retention Rate</t>
  </si>
  <si>
    <t>Total Users:</t>
  </si>
  <si>
    <t>Share of Sales</t>
  </si>
  <si>
    <t>Total Users</t>
  </si>
  <si>
    <t>Percent Annual Plan</t>
  </si>
  <si>
    <t>Annual Users:</t>
  </si>
  <si>
    <t>Monthly Users:</t>
  </si>
  <si>
    <t>Annual New Sales</t>
  </si>
  <si>
    <t>Annual NEW Users:</t>
  </si>
  <si>
    <t>Price Annual Plan (Cash)</t>
  </si>
  <si>
    <t>Annual Cash Payment:</t>
  </si>
  <si>
    <t>Price Annual Plan (Revenue)</t>
  </si>
  <si>
    <t>Annual Revenue:</t>
  </si>
  <si>
    <t>Price Monthly Plan</t>
  </si>
  <si>
    <t>Monthly Revenue:</t>
  </si>
  <si>
    <t>SaaS COGS</t>
  </si>
  <si>
    <t>Infrastructure</t>
  </si>
  <si>
    <t>per total users</t>
  </si>
  <si>
    <t>License fee per user</t>
  </si>
  <si>
    <t>Onboarding</t>
  </si>
  <si>
    <t xml:space="preserve"> per new user</t>
  </si>
  <si>
    <t>Percernt COGS</t>
  </si>
  <si>
    <t xml:space="preserve"> 3 - Marketplace</t>
  </si>
  <si>
    <t>EMPLOYEES:</t>
  </si>
  <si>
    <t>Last</t>
  </si>
  <si>
    <t>First</t>
  </si>
  <si>
    <t>Title</t>
  </si>
  <si>
    <t>Department</t>
  </si>
  <si>
    <t>Salary</t>
  </si>
  <si>
    <t>Start Date</t>
  </si>
  <si>
    <t>Loeb</t>
  </si>
  <si>
    <t>Yisroel</t>
  </si>
  <si>
    <t>CEO</t>
  </si>
  <si>
    <t>Executive</t>
  </si>
  <si>
    <t>DRAW</t>
  </si>
  <si>
    <t>Reintein</t>
  </si>
  <si>
    <t>Sam</t>
  </si>
  <si>
    <t>CFO</t>
  </si>
  <si>
    <t>Blech</t>
  </si>
  <si>
    <t>Benzion</t>
  </si>
  <si>
    <t>CTO</t>
  </si>
  <si>
    <t>Craft</t>
  </si>
  <si>
    <t>Sherry</t>
  </si>
  <si>
    <t>CCO</t>
  </si>
  <si>
    <t>NEW</t>
  </si>
  <si>
    <t>CMO</t>
  </si>
  <si>
    <t>COO</t>
  </si>
  <si>
    <t>Cohen</t>
  </si>
  <si>
    <t>Nate</t>
  </si>
  <si>
    <t>Directors, Business Dev</t>
  </si>
  <si>
    <t>Dodson</t>
  </si>
  <si>
    <t>Danielle</t>
  </si>
  <si>
    <t>HR Director</t>
  </si>
  <si>
    <t>HR</t>
  </si>
  <si>
    <t>Kulfan</t>
  </si>
  <si>
    <t>Jaclyn</t>
  </si>
  <si>
    <t>Ops Director</t>
  </si>
  <si>
    <t>Operations</t>
  </si>
  <si>
    <t>Kawaski</t>
  </si>
  <si>
    <t>Bailey</t>
  </si>
  <si>
    <t>Office Manager</t>
  </si>
  <si>
    <t>Finance Admin</t>
  </si>
  <si>
    <t>Kluger</t>
  </si>
  <si>
    <t>Kasiah</t>
  </si>
  <si>
    <t>Mgr, Provider Recruiting</t>
  </si>
  <si>
    <t>Aviva</t>
  </si>
  <si>
    <t>David</t>
  </si>
  <si>
    <t>Gallegos</t>
  </si>
  <si>
    <t>Martha</t>
  </si>
  <si>
    <t>Case Mgr, PI</t>
  </si>
  <si>
    <t>Zuckerberg</t>
  </si>
  <si>
    <t>Beth</t>
  </si>
  <si>
    <t>Biz Dev, PI</t>
  </si>
  <si>
    <t>Rafael</t>
  </si>
  <si>
    <t>Ayden</t>
  </si>
  <si>
    <t>Biz Dev, Jr Assoc</t>
  </si>
  <si>
    <t>Rincon</t>
  </si>
  <si>
    <t>Ashlee</t>
  </si>
  <si>
    <t>Director, Clinical Ops</t>
  </si>
  <si>
    <t>Locke</t>
  </si>
  <si>
    <t>Ashley</t>
  </si>
  <si>
    <t>Clinical Ops Mgr</t>
  </si>
  <si>
    <t>Chapman</t>
  </si>
  <si>
    <t>Chelsea</t>
  </si>
  <si>
    <t>Clinical Care Coordinator</t>
  </si>
  <si>
    <t>Kessler</t>
  </si>
  <si>
    <t>Yaakov</t>
  </si>
  <si>
    <t>VP, Operations</t>
  </si>
  <si>
    <t>Tutrone</t>
  </si>
  <si>
    <t>Taylor</t>
  </si>
  <si>
    <t>Site Acquisition Specialist</t>
  </si>
  <si>
    <t>Kanter</t>
  </si>
  <si>
    <t>Yishai</t>
  </si>
  <si>
    <t>IT Solutions Engineer</t>
  </si>
  <si>
    <t>Technolgy</t>
  </si>
  <si>
    <t>QA</t>
  </si>
  <si>
    <t>Provider Liaison/Training</t>
  </si>
  <si>
    <t>Provider Recruiting</t>
  </si>
  <si>
    <t>Subscrptions</t>
  </si>
  <si>
    <t>Med-legal Clinical Manager</t>
  </si>
  <si>
    <t>Med-legal Clinical Coord</t>
  </si>
  <si>
    <t>IT Development</t>
  </si>
  <si>
    <t>Infrastructure Mgmt</t>
  </si>
  <si>
    <t>SaaS sales/Implement</t>
  </si>
  <si>
    <t>Marketing Ops Manager</t>
  </si>
  <si>
    <t>Campaign Manager</t>
  </si>
  <si>
    <t>CRM Administrator</t>
  </si>
  <si>
    <t>PR Relations Analyst</t>
  </si>
  <si>
    <t>Industry Dev, Manager</t>
  </si>
  <si>
    <t>Industry Dev, Associate</t>
  </si>
  <si>
    <t>Ops Director, Compliance</t>
  </si>
  <si>
    <t>Compliance Developer</t>
  </si>
  <si>
    <t>Compliance Ops, Manager</t>
  </si>
  <si>
    <t>Compliance Ops, Associate</t>
  </si>
  <si>
    <t>Staff Recruiting/Onboarding</t>
  </si>
  <si>
    <t>HR Associate</t>
  </si>
  <si>
    <t>In-house Attorney</t>
  </si>
  <si>
    <t>Fin, Legal &amp; Admin</t>
  </si>
  <si>
    <t>Accountant</t>
  </si>
  <si>
    <t>AR/AP Associate</t>
  </si>
  <si>
    <t>Assoc: Finance/Insurance</t>
  </si>
  <si>
    <t>CONTRACTORS:</t>
  </si>
  <si>
    <t>Contract 01</t>
  </si>
  <si>
    <t>Contract 02</t>
  </si>
  <si>
    <t>Contract 03</t>
  </si>
  <si>
    <t>Contract 04</t>
  </si>
  <si>
    <t>Contract 05</t>
  </si>
  <si>
    <t>Contract 06</t>
  </si>
  <si>
    <t>Contract 07</t>
  </si>
  <si>
    <t>Contract 08</t>
  </si>
  <si>
    <t>Contract 09</t>
  </si>
  <si>
    <t>Total Salary:</t>
  </si>
  <si>
    <t>Benefits:</t>
  </si>
  <si>
    <t>Payroll Tax:</t>
  </si>
  <si>
    <t>Total  Payroll:</t>
  </si>
  <si>
    <t>Total Contractors:</t>
  </si>
  <si>
    <t>Total Payroll + Contractors</t>
  </si>
  <si>
    <t>Salary by Department</t>
  </si>
  <si>
    <t>Expense</t>
  </si>
  <si>
    <t>VA</t>
  </si>
  <si>
    <t>Total Payroll by Department</t>
  </si>
  <si>
    <t>Charts</t>
  </si>
  <si>
    <t xml:space="preserve">Annual </t>
  </si>
  <si>
    <t>Income Statemtent - Balance Sheet</t>
  </si>
  <si>
    <t>Net Receivables</t>
  </si>
  <si>
    <t>Total Revenue</t>
  </si>
  <si>
    <t>Total Expenses</t>
  </si>
  <si>
    <t>EBITDA Margin</t>
  </si>
  <si>
    <t>Revenue vs EBITDA</t>
  </si>
  <si>
    <t>Column 1</t>
  </si>
  <si>
    <t>Column 2</t>
  </si>
  <si>
    <t>Column 3</t>
  </si>
  <si>
    <t>Column 4</t>
  </si>
  <si>
    <t>Column 5</t>
  </si>
  <si>
    <t>Net Cash</t>
  </si>
  <si>
    <t>Empower Psychological Services LLC</t>
  </si>
  <si>
    <t>Profit and Loss</t>
  </si>
  <si>
    <t>Jan - Dec 2023</t>
  </si>
  <si>
    <t>Jan - Dec 2024</t>
  </si>
  <si>
    <t>Jan - Jun, 2025</t>
  </si>
  <si>
    <t>Income</t>
  </si>
  <si>
    <t>Service Income</t>
  </si>
  <si>
    <t xml:space="preserve">     VA Psychology</t>
  </si>
  <si>
    <t xml:space="preserve">     VA Gen Med</t>
  </si>
  <si>
    <t xml:space="preserve">     PI</t>
  </si>
  <si>
    <t>Total Income</t>
  </si>
  <si>
    <t>Cost of Goods Sold</t>
  </si>
  <si>
    <t>Subcontractor Expense</t>
  </si>
  <si>
    <t xml:space="preserve">     VA Subcontractors Payable</t>
  </si>
  <si>
    <t>Total Cost of Goods Sold</t>
  </si>
  <si>
    <t>Mkt</t>
  </si>
  <si>
    <t>Advertising and Promotion</t>
  </si>
  <si>
    <t>Development</t>
  </si>
  <si>
    <t>Business Development</t>
  </si>
  <si>
    <t>Computer and Software Expense</t>
  </si>
  <si>
    <t>Payroll</t>
  </si>
  <si>
    <t>Wages</t>
  </si>
  <si>
    <t>Recruitment expense</t>
  </si>
  <si>
    <t>Depreciation Expense</t>
  </si>
  <si>
    <t>6/31/24</t>
  </si>
  <si>
    <t>Total Bank Accounts</t>
  </si>
  <si>
    <t>Total Current Assets</t>
  </si>
  <si>
    <t>TOTAL ASSETS</t>
  </si>
  <si>
    <t>Total Current Liabilities</t>
  </si>
  <si>
    <t>Chase LoC - 9001</t>
  </si>
  <si>
    <t>EIDL Loan</t>
  </si>
  <si>
    <t>Total Long-Term Liabilities</t>
  </si>
  <si>
    <t>Total Liabilities</t>
  </si>
  <si>
    <t>Total Owners Draw</t>
  </si>
  <si>
    <t>Total Equity</t>
  </si>
  <si>
    <t>TOTAL LIABILITIES AND EQUITY</t>
  </si>
  <si>
    <t>January 1, 2024 - August 20, 2025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</si>
  <si>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</si>
  <si>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</si>
  <si>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</si>
  <si>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</si>
  <si>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</si>
  <si>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</si>
  <si>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</si>
  <si>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</si>
  <si>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</si>
  <si>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</si>
  <si>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</si>
  <si>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</si>
  <si>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</si>
  <si>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</si>
  <si>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</si>
  <si>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</si>
  <si>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</si>
  <si>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</si>
  <si>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</si>
  <si>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1-20, 2025</t>
  </si>
  <si>
    <t xml:space="preserve">   Service Income</t>
  </si>
  <si>
    <t xml:space="preserve">   Advertising and Promotion</t>
  </si>
  <si>
    <t xml:space="preserve">   Automobile Expense</t>
  </si>
  <si>
    <t xml:space="preserve">      Fuel / Gas</t>
  </si>
  <si>
    <t xml:space="preserve">      Insurance</t>
  </si>
  <si>
    <t xml:space="preserve">      Lease</t>
  </si>
  <si>
    <t xml:space="preserve">      Parking / Toll</t>
  </si>
  <si>
    <t xml:space="preserve">      Repair</t>
  </si>
  <si>
    <t xml:space="preserve">   Total Automobile Expense</t>
  </si>
  <si>
    <t xml:space="preserve">   Bank Charges</t>
  </si>
  <si>
    <t xml:space="preserve">      Bank Service Charges</t>
  </si>
  <si>
    <t xml:space="preserve">      Merchant Processing Fee</t>
  </si>
  <si>
    <t xml:space="preserve">   Total Bank Charges</t>
  </si>
  <si>
    <t xml:space="preserve">   Business Development</t>
  </si>
  <si>
    <t xml:space="preserve">   Business Gift</t>
  </si>
  <si>
    <t xml:space="preserve">   Charitable Contributions</t>
  </si>
  <si>
    <t xml:space="preserve">   Computer and Software Expense</t>
  </si>
  <si>
    <t xml:space="preserve">   Consulting</t>
  </si>
  <si>
    <t xml:space="preserve">   Dues and Subscriptions</t>
  </si>
  <si>
    <t xml:space="preserve">   Education &amp; Training</t>
  </si>
  <si>
    <t xml:space="preserve">   Freelancers</t>
  </si>
  <si>
    <t xml:space="preserve">   Insurance Expense</t>
  </si>
  <si>
    <t xml:space="preserve">      Health Insurance</t>
  </si>
  <si>
    <t xml:space="preserve">   Total Insurance Expense</t>
  </si>
  <si>
    <t xml:space="preserve">   Interest Expense</t>
  </si>
  <si>
    <t xml:space="preserve">   Legal &amp; Professional Fees</t>
  </si>
  <si>
    <t xml:space="preserve">   Meals and Entertainment</t>
  </si>
  <si>
    <t xml:space="preserve">   Office Supplies</t>
  </si>
  <si>
    <t xml:space="preserve">   Payroll Expenses</t>
  </si>
  <si>
    <t xml:space="preserve">      Tax</t>
  </si>
  <si>
    <t xml:space="preserve">      Wages</t>
  </si>
  <si>
    <t xml:space="preserve">   Total Payroll Expenses</t>
  </si>
  <si>
    <t xml:space="preserve">   Payroll Processing Fees</t>
  </si>
  <si>
    <t xml:space="preserve">   Recruitment expense</t>
  </si>
  <si>
    <t xml:space="preserve">   Rent Expense</t>
  </si>
  <si>
    <t xml:space="preserve">   Rent Expense Israel</t>
  </si>
  <si>
    <t xml:space="preserve">   Repairs and Maintenance</t>
  </si>
  <si>
    <t xml:space="preserve">   Security Expense</t>
  </si>
  <si>
    <t xml:space="preserve">   Shipping &amp; Postage</t>
  </si>
  <si>
    <t xml:space="preserve">   Small Medical Equipment</t>
  </si>
  <si>
    <t xml:space="preserve">   Taxes &amp; License</t>
  </si>
  <si>
    <t xml:space="preserve">   Team Morale</t>
  </si>
  <si>
    <t xml:space="preserve">   Travel Expense</t>
  </si>
  <si>
    <t xml:space="preserve">      Airfare</t>
  </si>
  <si>
    <t xml:space="preserve">      Hotel &amp; Lodging</t>
  </si>
  <si>
    <t xml:space="preserve">      Other</t>
  </si>
  <si>
    <t xml:space="preserve">      Taxi / Car Rental</t>
  </si>
  <si>
    <t xml:space="preserve">   Total Travel Expense</t>
  </si>
  <si>
    <t xml:space="preserve">   Uncategorized Expense</t>
  </si>
  <si>
    <t xml:space="preserve">   Utilities</t>
  </si>
  <si>
    <t xml:space="preserve">      Phone/Internet</t>
  </si>
  <si>
    <t xml:space="preserve">   Total Utilities</t>
  </si>
  <si>
    <t xml:space="preserve">   Website Expense</t>
  </si>
  <si>
    <t>Net Operating Income</t>
  </si>
  <si>
    <t>Other Expenses</t>
  </si>
  <si>
    <t xml:space="preserve">   charity</t>
  </si>
  <si>
    <t>Total Other Expenses</t>
  </si>
  <si>
    <t>Net Other Income</t>
  </si>
  <si>
    <t>Wednesday, Aug 20, 2025 05:06:27 PM GMT-7 - Accrual Basis</t>
  </si>
  <si>
    <t>Gusto Employee Information</t>
  </si>
  <si>
    <t>Empower Psychological Services, PLLC</t>
  </si>
  <si>
    <t>Printed on</t>
  </si>
  <si>
    <t>Termination Date</t>
  </si>
  <si>
    <t>Job Title</t>
  </si>
  <si>
    <t>Compensation Amount</t>
  </si>
  <si>
    <t>Compensation Unit</t>
  </si>
  <si>
    <t>Chief Technology Officer</t>
  </si>
  <si>
    <t>year</t>
  </si>
  <si>
    <t>Clinical CoordinatorÊ</t>
  </si>
  <si>
    <t>Shmuel</t>
  </si>
  <si>
    <t>Director of Business Development</t>
  </si>
  <si>
    <t>Chief Clinical Officer</t>
  </si>
  <si>
    <t>Strategic Growth ManagerÊ</t>
  </si>
  <si>
    <t>Josie</t>
  </si>
  <si>
    <t>PI Case Manager</t>
  </si>
  <si>
    <t>Jesse</t>
  </si>
  <si>
    <t>Kawasaki</t>
  </si>
  <si>
    <t>Director of Operations</t>
  </si>
  <si>
    <t>Strategic Growth Manager</t>
  </si>
  <si>
    <t>Director of Operations PI Division</t>
  </si>
  <si>
    <t>pay period</t>
  </si>
  <si>
    <t>Clinical Operations ManagerÊÊ</t>
  </si>
  <si>
    <t>hour</t>
  </si>
  <si>
    <t>Raphael</t>
  </si>
  <si>
    <t>Business DevelopmentÊ</t>
  </si>
  <si>
    <t>Director Of Clinical Operations</t>
  </si>
  <si>
    <t>Reinstein</t>
  </si>
  <si>
    <t>Item</t>
  </si>
  <si>
    <t>Plan</t>
  </si>
  <si>
    <t>Current</t>
  </si>
  <si>
    <t>Additional</t>
  </si>
  <si>
    <t>Non-Staff</t>
  </si>
  <si>
    <t>Cost</t>
  </si>
  <si>
    <t>Section</t>
  </si>
  <si>
    <t>Non Staff</t>
  </si>
  <si>
    <t>Executive Leadership and Strategic Roles</t>
  </si>
  <si>
    <t>Mktin Operations Manager- 1</t>
  </si>
  <si>
    <t>Business Development &amp; Growth</t>
  </si>
  <si>
    <t>Campaign Managers -4</t>
  </si>
  <si>
    <t>Marketing Ops &amp; CRM Admin</t>
  </si>
  <si>
    <t>PR relations analyst - 1</t>
  </si>
  <si>
    <t>Healthcare compliance department - sales plus operations</t>
  </si>
  <si>
    <t>Industry business development department (5 people)</t>
  </si>
  <si>
    <t>Marketing – brand development (staff?)</t>
  </si>
  <si>
    <t>Consultant check cost</t>
  </si>
  <si>
    <t>Agency Retainer</t>
  </si>
  <si>
    <t>3 Flagship Conference Booths</t>
  </si>
  <si>
    <t>Onsite Staffing and Travel (Roadshows?)</t>
  </si>
  <si>
    <t>Part of Agency?</t>
  </si>
  <si>
    <t>Part Br dev?</t>
  </si>
  <si>
    <t>Sign on incentives: 2.5K to 250 providers</t>
  </si>
  <si>
    <t>Clinical Operations &amp; Provider Support</t>
  </si>
  <si>
    <t>Recruitment Ads (top 10 mkts)</t>
  </si>
  <si>
    <t>QA department (2 people)</t>
  </si>
  <si>
    <t>Provider mentorship/training department</t>
  </si>
  <si>
    <t>Provider Recruiting (6 people)</t>
  </si>
  <si>
    <t>Med legal Clinical Operations Directors - 1</t>
  </si>
  <si>
    <t>Med legal clinical Coordinators (2 to 10)</t>
  </si>
  <si>
    <t>ADDED BY RICH</t>
  </si>
  <si>
    <t>Providers pay Subscription - staff</t>
  </si>
  <si>
    <t>Technology and Product Development</t>
  </si>
  <si>
    <t>Company SaaS sales and implementation department</t>
  </si>
  <si>
    <t>National and internation infrastructure management</t>
  </si>
  <si>
    <t>Data analytics from Healthcare Compliance</t>
  </si>
  <si>
    <t>Employee and provider wellness</t>
  </si>
  <si>
    <t>People Operations &amp; HR</t>
  </si>
  <si>
    <t>Employee Benefits</t>
  </si>
  <si>
    <t>HR including training and onboarding staff and providers</t>
  </si>
  <si>
    <t>Legal department</t>
  </si>
  <si>
    <t>Finance, Legal &amp; Admin</t>
  </si>
  <si>
    <t>insurance</t>
  </si>
  <si>
    <t>Accounting department to include Billing/accounts payable</t>
  </si>
  <si>
    <t>Office spaces</t>
  </si>
  <si>
    <t>Marketing – brand development</t>
  </si>
  <si>
    <t>Provider Recruiting (10 people)</t>
  </si>
  <si>
    <t>Clinical Operations Directors for each division – 5</t>
  </si>
  <si>
    <t>Providers pay Subscription</t>
  </si>
  <si>
    <t>IT department</t>
  </si>
  <si>
    <t>Accounting department</t>
  </si>
  <si>
    <t>Chief Growth officer</t>
  </si>
  <si>
    <t>Tech development</t>
  </si>
  <si>
    <t>QA department (4 people)</t>
  </si>
  <si>
    <t>Chief people officer/HR Executive</t>
  </si>
  <si>
    <t>HR including training and onboarding staff</t>
  </si>
  <si>
    <t>Same for providers</t>
  </si>
  <si>
    <t>r/d</t>
  </si>
  <si>
    <t>Billing/accounts payable</t>
  </si>
  <si>
    <t>Sum = $24,987,000</t>
  </si>
  <si>
    <t>Profit &amp; Loss Statement</t>
  </si>
  <si>
    <t xml:space="preserve"> &lt; Actual</t>
  </si>
  <si>
    <t>Forecast &gt;</t>
  </si>
  <si>
    <t>Veteran Affairs: Mental Health</t>
  </si>
  <si>
    <t xml:space="preserve"> - VES</t>
  </si>
  <si>
    <t xml:space="preserve"> - Other</t>
  </si>
  <si>
    <t xml:space="preserve"> - Loyal Source</t>
  </si>
  <si>
    <t>Veteran Affairs: Med Evaluations</t>
  </si>
  <si>
    <t>26 - $10mm rev growth (all PI)</t>
  </si>
  <si>
    <t>50% margin on PI - $5mm ($10mm receivable waiting to collect)</t>
  </si>
  <si>
    <t>QV version - $7.5mm capital / rev growth to PI ($5mm--&gt;$10mm work)</t>
  </si>
  <si>
    <t>Risk - make assumption 18 months on receivable vs. 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</si>
</sst>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"/>
    <numFmt numFmtId="166" formatCode="0.0%"/>
    <numFmt numFmtId="167" formatCode="_(&quot;$&quot;* #,##0_);_(&quot;$&quot;* \(#,##0\);_(&quot;$&quot;* &quot;-&quot;??_);_(@_)"/>
    <numFmt numFmtId="168" formatCode="&quot;$&quot;#,##0"/>
    <numFmt numFmtId="169" formatCode="m/d/yy"/>
    <numFmt numFmtId="170" formatCode="&quot;$&quot;#,##0.00"/>
    <numFmt numFmtId="171" formatCode="#,##0.00\ _€"/>
    <numFmt numFmtId="172" formatCode="&quot;$&quot;* #,##0.00\ _€"/>
    <numFmt numFmtId="173" formatCode="&quot;$&quot;* #,##0\ _€"/>
  </numFmts>
  <fonts count="113" x14ac:knownFonts="1">
    <font>
      <sz val="11"/>
      <color theme="1"/>
      <name val="Aptos Narrow"/>
      <scheme val="minor"/>
    </font>
    <font>
      <sz val="11"/>
      <color theme="1"/>
      <name val="Calibri"/>
    </font>
    <font>
      <b/>
      <sz val="16"/>
      <color rgb="FF156082"/>
      <name val="Calibri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4"/>
      <color theme="1"/>
      <name val="Calibri"/>
    </font>
    <font>
      <i/>
      <sz val="11"/>
      <color theme="1"/>
      <name val="Calibri"/>
    </font>
    <font>
      <sz val="11"/>
      <color rgb="FF000000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i/>
      <sz val="11"/>
      <color rgb="FFD8D8D8"/>
      <name val="Calibri"/>
    </font>
    <font>
      <sz val="11"/>
      <color rgb="FF38761D"/>
      <name val="Calibri"/>
    </font>
    <font>
      <b/>
      <sz val="13"/>
      <color theme="1"/>
      <name val="Calibri"/>
    </font>
    <font>
      <b/>
      <sz val="13"/>
      <color rgb="FFFF0000"/>
      <name val="Calibri"/>
    </font>
    <font>
      <sz val="11"/>
      <color theme="1"/>
      <name val="Aptos Narrow"/>
    </font>
    <font>
      <sz val="11"/>
      <color rgb="FFD8D8D8"/>
      <name val="Calibri"/>
    </font>
    <font>
      <b/>
      <sz val="11"/>
      <color theme="0"/>
      <name val="Calibri"/>
    </font>
    <font>
      <sz val="11"/>
      <color rgb="FF0070C0"/>
      <name val="Calibri"/>
    </font>
    <font>
      <b/>
      <sz val="11"/>
      <color rgb="FF0070C0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1"/>
      <color rgb="FF3A7D22"/>
      <name val="Calibri"/>
    </font>
    <font>
      <u/>
      <sz val="11"/>
      <color theme="1"/>
      <name val="Calibri"/>
    </font>
    <font>
      <b/>
      <sz val="11"/>
      <color rgb="FF3A7D22"/>
      <name val="Calibri"/>
    </font>
    <font>
      <u/>
      <sz val="11"/>
      <color theme="1"/>
      <name val="Calibri"/>
    </font>
    <font>
      <b/>
      <i/>
      <sz val="11"/>
      <color rgb="FF12501B"/>
      <name val="Calibri"/>
    </font>
    <font>
      <i/>
      <sz val="11"/>
      <color rgb="FF3A7D22"/>
      <name val="Calibri"/>
    </font>
    <font>
      <sz val="10"/>
      <color rgb="FFC00000"/>
      <name val="Calibri"/>
    </font>
    <font>
      <i/>
      <sz val="10"/>
      <color rgb="FF0070C0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1"/>
      <color rgb="FFA5A5A5"/>
      <name val="Calibri"/>
    </font>
    <font>
      <sz val="11"/>
      <color rgb="FFBFBFBF"/>
      <name val="Calibri"/>
    </font>
    <font>
      <u/>
      <sz val="11"/>
      <color rgb="FF0070C0"/>
      <name val="Calibri"/>
    </font>
    <font>
      <u/>
      <sz val="11"/>
      <color rgb="FF0070C0"/>
      <name val="Calibri"/>
    </font>
    <font>
      <u/>
      <sz val="11"/>
      <color rgb="FF0070C0"/>
      <name val="Calibri"/>
    </font>
    <font>
      <sz val="11"/>
      <color rgb="FFFF0000"/>
      <name val="Calibri"/>
    </font>
    <font>
      <b/>
      <u/>
      <sz val="11"/>
      <color theme="1"/>
      <name val="Calibri"/>
    </font>
    <font>
      <u/>
      <sz val="11"/>
      <color theme="1"/>
      <name val="Calibri"/>
    </font>
    <font>
      <b/>
      <sz val="11"/>
      <color rgb="FF12501B"/>
      <name val="Calibri"/>
    </font>
    <font>
      <sz val="11"/>
      <color rgb="FF12501B"/>
      <name val="Calibri"/>
    </font>
    <font>
      <u/>
      <sz val="11"/>
      <color rgb="FF12501B"/>
      <name val="Calibri"/>
    </font>
    <font>
      <u/>
      <sz val="11"/>
      <color rgb="FF12501B"/>
      <name val="Calibri"/>
    </font>
    <font>
      <i/>
      <sz val="11"/>
      <color rgb="FF0070C0"/>
      <name val="Calibri"/>
    </font>
    <font>
      <i/>
      <u/>
      <sz val="11"/>
      <color rgb="FF0070C0"/>
      <name val="Calibri"/>
    </font>
    <font>
      <i/>
      <u/>
      <sz val="11"/>
      <color rgb="FF0070C0"/>
      <name val="Calibri"/>
    </font>
    <font>
      <u/>
      <sz val="11"/>
      <color theme="1"/>
      <name val="Calibri"/>
    </font>
    <font>
      <u/>
      <sz val="11"/>
      <color theme="1"/>
      <name val="Calibri"/>
    </font>
    <font>
      <b/>
      <i/>
      <sz val="11"/>
      <color theme="1"/>
      <name val="Calibri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78206E"/>
      <name val="Calibri"/>
    </font>
    <font>
      <sz val="11"/>
      <color rgb="FF78206E"/>
      <name val="Calibri"/>
    </font>
    <font>
      <sz val="11"/>
      <color rgb="FF0B769F"/>
      <name val="Calibri"/>
    </font>
    <font>
      <sz val="11"/>
      <color rgb="FF0B769F"/>
      <name val="Arial"/>
    </font>
    <font>
      <sz val="11"/>
      <color rgb="FFC00000"/>
      <name val="Calibri"/>
    </font>
    <font>
      <sz val="11"/>
      <color rgb="FFC00000"/>
      <name val="Arial"/>
    </font>
    <font>
      <u/>
      <sz val="11"/>
      <color theme="1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u/>
      <sz val="11"/>
      <color theme="1"/>
      <name val="Calibri"/>
    </font>
    <font>
      <sz val="10"/>
      <color rgb="FF000000"/>
      <name val="Aptos Narrow"/>
    </font>
    <font>
      <b/>
      <sz val="14"/>
      <color rgb="FF000000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0"/>
      <color theme="1"/>
      <name val="Aptos Narrow"/>
    </font>
    <font>
      <b/>
      <sz val="10"/>
      <color rgb="FF000000"/>
      <name val="Arial"/>
    </font>
    <font>
      <b/>
      <u/>
      <sz val="8"/>
      <color rgb="FF000000"/>
      <name val="Arial"/>
    </font>
    <font>
      <b/>
      <sz val="11"/>
      <color rgb="FF000000"/>
      <name val="Calibri"/>
    </font>
    <font>
      <i/>
      <sz val="11"/>
      <color rgb="FF000000"/>
      <name val="Calibri"/>
    </font>
    <font>
      <b/>
      <u/>
      <sz val="12"/>
      <color theme="1"/>
      <name val="Calibri"/>
    </font>
    <font>
      <b/>
      <sz val="10"/>
      <color theme="1"/>
      <name val="Aptos Narrow"/>
    </font>
    <font>
      <b/>
      <sz val="11"/>
      <color theme="1"/>
      <name val="Aptos Narrow"/>
    </font>
    <font>
      <sz val="12"/>
      <color theme="1"/>
      <name val="Calibri"/>
    </font>
    <font>
      <sz val="12"/>
      <color theme="1"/>
      <name val="Aptos Narrow"/>
    </font>
    <font>
      <sz val="11"/>
      <color rgb="FFFF0000"/>
      <name val="Aptos Narrow"/>
    </font>
    <font>
      <u/>
      <sz val="12"/>
      <color theme="1"/>
      <name val="Calibri"/>
    </font>
    <font>
      <u/>
      <sz val="12"/>
      <color theme="1"/>
      <name val="Calibri"/>
    </font>
    <font>
      <u/>
      <sz val="12"/>
      <color theme="1"/>
      <name val="Aptos Narrow"/>
    </font>
    <font>
      <b/>
      <u/>
      <sz val="11"/>
      <color theme="1"/>
      <name val="Aptos Narrow"/>
    </font>
    <font>
      <b/>
      <sz val="12"/>
      <color theme="1"/>
      <name val="Calibri"/>
    </font>
    <font>
      <b/>
      <sz val="12"/>
      <color theme="1"/>
      <name val="Aptos Narrow"/>
    </font>
    <font>
      <sz val="12"/>
      <color rgb="FF0070C0"/>
      <name val="Calibri"/>
    </font>
    <font>
      <sz val="12"/>
      <color rgb="FF0070C0"/>
      <name val="Aptos Narrow"/>
    </font>
    <font>
      <sz val="10"/>
      <color rgb="FF0070C0"/>
      <name val="Aptos Narrow"/>
    </font>
    <font>
      <sz val="11"/>
      <color rgb="FF0070C0"/>
      <name val="Aptos Narrow"/>
    </font>
    <font>
      <b/>
      <sz val="11"/>
      <color rgb="FF0070C0"/>
      <name val="Aptos Narrow"/>
    </font>
    <font>
      <u/>
      <sz val="10"/>
      <color theme="1"/>
      <name val="Aptos Narrow"/>
    </font>
    <font>
      <u/>
      <sz val="11"/>
      <color theme="1"/>
      <name val="Aptos Narrow"/>
    </font>
    <font>
      <sz val="12"/>
      <color rgb="FFFF0000"/>
      <name val="Calibri"/>
    </font>
    <font>
      <u/>
      <sz val="12"/>
      <color rgb="FFFF0000"/>
      <name val="Calibri"/>
    </font>
    <font>
      <b/>
      <sz val="14"/>
      <color theme="1"/>
      <name val="Aptos Narrow"/>
    </font>
    <font>
      <i/>
      <sz val="11"/>
      <color theme="1"/>
      <name val="Aptos Narrow"/>
    </font>
    <font>
      <sz val="11"/>
      <color rgb="FF000000"/>
      <name val="Aptos Narrow"/>
    </font>
    <font>
      <i/>
      <sz val="10"/>
      <color rgb="FF0B769F"/>
      <name val="Aptos Narrow"/>
    </font>
    <font>
      <b/>
      <u/>
      <sz val="11"/>
      <color theme="1"/>
      <name val="Aptos Narrow"/>
    </font>
    <font>
      <b/>
      <u/>
      <sz val="11"/>
      <color theme="1"/>
      <name val="Aptos Narrow"/>
    </font>
    <font>
      <b/>
      <u/>
      <sz val="11"/>
      <color theme="1"/>
      <name val="Aptos Narrow"/>
    </font>
    <font>
      <b/>
      <u/>
      <sz val="11"/>
      <color theme="1"/>
      <name val="Aptos Narrow"/>
    </font>
    <font>
      <i/>
      <sz val="10"/>
      <color theme="1"/>
      <name val="Aptos Narrow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FF2CC"/>
        <bgColor rgb="FFFFF2CC"/>
      </patternFill>
    </fill>
    <fill>
      <patternFill patternType="solid">
        <fgColor rgb="FFD9F2D0"/>
        <bgColor rgb="FFD9F2D0"/>
      </patternFill>
    </fill>
    <fill>
      <patternFill patternType="solid">
        <fgColor rgb="FF0070C0"/>
        <bgColor rgb="FF0070C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rgb="FFFFCFC9"/>
        <bgColor rgb="FFFFCFC9"/>
      </patternFill>
    </fill>
    <fill>
      <patternFill patternType="solid">
        <fgColor rgb="FFFFC8AA"/>
        <bgColor rgb="FFFFC8AA"/>
      </patternFill>
    </fill>
    <fill>
      <patternFill patternType="solid">
        <fgColor rgb="FFFFE5A0"/>
        <bgColor rgb="FFFFE5A0"/>
      </patternFill>
    </fill>
    <fill>
      <patternFill patternType="solid">
        <fgColor rgb="FFD4EDBC"/>
        <bgColor rgb="FFD4EDBC"/>
      </patternFill>
    </fill>
    <fill>
      <patternFill patternType="solid">
        <fgColor rgb="FFBFE1F6"/>
        <bgColor rgb="FFBFE1F6"/>
      </patternFill>
    </fill>
    <fill>
      <patternFill patternType="solid">
        <fgColor rgb="FFC6DBE1"/>
        <bgColor rgb="FFC6DBE1"/>
      </patternFill>
    </fill>
    <fill>
      <patternFill patternType="solid">
        <fgColor rgb="FFE6CFF2"/>
        <bgColor rgb="FFE6CFF2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/>
      <diagonal/>
    </border>
  </borders>
  <cellStyleXfs count="1">
    <xf numFmtId="0" fontId="0" fillId="0" borderId="0"/>
  </cellStyleXfs>
  <cellXfs count="502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3" fillId="3" borderId="4" xfId="0" applyNumberFormat="1" applyFont="1" applyFill="1" applyBorder="1"/>
    <xf numFmtId="164" fontId="3" fillId="3" borderId="5" xfId="0" applyNumberFormat="1" applyFont="1" applyFill="1" applyBorder="1"/>
    <xf numFmtId="164" fontId="3" fillId="3" borderId="6" xfId="0" applyNumberFormat="1" applyFont="1" applyFill="1" applyBorder="1"/>
    <xf numFmtId="164" fontId="3" fillId="0" borderId="0" xfId="0" applyNumberFormat="1" applyFont="1"/>
    <xf numFmtId="164" fontId="3" fillId="0" borderId="7" xfId="0" applyNumberFormat="1" applyFont="1" applyBorder="1"/>
    <xf numFmtId="164" fontId="4" fillId="0" borderId="0" xfId="0" applyNumberFormat="1" applyFont="1"/>
    <xf numFmtId="164" fontId="4" fillId="0" borderId="8" xfId="0" applyNumberFormat="1" applyFont="1" applyBorder="1"/>
    <xf numFmtId="164" fontId="5" fillId="0" borderId="0" xfId="0" applyNumberFormat="1" applyFont="1"/>
    <xf numFmtId="164" fontId="6" fillId="0" borderId="8" xfId="0" applyNumberFormat="1" applyFont="1" applyBorder="1"/>
    <xf numFmtId="0" fontId="4" fillId="3" borderId="5" xfId="0" applyFont="1" applyFill="1" applyBorder="1"/>
    <xf numFmtId="0" fontId="7" fillId="0" borderId="0" xfId="0" applyFont="1"/>
    <xf numFmtId="0" fontId="7" fillId="0" borderId="7" xfId="0" applyFont="1" applyBorder="1"/>
    <xf numFmtId="164" fontId="8" fillId="0" borderId="0" xfId="0" applyNumberFormat="1" applyFont="1"/>
    <xf numFmtId="9" fontId="8" fillId="0" borderId="0" xfId="0" applyNumberFormat="1" applyFont="1"/>
    <xf numFmtId="9" fontId="8" fillId="0" borderId="8" xfId="0" applyNumberFormat="1" applyFont="1" applyBorder="1"/>
    <xf numFmtId="164" fontId="9" fillId="0" borderId="0" xfId="0" applyNumberFormat="1" applyFont="1"/>
    <xf numFmtId="0" fontId="4" fillId="0" borderId="0" xfId="0" applyFont="1"/>
    <xf numFmtId="0" fontId="4" fillId="0" borderId="8" xfId="0" applyFont="1" applyBorder="1"/>
    <xf numFmtId="0" fontId="10" fillId="0" borderId="0" xfId="0" applyFont="1"/>
    <xf numFmtId="164" fontId="9" fillId="0" borderId="7" xfId="0" applyNumberFormat="1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3" fillId="0" borderId="7" xfId="0" applyFont="1" applyBorder="1"/>
    <xf numFmtId="0" fontId="3" fillId="3" borderId="5" xfId="0" applyFont="1" applyFill="1" applyBorder="1"/>
    <xf numFmtId="0" fontId="4" fillId="0" borderId="7" xfId="0" applyFont="1" applyBorder="1"/>
    <xf numFmtId="164" fontId="11" fillId="3" borderId="5" xfId="0" applyNumberFormat="1" applyFont="1" applyFill="1" applyBorder="1"/>
    <xf numFmtId="164" fontId="12" fillId="3" borderId="6" xfId="0" applyNumberFormat="1" applyFont="1" applyFill="1" applyBorder="1"/>
    <xf numFmtId="0" fontId="13" fillId="0" borderId="0" xfId="0" applyFont="1"/>
    <xf numFmtId="165" fontId="3" fillId="4" borderId="5" xfId="0" applyNumberFormat="1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center"/>
    </xf>
    <xf numFmtId="165" fontId="3" fillId="5" borderId="12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/>
    </xf>
    <xf numFmtId="165" fontId="3" fillId="3" borderId="5" xfId="0" applyNumberFormat="1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/>
    </xf>
    <xf numFmtId="0" fontId="1" fillId="0" borderId="7" xfId="0" applyFont="1" applyBorder="1"/>
    <xf numFmtId="0" fontId="3" fillId="6" borderId="5" xfId="0" applyFont="1" applyFill="1" applyBorder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4" fillId="0" borderId="7" xfId="0" applyFont="1" applyBorder="1"/>
    <xf numFmtId="0" fontId="3" fillId="0" borderId="0" xfId="0" applyFont="1"/>
    <xf numFmtId="164" fontId="3" fillId="3" borderId="12" xfId="0" applyNumberFormat="1" applyFont="1" applyFill="1" applyBorder="1"/>
    <xf numFmtId="164" fontId="15" fillId="0" borderId="0" xfId="0" applyNumberFormat="1" applyFont="1" applyAlignment="1">
      <alignment horizontal="right" wrapText="1"/>
    </xf>
    <xf numFmtId="164" fontId="15" fillId="0" borderId="7" xfId="0" applyNumberFormat="1" applyFont="1" applyBorder="1" applyAlignment="1">
      <alignment horizontal="right" wrapText="1"/>
    </xf>
    <xf numFmtId="164" fontId="4" fillId="0" borderId="7" xfId="0" applyNumberFormat="1" applyFont="1" applyBorder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164" fontId="18" fillId="0" borderId="0" xfId="0" applyNumberFormat="1" applyFont="1"/>
    <xf numFmtId="164" fontId="18" fillId="0" borderId="7" xfId="0" applyNumberFormat="1" applyFont="1" applyBorder="1"/>
    <xf numFmtId="0" fontId="18" fillId="0" borderId="7" xfId="0" applyFont="1" applyBorder="1"/>
    <xf numFmtId="0" fontId="8" fillId="0" borderId="0" xfId="0" applyFont="1"/>
    <xf numFmtId="9" fontId="8" fillId="0" borderId="7" xfId="0" applyNumberFormat="1" applyFont="1" applyBorder="1"/>
    <xf numFmtId="0" fontId="8" fillId="0" borderId="7" xfId="0" applyFont="1" applyBorder="1"/>
    <xf numFmtId="166" fontId="4" fillId="0" borderId="13" xfId="0" applyNumberFormat="1" applyFont="1" applyBorder="1"/>
    <xf numFmtId="164" fontId="4" fillId="0" borderId="10" xfId="0" applyNumberFormat="1" applyFont="1" applyBorder="1"/>
    <xf numFmtId="164" fontId="4" fillId="0" borderId="9" xfId="0" applyNumberFormat="1" applyFont="1" applyBorder="1"/>
    <xf numFmtId="166" fontId="4" fillId="0" borderId="0" xfId="0" applyNumberFormat="1" applyFont="1"/>
    <xf numFmtId="164" fontId="19" fillId="7" borderId="13" xfId="0" applyNumberFormat="1" applyFont="1" applyFill="1" applyBorder="1"/>
    <xf numFmtId="165" fontId="3" fillId="3" borderId="12" xfId="0" applyNumberFormat="1" applyFont="1" applyFill="1" applyBorder="1" applyAlignment="1">
      <alignment horizontal="center"/>
    </xf>
    <xf numFmtId="164" fontId="14" fillId="0" borderId="7" xfId="0" applyNumberFormat="1" applyFont="1" applyBorder="1"/>
    <xf numFmtId="0" fontId="1" fillId="0" borderId="10" xfId="0" applyFont="1" applyBorder="1"/>
    <xf numFmtId="0" fontId="1" fillId="0" borderId="9" xfId="0" applyFont="1" applyBorder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2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7" xfId="0" applyFont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4" fillId="9" borderId="5" xfId="0" applyFont="1" applyFill="1" applyBorder="1"/>
    <xf numFmtId="0" fontId="3" fillId="9" borderId="5" xfId="0" applyFont="1" applyFill="1" applyBorder="1" applyAlignment="1">
      <alignment horizontal="center"/>
    </xf>
    <xf numFmtId="0" fontId="24" fillId="9" borderId="5" xfId="0" applyFont="1" applyFill="1" applyBorder="1" applyAlignment="1">
      <alignment horizontal="right"/>
    </xf>
    <xf numFmtId="165" fontId="24" fillId="9" borderId="5" xfId="0" applyNumberFormat="1" applyFont="1" applyFill="1" applyBorder="1" applyAlignment="1">
      <alignment horizontal="center"/>
    </xf>
    <xf numFmtId="165" fontId="24" fillId="9" borderId="4" xfId="0" applyNumberFormat="1" applyFont="1" applyFill="1" applyBorder="1" applyAlignment="1">
      <alignment horizontal="center"/>
    </xf>
    <xf numFmtId="0" fontId="24" fillId="9" borderId="4" xfId="0" applyFont="1" applyFill="1" applyBorder="1"/>
    <xf numFmtId="0" fontId="24" fillId="0" borderId="0" xfId="0" applyFont="1"/>
    <xf numFmtId="0" fontId="24" fillId="0" borderId="0" xfId="0" applyFont="1" applyAlignment="1">
      <alignment horizontal="right"/>
    </xf>
    <xf numFmtId="165" fontId="24" fillId="0" borderId="0" xfId="0" applyNumberFormat="1" applyFont="1" applyAlignment="1">
      <alignment horizontal="center"/>
    </xf>
    <xf numFmtId="165" fontId="24" fillId="0" borderId="7" xfId="0" applyNumberFormat="1" applyFont="1" applyBorder="1" applyAlignment="1">
      <alignment horizontal="center"/>
    </xf>
    <xf numFmtId="0" fontId="24" fillId="0" borderId="7" xfId="0" applyFont="1" applyBorder="1"/>
    <xf numFmtId="165" fontId="19" fillId="7" borderId="1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center"/>
    </xf>
    <xf numFmtId="164" fontId="3" fillId="10" borderId="5" xfId="0" applyNumberFormat="1" applyFont="1" applyFill="1" applyBorder="1"/>
    <xf numFmtId="164" fontId="3" fillId="10" borderId="4" xfId="0" applyNumberFormat="1" applyFont="1" applyFill="1" applyBorder="1"/>
    <xf numFmtId="0" fontId="3" fillId="10" borderId="4" xfId="0" applyFont="1" applyFill="1" applyBorder="1"/>
    <xf numFmtId="164" fontId="4" fillId="0" borderId="0" xfId="0" applyNumberFormat="1" applyFont="1" applyAlignment="1">
      <alignment horizontal="right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/>
    <xf numFmtId="0" fontId="4" fillId="0" borderId="0" xfId="0" applyFont="1" applyAlignment="1">
      <alignment horizontal="left"/>
    </xf>
    <xf numFmtId="164" fontId="3" fillId="3" borderId="5" xfId="0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3" fillId="3" borderId="14" xfId="0" applyNumberFormat="1" applyFont="1" applyFill="1" applyBorder="1"/>
    <xf numFmtId="167" fontId="4" fillId="0" borderId="0" xfId="0" applyNumberFormat="1" applyFont="1"/>
    <xf numFmtId="165" fontId="4" fillId="11" borderId="5" xfId="0" applyNumberFormat="1" applyFont="1" applyFill="1" applyBorder="1"/>
    <xf numFmtId="0" fontId="4" fillId="11" borderId="5" xfId="0" applyFont="1" applyFill="1" applyBorder="1"/>
    <xf numFmtId="0" fontId="3" fillId="12" borderId="5" xfId="0" applyFont="1" applyFill="1" applyBorder="1"/>
    <xf numFmtId="0" fontId="3" fillId="12" borderId="5" xfId="0" applyFont="1" applyFill="1" applyBorder="1" applyAlignment="1">
      <alignment horizontal="center"/>
    </xf>
    <xf numFmtId="167" fontId="3" fillId="12" borderId="5" xfId="0" applyNumberFormat="1" applyFont="1" applyFill="1" applyBorder="1"/>
    <xf numFmtId="167" fontId="3" fillId="12" borderId="4" xfId="0" applyNumberFormat="1" applyFont="1" applyFill="1" applyBorder="1"/>
    <xf numFmtId="167" fontId="3" fillId="12" borderId="5" xfId="0" applyNumberFormat="1" applyFont="1" applyFill="1" applyBorder="1" applyAlignment="1">
      <alignment horizontal="center"/>
    </xf>
    <xf numFmtId="0" fontId="3" fillId="12" borderId="4" xfId="0" applyFont="1" applyFill="1" applyBorder="1"/>
    <xf numFmtId="167" fontId="4" fillId="0" borderId="7" xfId="0" applyNumberFormat="1" applyFont="1" applyBorder="1"/>
    <xf numFmtId="167" fontId="3" fillId="3" borderId="5" xfId="0" applyNumberFormat="1" applyFont="1" applyFill="1" applyBorder="1"/>
    <xf numFmtId="167" fontId="3" fillId="3" borderId="4" xfId="0" applyNumberFormat="1" applyFont="1" applyFill="1" applyBorder="1"/>
    <xf numFmtId="9" fontId="3" fillId="3" borderId="5" xfId="0" applyNumberFormat="1" applyFont="1" applyFill="1" applyBorder="1"/>
    <xf numFmtId="9" fontId="3" fillId="3" borderId="4" xfId="0" applyNumberFormat="1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9" fontId="4" fillId="0" borderId="7" xfId="0" applyNumberFormat="1" applyFont="1" applyBorder="1"/>
    <xf numFmtId="0" fontId="3" fillId="13" borderId="5" xfId="0" applyFont="1" applyFill="1" applyBorder="1"/>
    <xf numFmtId="0" fontId="3" fillId="13" borderId="5" xfId="0" applyFont="1" applyFill="1" applyBorder="1" applyAlignment="1">
      <alignment horizontal="center"/>
    </xf>
    <xf numFmtId="167" fontId="3" fillId="13" borderId="5" xfId="0" applyNumberFormat="1" applyFont="1" applyFill="1" applyBorder="1"/>
    <xf numFmtId="167" fontId="3" fillId="13" borderId="4" xfId="0" applyNumberFormat="1" applyFont="1" applyFill="1" applyBorder="1"/>
    <xf numFmtId="0" fontId="3" fillId="13" borderId="4" xfId="0" applyFont="1" applyFill="1" applyBorder="1"/>
    <xf numFmtId="0" fontId="3" fillId="3" borderId="5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7" fontId="3" fillId="0" borderId="0" xfId="0" applyNumberFormat="1" applyFont="1"/>
    <xf numFmtId="167" fontId="3" fillId="0" borderId="7" xfId="0" applyNumberFormat="1" applyFont="1" applyBorder="1"/>
    <xf numFmtId="0" fontId="25" fillId="0" borderId="0" xfId="0" applyFont="1"/>
    <xf numFmtId="0" fontId="25" fillId="0" borderId="0" xfId="0" applyFont="1" applyAlignment="1">
      <alignment horizontal="right"/>
    </xf>
    <xf numFmtId="167" fontId="25" fillId="0" borderId="0" xfId="0" applyNumberFormat="1" applyFont="1"/>
    <xf numFmtId="167" fontId="25" fillId="0" borderId="7" xfId="0" applyNumberFormat="1" applyFont="1" applyBorder="1"/>
    <xf numFmtId="0" fontId="25" fillId="0" borderId="7" xfId="0" applyFont="1" applyBorder="1"/>
    <xf numFmtId="0" fontId="26" fillId="0" borderId="0" xfId="0" applyFont="1"/>
    <xf numFmtId="0" fontId="26" fillId="0" borderId="0" xfId="0" applyFont="1" applyAlignment="1">
      <alignment horizontal="right"/>
    </xf>
    <xf numFmtId="167" fontId="26" fillId="0" borderId="0" xfId="0" applyNumberFormat="1" applyFont="1"/>
    <xf numFmtId="167" fontId="26" fillId="0" borderId="7" xfId="0" applyNumberFormat="1" applyFont="1" applyBorder="1"/>
    <xf numFmtId="0" fontId="26" fillId="0" borderId="7" xfId="0" applyFont="1" applyBorder="1"/>
    <xf numFmtId="0" fontId="25" fillId="0" borderId="0" xfId="0" applyFont="1" applyAlignment="1">
      <alignment horizontal="center"/>
    </xf>
    <xf numFmtId="0" fontId="3" fillId="8" borderId="5" xfId="0" applyFont="1" applyFill="1" applyBorder="1"/>
    <xf numFmtId="167" fontId="3" fillId="8" borderId="5" xfId="0" applyNumberFormat="1" applyFont="1" applyFill="1" applyBorder="1"/>
    <xf numFmtId="167" fontId="3" fillId="8" borderId="4" xfId="0" applyNumberFormat="1" applyFont="1" applyFill="1" applyBorder="1"/>
    <xf numFmtId="0" fontId="3" fillId="8" borderId="4" xfId="0" applyFont="1" applyFill="1" applyBorder="1"/>
    <xf numFmtId="167" fontId="27" fillId="0" borderId="0" xfId="0" applyNumberFormat="1" applyFont="1"/>
    <xf numFmtId="167" fontId="28" fillId="0" borderId="7" xfId="0" applyNumberFormat="1" applyFont="1" applyBorder="1"/>
    <xf numFmtId="0" fontId="3" fillId="8" borderId="5" xfId="0" applyFont="1" applyFill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/>
    <xf numFmtId="164" fontId="29" fillId="10" borderId="13" xfId="0" applyNumberFormat="1" applyFont="1" applyFill="1" applyBorder="1"/>
    <xf numFmtId="164" fontId="4" fillId="3" borderId="5" xfId="0" applyNumberFormat="1" applyFont="1" applyFill="1" applyBorder="1"/>
    <xf numFmtId="167" fontId="29" fillId="10" borderId="13" xfId="0" applyNumberFormat="1" applyFont="1" applyFill="1" applyBorder="1"/>
    <xf numFmtId="0" fontId="30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9" fontId="14" fillId="0" borderId="0" xfId="0" applyNumberFormat="1" applyFont="1"/>
    <xf numFmtId="9" fontId="14" fillId="0" borderId="7" xfId="0" applyNumberFormat="1" applyFont="1" applyBorder="1"/>
    <xf numFmtId="10" fontId="4" fillId="0" borderId="0" xfId="0" applyNumberFormat="1" applyFont="1"/>
    <xf numFmtId="0" fontId="31" fillId="0" borderId="0" xfId="0" applyFont="1" applyAlignment="1">
      <alignment horizontal="center"/>
    </xf>
    <xf numFmtId="9" fontId="3" fillId="0" borderId="0" xfId="0" applyNumberFormat="1" applyFont="1"/>
    <xf numFmtId="9" fontId="3" fillId="0" borderId="7" xfId="0" applyNumberFormat="1" applyFont="1" applyBorder="1"/>
    <xf numFmtId="10" fontId="29" fillId="10" borderId="13" xfId="0" applyNumberFormat="1" applyFont="1" applyFill="1" applyBorder="1"/>
    <xf numFmtId="10" fontId="29" fillId="0" borderId="0" xfId="0" applyNumberFormat="1" applyFont="1"/>
    <xf numFmtId="0" fontId="31" fillId="0" borderId="0" xfId="0" applyFont="1"/>
    <xf numFmtId="0" fontId="4" fillId="3" borderId="5" xfId="0" applyFont="1" applyFill="1" applyBorder="1" applyAlignment="1">
      <alignment horizontal="right"/>
    </xf>
    <xf numFmtId="167" fontId="4" fillId="3" borderId="5" xfId="0" applyNumberFormat="1" applyFont="1" applyFill="1" applyBorder="1"/>
    <xf numFmtId="167" fontId="32" fillId="3" borderId="5" xfId="0" applyNumberFormat="1" applyFont="1" applyFill="1" applyBorder="1"/>
    <xf numFmtId="0" fontId="8" fillId="0" borderId="0" xfId="0" applyFont="1" applyAlignment="1">
      <alignment horizontal="right"/>
    </xf>
    <xf numFmtId="9" fontId="8" fillId="0" borderId="0" xfId="0" applyNumberFormat="1" applyFont="1" applyAlignment="1">
      <alignment horizontal="right"/>
    </xf>
    <xf numFmtId="9" fontId="8" fillId="0" borderId="7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10" fontId="33" fillId="10" borderId="13" xfId="0" applyNumberFormat="1" applyFont="1" applyFill="1" applyBorder="1"/>
    <xf numFmtId="9" fontId="14" fillId="0" borderId="0" xfId="0" applyNumberFormat="1" applyFont="1" applyAlignment="1">
      <alignment horizontal="right"/>
    </xf>
    <xf numFmtId="9" fontId="34" fillId="10" borderId="13" xfId="0" applyNumberFormat="1" applyFont="1" applyFill="1" applyBorder="1"/>
    <xf numFmtId="9" fontId="29" fillId="10" borderId="13" xfId="0" applyNumberFormat="1" applyFont="1" applyFill="1" applyBorder="1"/>
    <xf numFmtId="167" fontId="3" fillId="0" borderId="0" xfId="0" applyNumberFormat="1" applyFont="1" applyAlignment="1">
      <alignment horizontal="right"/>
    </xf>
    <xf numFmtId="164" fontId="35" fillId="0" borderId="0" xfId="0" applyNumberFormat="1" applyFont="1" applyAlignment="1">
      <alignment horizontal="right"/>
    </xf>
    <xf numFmtId="164" fontId="35" fillId="0" borderId="0" xfId="0" applyNumberFormat="1" applyFont="1"/>
    <xf numFmtId="164" fontId="35" fillId="0" borderId="7" xfId="0" applyNumberFormat="1" applyFont="1" applyBorder="1"/>
    <xf numFmtId="0" fontId="36" fillId="0" borderId="0" xfId="0" applyFont="1" applyAlignment="1">
      <alignment horizontal="right"/>
    </xf>
    <xf numFmtId="164" fontId="25" fillId="0" borderId="0" xfId="0" applyNumberFormat="1" applyFont="1"/>
    <xf numFmtId="167" fontId="36" fillId="0" borderId="0" xfId="0" applyNumberFormat="1" applyFont="1"/>
    <xf numFmtId="167" fontId="36" fillId="0" borderId="7" xfId="0" applyNumberFormat="1" applyFont="1" applyBorder="1"/>
    <xf numFmtId="0" fontId="37" fillId="0" borderId="0" xfId="0" applyFont="1" applyAlignment="1">
      <alignment horizontal="right"/>
    </xf>
    <xf numFmtId="167" fontId="38" fillId="0" borderId="0" xfId="0" applyNumberFormat="1" applyFont="1"/>
    <xf numFmtId="167" fontId="39" fillId="0" borderId="7" xfId="0" applyNumberFormat="1" applyFont="1" applyBorder="1"/>
    <xf numFmtId="0" fontId="4" fillId="0" borderId="7" xfId="0" applyFont="1" applyBorder="1" applyAlignment="1">
      <alignment horizontal="center"/>
    </xf>
    <xf numFmtId="164" fontId="29" fillId="10" borderId="15" xfId="0" applyNumberFormat="1" applyFont="1" applyFill="1" applyBorder="1"/>
    <xf numFmtId="166" fontId="4" fillId="0" borderId="0" xfId="0" applyNumberFormat="1" applyFont="1" applyAlignment="1">
      <alignment horizontal="right"/>
    </xf>
    <xf numFmtId="167" fontId="14" fillId="0" borderId="0" xfId="0" applyNumberFormat="1" applyFont="1"/>
    <xf numFmtId="167" fontId="14" fillId="0" borderId="7" xfId="0" applyNumberFormat="1" applyFont="1" applyBorder="1"/>
    <xf numFmtId="0" fontId="3" fillId="0" borderId="0" xfId="0" applyFont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0" fillId="0" borderId="0" xfId="0" applyFont="1"/>
    <xf numFmtId="0" fontId="40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9" fillId="10" borderId="13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165" fontId="4" fillId="0" borderId="0" xfId="0" applyNumberFormat="1" applyFont="1"/>
    <xf numFmtId="0" fontId="3" fillId="3" borderId="13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43" fontId="4" fillId="0" borderId="7" xfId="0" applyNumberFormat="1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3" fillId="0" borderId="0" xfId="0" applyNumberFormat="1" applyFont="1" applyAlignment="1">
      <alignment horizontal="right"/>
    </xf>
    <xf numFmtId="44" fontId="3" fillId="0" borderId="7" xfId="0" applyNumberFormat="1" applyFont="1" applyBorder="1"/>
    <xf numFmtId="0" fontId="14" fillId="0" borderId="0" xfId="0" applyFont="1" applyAlignment="1">
      <alignment horizontal="center"/>
    </xf>
    <xf numFmtId="0" fontId="42" fillId="0" borderId="0" xfId="0" applyFont="1"/>
    <xf numFmtId="167" fontId="43" fillId="0" borderId="7" xfId="0" applyNumberFormat="1" applyFont="1" applyBorder="1"/>
    <xf numFmtId="167" fontId="44" fillId="0" borderId="0" xfId="0" applyNumberFormat="1" applyFont="1"/>
    <xf numFmtId="0" fontId="45" fillId="0" borderId="0" xfId="0" applyFont="1"/>
    <xf numFmtId="0" fontId="45" fillId="0" borderId="0" xfId="0" applyFont="1" applyAlignment="1">
      <alignment horizontal="right"/>
    </xf>
    <xf numFmtId="167" fontId="45" fillId="0" borderId="7" xfId="0" applyNumberFormat="1" applyFont="1" applyBorder="1"/>
    <xf numFmtId="167" fontId="45" fillId="0" borderId="0" xfId="0" applyNumberFormat="1" applyFont="1"/>
    <xf numFmtId="0" fontId="45" fillId="0" borderId="7" xfId="0" applyFont="1" applyBorder="1"/>
    <xf numFmtId="167" fontId="3" fillId="3" borderId="5" xfId="0" applyNumberFormat="1" applyFont="1" applyFill="1" applyBorder="1" applyAlignment="1">
      <alignment horizontal="center"/>
    </xf>
    <xf numFmtId="167" fontId="3" fillId="3" borderId="5" xfId="0" applyNumberFormat="1" applyFont="1" applyFill="1" applyBorder="1" applyAlignment="1">
      <alignment horizontal="right"/>
    </xf>
    <xf numFmtId="43" fontId="29" fillId="10" borderId="13" xfId="0" applyNumberFormat="1" applyFont="1" applyFill="1" applyBorder="1" applyAlignment="1">
      <alignment horizontal="center"/>
    </xf>
    <xf numFmtId="9" fontId="29" fillId="10" borderId="13" xfId="0" applyNumberFormat="1" applyFont="1" applyFill="1" applyBorder="1" applyAlignment="1">
      <alignment horizontal="center"/>
    </xf>
    <xf numFmtId="0" fontId="46" fillId="3" borderId="5" xfId="0" applyFont="1" applyFill="1" applyBorder="1"/>
    <xf numFmtId="43" fontId="3" fillId="3" borderId="5" xfId="0" applyNumberFormat="1" applyFont="1" applyFill="1" applyBorder="1" applyAlignment="1">
      <alignment horizontal="center"/>
    </xf>
    <xf numFmtId="0" fontId="31" fillId="10" borderId="13" xfId="0" applyFont="1" applyFill="1" applyBorder="1" applyAlignment="1">
      <alignment horizontal="center"/>
    </xf>
    <xf numFmtId="167" fontId="3" fillId="3" borderId="5" xfId="0" applyNumberFormat="1" applyFont="1" applyFill="1" applyBorder="1" applyAlignment="1">
      <alignment horizontal="left"/>
    </xf>
    <xf numFmtId="168" fontId="29" fillId="10" borderId="13" xfId="0" applyNumberFormat="1" applyFont="1" applyFill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3" fillId="3" borderId="5" xfId="0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right"/>
    </xf>
    <xf numFmtId="167" fontId="47" fillId="0" borderId="0" xfId="0" applyNumberFormat="1" applyFont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29" fillId="0" borderId="0" xfId="0" applyFont="1"/>
    <xf numFmtId="0" fontId="29" fillId="10" borderId="13" xfId="0" applyFont="1" applyFill="1" applyBorder="1"/>
    <xf numFmtId="0" fontId="29" fillId="10" borderId="16" xfId="0" applyFont="1" applyFill="1" applyBorder="1"/>
    <xf numFmtId="14" fontId="15" fillId="0" borderId="7" xfId="0" applyNumberFormat="1" applyFont="1" applyBorder="1" applyAlignment="1">
      <alignment horizontal="center"/>
    </xf>
    <xf numFmtId="0" fontId="48" fillId="10" borderId="17" xfId="0" applyFont="1" applyFill="1" applyBorder="1"/>
    <xf numFmtId="9" fontId="48" fillId="10" borderId="18" xfId="0" applyNumberFormat="1" applyFont="1" applyFill="1" applyBorder="1" applyAlignment="1">
      <alignment horizontal="center"/>
    </xf>
    <xf numFmtId="0" fontId="48" fillId="10" borderId="15" xfId="0" applyFont="1" applyFill="1" applyBorder="1" applyAlignment="1">
      <alignment horizontal="center"/>
    </xf>
    <xf numFmtId="0" fontId="48" fillId="0" borderId="7" xfId="0" applyFont="1" applyBorder="1"/>
    <xf numFmtId="167" fontId="49" fillId="0" borderId="0" xfId="0" applyNumberFormat="1" applyFont="1"/>
    <xf numFmtId="0" fontId="49" fillId="0" borderId="8" xfId="0" applyFont="1" applyBorder="1"/>
    <xf numFmtId="0" fontId="49" fillId="0" borderId="7" xfId="0" applyFont="1" applyBorder="1"/>
    <xf numFmtId="167" fontId="49" fillId="10" borderId="13" xfId="0" applyNumberFormat="1" applyFont="1" applyFill="1" applyBorder="1"/>
    <xf numFmtId="166" fontId="49" fillId="0" borderId="8" xfId="0" applyNumberFormat="1" applyFont="1" applyBorder="1" applyAlignment="1">
      <alignment horizontal="center"/>
    </xf>
    <xf numFmtId="167" fontId="50" fillId="10" borderId="13" xfId="0" applyNumberFormat="1" applyFont="1" applyFill="1" applyBorder="1"/>
    <xf numFmtId="166" fontId="51" fillId="0" borderId="8" xfId="0" applyNumberFormat="1" applyFont="1" applyBorder="1" applyAlignment="1">
      <alignment horizontal="center"/>
    </xf>
    <xf numFmtId="167" fontId="48" fillId="0" borderId="0" xfId="0" applyNumberFormat="1" applyFont="1"/>
    <xf numFmtId="166" fontId="48" fillId="0" borderId="8" xfId="0" applyNumberFormat="1" applyFont="1" applyBorder="1" applyAlignment="1">
      <alignment horizontal="center"/>
    </xf>
    <xf numFmtId="167" fontId="29" fillId="10" borderId="13" xfId="0" applyNumberFormat="1" applyFont="1" applyFill="1" applyBorder="1" applyAlignment="1">
      <alignment horizontal="center"/>
    </xf>
    <xf numFmtId="0" fontId="49" fillId="0" borderId="8" xfId="0" applyFont="1" applyBorder="1" applyAlignment="1">
      <alignment horizontal="center"/>
    </xf>
    <xf numFmtId="0" fontId="52" fillId="0" borderId="0" xfId="0" applyFont="1" applyAlignment="1">
      <alignment horizontal="right"/>
    </xf>
    <xf numFmtId="0" fontId="52" fillId="0" borderId="0" xfId="0" applyFont="1"/>
    <xf numFmtId="0" fontId="52" fillId="0" borderId="7" xfId="0" applyFont="1" applyBorder="1"/>
    <xf numFmtId="164" fontId="52" fillId="0" borderId="0" xfId="0" applyNumberFormat="1" applyFont="1"/>
    <xf numFmtId="164" fontId="52" fillId="0" borderId="7" xfId="0" applyNumberFormat="1" applyFont="1" applyBorder="1"/>
    <xf numFmtId="164" fontId="53" fillId="0" borderId="0" xfId="0" applyNumberFormat="1" applyFont="1"/>
    <xf numFmtId="164" fontId="54" fillId="0" borderId="7" xfId="0" applyNumberFormat="1" applyFont="1" applyBorder="1"/>
    <xf numFmtId="0" fontId="49" fillId="0" borderId="9" xfId="0" applyFont="1" applyBorder="1"/>
    <xf numFmtId="166" fontId="48" fillId="0" borderId="11" xfId="0" applyNumberFormat="1" applyFont="1" applyBorder="1" applyAlignment="1">
      <alignment horizontal="center"/>
    </xf>
    <xf numFmtId="2" fontId="29" fillId="10" borderId="13" xfId="0" applyNumberFormat="1" applyFont="1" applyFill="1" applyBorder="1"/>
    <xf numFmtId="0" fontId="26" fillId="3" borderId="5" xfId="0" applyFont="1" applyFill="1" applyBorder="1"/>
    <xf numFmtId="0" fontId="26" fillId="3" borderId="5" xfId="0" applyFont="1" applyFill="1" applyBorder="1" applyAlignment="1">
      <alignment horizontal="right"/>
    </xf>
    <xf numFmtId="167" fontId="26" fillId="3" borderId="5" xfId="0" applyNumberFormat="1" applyFont="1" applyFill="1" applyBorder="1"/>
    <xf numFmtId="167" fontId="26" fillId="3" borderId="4" xfId="0" applyNumberFormat="1" applyFont="1" applyFill="1" applyBorder="1"/>
    <xf numFmtId="0" fontId="26" fillId="3" borderId="4" xfId="0" applyFont="1" applyFill="1" applyBorder="1"/>
    <xf numFmtId="0" fontId="55" fillId="0" borderId="0" xfId="0" applyFont="1"/>
    <xf numFmtId="0" fontId="56" fillId="0" borderId="7" xfId="0" applyFont="1" applyBorder="1"/>
    <xf numFmtId="0" fontId="3" fillId="12" borderId="5" xfId="0" applyFont="1" applyFill="1" applyBorder="1" applyAlignment="1">
      <alignment horizontal="right"/>
    </xf>
    <xf numFmtId="44" fontId="29" fillId="10" borderId="13" xfId="0" applyNumberFormat="1" applyFont="1" applyFill="1" applyBorder="1"/>
    <xf numFmtId="0" fontId="57" fillId="0" borderId="0" xfId="0" applyFont="1"/>
    <xf numFmtId="0" fontId="57" fillId="0" borderId="0" xfId="0" applyFont="1" applyAlignment="1">
      <alignment horizontal="right"/>
    </xf>
    <xf numFmtId="9" fontId="57" fillId="0" borderId="0" xfId="0" applyNumberFormat="1" applyFont="1"/>
    <xf numFmtId="9" fontId="57" fillId="0" borderId="7" xfId="0" applyNumberFormat="1" applyFont="1" applyBorder="1"/>
    <xf numFmtId="0" fontId="57" fillId="0" borderId="7" xfId="0" applyFont="1" applyBorder="1"/>
    <xf numFmtId="0" fontId="58" fillId="11" borderId="5" xfId="0" applyFont="1" applyFill="1" applyBorder="1"/>
    <xf numFmtId="0" fontId="3" fillId="11" borderId="5" xfId="0" applyFont="1" applyFill="1" applyBorder="1"/>
    <xf numFmtId="0" fontId="3" fillId="11" borderId="5" xfId="0" applyFont="1" applyFill="1" applyBorder="1" applyAlignment="1">
      <alignment horizontal="center"/>
    </xf>
    <xf numFmtId="167" fontId="3" fillId="11" borderId="5" xfId="0" applyNumberFormat="1" applyFont="1" applyFill="1" applyBorder="1" applyAlignment="1">
      <alignment horizontal="center"/>
    </xf>
    <xf numFmtId="165" fontId="3" fillId="11" borderId="5" xfId="0" applyNumberFormat="1" applyFont="1" applyFill="1" applyBorder="1" applyAlignment="1">
      <alignment horizontal="center"/>
    </xf>
    <xf numFmtId="0" fontId="3" fillId="11" borderId="4" xfId="0" applyFont="1" applyFill="1" applyBorder="1"/>
    <xf numFmtId="0" fontId="58" fillId="11" borderId="4" xfId="0" applyFont="1" applyFill="1" applyBorder="1"/>
    <xf numFmtId="0" fontId="3" fillId="11" borderId="13" xfId="0" applyFont="1" applyFill="1" applyBorder="1"/>
    <xf numFmtId="167" fontId="3" fillId="11" borderId="13" xfId="0" applyNumberFormat="1" applyFont="1" applyFill="1" applyBorder="1"/>
    <xf numFmtId="165" fontId="3" fillId="11" borderId="13" xfId="0" applyNumberFormat="1" applyFont="1" applyFill="1" applyBorder="1"/>
    <xf numFmtId="0" fontId="59" fillId="11" borderId="5" xfId="0" applyFont="1" applyFill="1" applyBorder="1"/>
    <xf numFmtId="164" fontId="60" fillId="11" borderId="5" xfId="0" applyNumberFormat="1" applyFont="1" applyFill="1" applyBorder="1"/>
    <xf numFmtId="164" fontId="3" fillId="11" borderId="4" xfId="0" applyNumberFormat="1" applyFont="1" applyFill="1" applyBorder="1"/>
    <xf numFmtId="164" fontId="3" fillId="11" borderId="5" xfId="0" applyNumberFormat="1" applyFont="1" applyFill="1" applyBorder="1"/>
    <xf numFmtId="0" fontId="4" fillId="11" borderId="13" xfId="0" applyFont="1" applyFill="1" applyBorder="1"/>
    <xf numFmtId="167" fontId="4" fillId="11" borderId="13" xfId="0" applyNumberFormat="1" applyFont="1" applyFill="1" applyBorder="1"/>
    <xf numFmtId="164" fontId="61" fillId="11" borderId="4" xfId="0" applyNumberFormat="1" applyFont="1" applyFill="1" applyBorder="1"/>
    <xf numFmtId="164" fontId="61" fillId="11" borderId="5" xfId="0" applyNumberFormat="1" applyFont="1" applyFill="1" applyBorder="1"/>
    <xf numFmtId="164" fontId="4" fillId="11" borderId="4" xfId="0" applyNumberFormat="1" applyFont="1" applyFill="1" applyBorder="1"/>
    <xf numFmtId="164" fontId="4" fillId="11" borderId="5" xfId="0" applyNumberFormat="1" applyFont="1" applyFill="1" applyBorder="1"/>
    <xf numFmtId="165" fontId="4" fillId="11" borderId="13" xfId="0" applyNumberFormat="1" applyFont="1" applyFill="1" applyBorder="1"/>
    <xf numFmtId="0" fontId="62" fillId="11" borderId="5" xfId="0" applyFont="1" applyFill="1" applyBorder="1"/>
    <xf numFmtId="0" fontId="62" fillId="11" borderId="13" xfId="0" applyFont="1" applyFill="1" applyBorder="1"/>
    <xf numFmtId="167" fontId="62" fillId="11" borderId="13" xfId="0" applyNumberFormat="1" applyFont="1" applyFill="1" applyBorder="1"/>
    <xf numFmtId="167" fontId="25" fillId="11" borderId="13" xfId="0" applyNumberFormat="1" applyFont="1" applyFill="1" applyBorder="1"/>
    <xf numFmtId="165" fontId="62" fillId="11" borderId="13" xfId="0" applyNumberFormat="1" applyFont="1" applyFill="1" applyBorder="1"/>
    <xf numFmtId="0" fontId="63" fillId="11" borderId="5" xfId="0" applyFont="1" applyFill="1" applyBorder="1"/>
    <xf numFmtId="164" fontId="62" fillId="11" borderId="4" xfId="0" applyNumberFormat="1" applyFont="1" applyFill="1" applyBorder="1"/>
    <xf numFmtId="164" fontId="62" fillId="11" borderId="5" xfId="0" applyNumberFormat="1" applyFont="1" applyFill="1" applyBorder="1"/>
    <xf numFmtId="0" fontId="62" fillId="0" borderId="13" xfId="0" applyFont="1" applyBorder="1"/>
    <xf numFmtId="0" fontId="4" fillId="0" borderId="13" xfId="0" applyFont="1" applyBorder="1"/>
    <xf numFmtId="167" fontId="62" fillId="11" borderId="19" xfId="0" applyNumberFormat="1" applyFont="1" applyFill="1" applyBorder="1"/>
    <xf numFmtId="0" fontId="23" fillId="11" borderId="5" xfId="0" applyFont="1" applyFill="1" applyBorder="1"/>
    <xf numFmtId="165" fontId="62" fillId="14" borderId="13" xfId="0" applyNumberFormat="1" applyFont="1" applyFill="1" applyBorder="1" applyAlignment="1">
      <alignment horizontal="right"/>
    </xf>
    <xf numFmtId="167" fontId="4" fillId="11" borderId="5" xfId="0" applyNumberFormat="1" applyFont="1" applyFill="1" applyBorder="1" applyAlignment="1">
      <alignment horizontal="center"/>
    </xf>
    <xf numFmtId="0" fontId="64" fillId="11" borderId="5" xfId="0" applyFont="1" applyFill="1" applyBorder="1"/>
    <xf numFmtId="0" fontId="64" fillId="11" borderId="13" xfId="0" applyFont="1" applyFill="1" applyBorder="1"/>
    <xf numFmtId="0" fontId="65" fillId="11" borderId="5" xfId="0" applyFont="1" applyFill="1" applyBorder="1"/>
    <xf numFmtId="164" fontId="64" fillId="11" borderId="4" xfId="0" applyNumberFormat="1" applyFont="1" applyFill="1" applyBorder="1"/>
    <xf numFmtId="164" fontId="64" fillId="11" borderId="5" xfId="0" applyNumberFormat="1" applyFont="1" applyFill="1" applyBorder="1"/>
    <xf numFmtId="167" fontId="64" fillId="11" borderId="13" xfId="0" applyNumberFormat="1" applyFont="1" applyFill="1" applyBorder="1"/>
    <xf numFmtId="167" fontId="4" fillId="11" borderId="5" xfId="0" applyNumberFormat="1" applyFont="1" applyFill="1" applyBorder="1"/>
    <xf numFmtId="0" fontId="4" fillId="11" borderId="4" xfId="0" applyFont="1" applyFill="1" applyBorder="1"/>
    <xf numFmtId="167" fontId="3" fillId="11" borderId="5" xfId="0" applyNumberFormat="1" applyFont="1" applyFill="1" applyBorder="1"/>
    <xf numFmtId="165" fontId="3" fillId="11" borderId="5" xfId="0" applyNumberFormat="1" applyFont="1" applyFill="1" applyBorder="1"/>
    <xf numFmtId="0" fontId="3" fillId="11" borderId="5" xfId="0" applyFont="1" applyFill="1" applyBorder="1" applyAlignment="1">
      <alignment horizontal="right"/>
    </xf>
    <xf numFmtId="10" fontId="3" fillId="11" borderId="13" xfId="0" applyNumberFormat="1" applyFont="1" applyFill="1" applyBorder="1" applyAlignment="1">
      <alignment horizontal="center"/>
    </xf>
    <xf numFmtId="164" fontId="66" fillId="11" borderId="4" xfId="0" applyNumberFormat="1" applyFont="1" applyFill="1" applyBorder="1"/>
    <xf numFmtId="164" fontId="67" fillId="11" borderId="5" xfId="0" applyNumberFormat="1" applyFont="1" applyFill="1" applyBorder="1"/>
    <xf numFmtId="164" fontId="68" fillId="11" borderId="4" xfId="0" applyNumberFormat="1" applyFont="1" applyFill="1" applyBorder="1"/>
    <xf numFmtId="164" fontId="69" fillId="11" borderId="5" xfId="0" applyNumberFormat="1" applyFont="1" applyFill="1" applyBorder="1"/>
    <xf numFmtId="0" fontId="70" fillId="11" borderId="5" xfId="0" applyFont="1" applyFill="1" applyBorder="1" applyAlignment="1">
      <alignment horizontal="right"/>
    </xf>
    <xf numFmtId="165" fontId="4" fillId="11" borderId="14" xfId="0" applyNumberFormat="1" applyFont="1" applyFill="1" applyBorder="1"/>
    <xf numFmtId="167" fontId="4" fillId="11" borderId="12" xfId="0" applyNumberFormat="1" applyFont="1" applyFill="1" applyBorder="1"/>
    <xf numFmtId="165" fontId="4" fillId="11" borderId="0" xfId="0" applyNumberFormat="1" applyFont="1" applyFill="1"/>
    <xf numFmtId="0" fontId="58" fillId="11" borderId="20" xfId="0" applyFont="1" applyFill="1" applyBorder="1"/>
    <xf numFmtId="0" fontId="4" fillId="11" borderId="0" xfId="0" applyFont="1" applyFill="1"/>
    <xf numFmtId="165" fontId="4" fillId="11" borderId="21" xfId="0" applyNumberFormat="1" applyFont="1" applyFill="1" applyBorder="1"/>
    <xf numFmtId="165" fontId="71" fillId="11" borderId="5" xfId="0" applyNumberFormat="1" applyFont="1" applyFill="1" applyBorder="1"/>
    <xf numFmtId="164" fontId="4" fillId="10" borderId="5" xfId="0" applyNumberFormat="1" applyFont="1" applyFill="1" applyBorder="1"/>
    <xf numFmtId="0" fontId="4" fillId="8" borderId="5" xfId="0" applyFont="1" applyFill="1" applyBorder="1"/>
    <xf numFmtId="165" fontId="3" fillId="15" borderId="0" xfId="0" applyNumberFormat="1" applyFont="1" applyFill="1"/>
    <xf numFmtId="165" fontId="3" fillId="16" borderId="0" xfId="0" applyNumberFormat="1" applyFont="1" applyFill="1"/>
    <xf numFmtId="165" fontId="3" fillId="17" borderId="0" xfId="0" applyNumberFormat="1" applyFont="1" applyFill="1"/>
    <xf numFmtId="165" fontId="3" fillId="18" borderId="0" xfId="0" applyNumberFormat="1" applyFont="1" applyFill="1"/>
    <xf numFmtId="165" fontId="3" fillId="19" borderId="0" xfId="0" applyNumberFormat="1" applyFont="1" applyFill="1"/>
    <xf numFmtId="165" fontId="3" fillId="20" borderId="0" xfId="0" applyNumberFormat="1" applyFont="1" applyFill="1"/>
    <xf numFmtId="165" fontId="3" fillId="21" borderId="0" xfId="0" applyNumberFormat="1" applyFont="1" applyFill="1"/>
    <xf numFmtId="165" fontId="3" fillId="22" borderId="0" xfId="0" applyNumberFormat="1" applyFont="1" applyFill="1"/>
    <xf numFmtId="165" fontId="3" fillId="0" borderId="0" xfId="0" applyNumberFormat="1" applyFont="1"/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72" fillId="0" borderId="0" xfId="0" applyFont="1"/>
    <xf numFmtId="0" fontId="15" fillId="0" borderId="0" xfId="0" applyFont="1"/>
    <xf numFmtId="0" fontId="74" fillId="0" borderId="10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6" fillId="0" borderId="0" xfId="0" applyFont="1"/>
    <xf numFmtId="0" fontId="76" fillId="0" borderId="0" xfId="0" applyFont="1" applyAlignment="1">
      <alignment horizontal="right"/>
    </xf>
    <xf numFmtId="4" fontId="76" fillId="0" borderId="0" xfId="0" applyNumberFormat="1" applyFont="1" applyAlignment="1">
      <alignment horizontal="right"/>
    </xf>
    <xf numFmtId="3" fontId="76" fillId="0" borderId="0" xfId="0" applyNumberFormat="1" applyFont="1" applyAlignment="1">
      <alignment horizontal="right"/>
    </xf>
    <xf numFmtId="3" fontId="75" fillId="0" borderId="0" xfId="0" applyNumberFormat="1" applyFont="1" applyAlignment="1">
      <alignment horizontal="right"/>
    </xf>
    <xf numFmtId="3" fontId="75" fillId="0" borderId="22" xfId="0" applyNumberFormat="1" applyFont="1" applyBorder="1" applyAlignment="1">
      <alignment horizontal="right"/>
    </xf>
    <xf numFmtId="3" fontId="76" fillId="0" borderId="0" xfId="0" applyNumberFormat="1" applyFont="1"/>
    <xf numFmtId="3" fontId="77" fillId="0" borderId="0" xfId="0" applyNumberFormat="1" applyFont="1"/>
    <xf numFmtId="0" fontId="76" fillId="0" borderId="0" xfId="0" applyFont="1" applyAlignment="1">
      <alignment horizontal="left"/>
    </xf>
    <xf numFmtId="164" fontId="72" fillId="0" borderId="0" xfId="0" applyNumberFormat="1" applyFont="1"/>
    <xf numFmtId="0" fontId="78" fillId="0" borderId="0" xfId="0" applyFont="1" applyAlignment="1">
      <alignment horizontal="center"/>
    </xf>
    <xf numFmtId="169" fontId="78" fillId="0" borderId="10" xfId="0" applyNumberFormat="1" applyFont="1" applyBorder="1" applyAlignment="1">
      <alignment horizontal="center"/>
    </xf>
    <xf numFmtId="3" fontId="78" fillId="0" borderId="10" xfId="0" applyNumberFormat="1" applyFont="1" applyBorder="1" applyAlignment="1">
      <alignment horizontal="center"/>
    </xf>
    <xf numFmtId="0" fontId="79" fillId="0" borderId="0" xfId="0" applyFont="1" applyAlignment="1">
      <alignment horizontal="left"/>
    </xf>
    <xf numFmtId="170" fontId="77" fillId="0" borderId="0" xfId="0" applyNumberFormat="1" applyFont="1"/>
    <xf numFmtId="0" fontId="15" fillId="0" borderId="0" xfId="0" applyFont="1" applyAlignment="1">
      <alignment wrapText="1"/>
    </xf>
    <xf numFmtId="0" fontId="80" fillId="0" borderId="10" xfId="0" applyFont="1" applyBorder="1" applyAlignment="1">
      <alignment horizontal="center" wrapText="1"/>
    </xf>
    <xf numFmtId="0" fontId="80" fillId="0" borderId="0" xfId="0" applyFont="1" applyAlignment="1">
      <alignment horizontal="left" wrapText="1"/>
    </xf>
    <xf numFmtId="171" fontId="15" fillId="0" borderId="0" xfId="0" applyNumberFormat="1" applyFont="1" applyAlignment="1">
      <alignment wrapText="1"/>
    </xf>
    <xf numFmtId="164" fontId="15" fillId="0" borderId="0" xfId="0" applyNumberFormat="1" applyFont="1" applyAlignment="1">
      <alignment wrapText="1"/>
    </xf>
    <xf numFmtId="164" fontId="80" fillId="0" borderId="22" xfId="0" applyNumberFormat="1" applyFont="1" applyBorder="1" applyAlignment="1">
      <alignment horizontal="right" wrapText="1"/>
    </xf>
    <xf numFmtId="0" fontId="81" fillId="0" borderId="0" xfId="0" applyFont="1" applyAlignment="1">
      <alignment horizontal="left" wrapText="1"/>
    </xf>
    <xf numFmtId="166" fontId="81" fillId="0" borderId="0" xfId="0" applyNumberFormat="1" applyFont="1" applyAlignment="1">
      <alignment horizontal="right" wrapText="1"/>
    </xf>
    <xf numFmtId="0" fontId="81" fillId="0" borderId="0" xfId="0" applyFont="1"/>
    <xf numFmtId="171" fontId="15" fillId="0" borderId="0" xfId="0" applyNumberFormat="1" applyFont="1" applyAlignment="1">
      <alignment horizontal="right" wrapText="1"/>
    </xf>
    <xf numFmtId="172" fontId="80" fillId="0" borderId="22" xfId="0" applyNumberFormat="1" applyFont="1" applyBorder="1" applyAlignment="1">
      <alignment horizontal="right" wrapText="1"/>
    </xf>
    <xf numFmtId="173" fontId="80" fillId="0" borderId="22" xfId="0" applyNumberFormat="1" applyFont="1" applyBorder="1" applyAlignment="1">
      <alignment horizontal="right" wrapText="1"/>
    </xf>
    <xf numFmtId="14" fontId="22" fillId="0" borderId="0" xfId="0" applyNumberFormat="1" applyFont="1"/>
    <xf numFmtId="164" fontId="22" fillId="0" borderId="0" xfId="0" applyNumberFormat="1" applyFont="1"/>
    <xf numFmtId="0" fontId="82" fillId="0" borderId="0" xfId="0" applyFont="1" applyAlignment="1">
      <alignment horizontal="center"/>
    </xf>
    <xf numFmtId="0" fontId="83" fillId="0" borderId="0" xfId="0" applyFont="1"/>
    <xf numFmtId="164" fontId="84" fillId="0" borderId="0" xfId="0" applyNumberFormat="1" applyFont="1"/>
    <xf numFmtId="0" fontId="22" fillId="0" borderId="0" xfId="0" applyFont="1" applyAlignment="1">
      <alignment horizontal="center"/>
    </xf>
    <xf numFmtId="0" fontId="85" fillId="0" borderId="0" xfId="0" applyFont="1"/>
    <xf numFmtId="0" fontId="85" fillId="0" borderId="0" xfId="0" applyFont="1" applyAlignment="1">
      <alignment horizontal="center"/>
    </xf>
    <xf numFmtId="164" fontId="85" fillId="0" borderId="0" xfId="0" applyNumberFormat="1" applyFont="1" applyAlignment="1">
      <alignment horizontal="center"/>
    </xf>
    <xf numFmtId="168" fontId="86" fillId="0" borderId="0" xfId="0" applyNumberFormat="1" applyFont="1"/>
    <xf numFmtId="0" fontId="77" fillId="0" borderId="0" xfId="0" applyFont="1"/>
    <xf numFmtId="164" fontId="87" fillId="0" borderId="0" xfId="0" applyNumberFormat="1" applyFont="1"/>
    <xf numFmtId="0" fontId="88" fillId="0" borderId="0" xfId="0" applyFont="1" applyAlignment="1">
      <alignment horizontal="center"/>
    </xf>
    <xf numFmtId="164" fontId="89" fillId="0" borderId="0" xfId="0" applyNumberFormat="1" applyFont="1" applyAlignment="1">
      <alignment horizontal="center"/>
    </xf>
    <xf numFmtId="168" fontId="90" fillId="0" borderId="0" xfId="0" applyNumberFormat="1" applyFont="1"/>
    <xf numFmtId="164" fontId="91" fillId="0" borderId="0" xfId="0" applyNumberFormat="1" applyFont="1"/>
    <xf numFmtId="0" fontId="92" fillId="3" borderId="5" xfId="0" applyFont="1" applyFill="1" applyBorder="1"/>
    <xf numFmtId="0" fontId="92" fillId="3" borderId="5" xfId="0" applyFont="1" applyFill="1" applyBorder="1" applyAlignment="1">
      <alignment horizontal="center"/>
    </xf>
    <xf numFmtId="164" fontId="92" fillId="3" borderId="5" xfId="0" applyNumberFormat="1" applyFont="1" applyFill="1" applyBorder="1" applyAlignment="1">
      <alignment horizontal="center"/>
    </xf>
    <xf numFmtId="168" fontId="93" fillId="3" borderId="5" xfId="0" applyNumberFormat="1" applyFont="1" applyFill="1" applyBorder="1"/>
    <xf numFmtId="0" fontId="83" fillId="3" borderId="5" xfId="0" applyFont="1" applyFill="1" applyBorder="1"/>
    <xf numFmtId="164" fontId="84" fillId="3" borderId="5" xfId="0" applyNumberFormat="1" applyFont="1" applyFill="1" applyBorder="1"/>
    <xf numFmtId="0" fontId="84" fillId="3" borderId="5" xfId="0" applyFont="1" applyFill="1" applyBorder="1"/>
    <xf numFmtId="164" fontId="22" fillId="0" borderId="0" xfId="0" applyNumberFormat="1" applyFont="1" applyAlignment="1">
      <alignment horizontal="center"/>
    </xf>
    <xf numFmtId="164" fontId="85" fillId="0" borderId="0" xfId="0" applyNumberFormat="1" applyFont="1" applyAlignment="1">
      <alignment horizontal="left"/>
    </xf>
    <xf numFmtId="0" fontId="94" fillId="0" borderId="0" xfId="0" applyFont="1"/>
    <xf numFmtId="164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center"/>
    </xf>
    <xf numFmtId="168" fontId="95" fillId="0" borderId="0" xfId="0" applyNumberFormat="1" applyFont="1"/>
    <xf numFmtId="0" fontId="96" fillId="0" borderId="0" xfId="0" applyFont="1"/>
    <xf numFmtId="164" fontId="97" fillId="0" borderId="0" xfId="0" applyNumberFormat="1" applyFont="1"/>
    <xf numFmtId="164" fontId="98" fillId="0" borderId="0" xfId="0" applyNumberFormat="1" applyFont="1"/>
    <xf numFmtId="0" fontId="97" fillId="0" borderId="0" xfId="0" applyFont="1"/>
    <xf numFmtId="0" fontId="99" fillId="0" borderId="0" xfId="0" applyFont="1"/>
    <xf numFmtId="164" fontId="100" fillId="0" borderId="0" xfId="0" applyNumberFormat="1" applyFont="1"/>
    <xf numFmtId="0" fontId="85" fillId="3" borderId="5" xfId="0" applyFont="1" applyFill="1" applyBorder="1"/>
    <xf numFmtId="164" fontId="85" fillId="3" borderId="5" xfId="0" applyNumberFormat="1" applyFont="1" applyFill="1" applyBorder="1" applyAlignment="1">
      <alignment horizontal="center"/>
    </xf>
    <xf numFmtId="0" fontId="22" fillId="3" borderId="5" xfId="0" applyFont="1" applyFill="1" applyBorder="1"/>
    <xf numFmtId="164" fontId="22" fillId="3" borderId="5" xfId="0" applyNumberFormat="1" applyFont="1" applyFill="1" applyBorder="1"/>
    <xf numFmtId="168" fontId="84" fillId="3" borderId="5" xfId="0" applyNumberFormat="1" applyFont="1" applyFill="1" applyBorder="1"/>
    <xf numFmtId="164" fontId="101" fillId="0" borderId="0" xfId="0" applyNumberFormat="1" applyFont="1" applyAlignment="1">
      <alignment horizontal="center"/>
    </xf>
    <xf numFmtId="164" fontId="102" fillId="0" borderId="0" xfId="0" applyNumberFormat="1" applyFont="1" applyAlignment="1">
      <alignment horizontal="center"/>
    </xf>
    <xf numFmtId="0" fontId="85" fillId="2" borderId="5" xfId="0" applyFont="1" applyFill="1" applyBorder="1"/>
    <xf numFmtId="0" fontId="92" fillId="2" borderId="5" xfId="0" applyFont="1" applyFill="1" applyBorder="1" applyAlignment="1">
      <alignment horizontal="center"/>
    </xf>
    <xf numFmtId="164" fontId="92" fillId="2" borderId="5" xfId="0" applyNumberFormat="1" applyFont="1" applyFill="1" applyBorder="1" applyAlignment="1">
      <alignment horizontal="center"/>
    </xf>
    <xf numFmtId="168" fontId="93" fillId="2" borderId="5" xfId="0" applyNumberFormat="1" applyFont="1" applyFill="1" applyBorder="1"/>
    <xf numFmtId="0" fontId="22" fillId="2" borderId="5" xfId="0" applyFont="1" applyFill="1" applyBorder="1"/>
    <xf numFmtId="164" fontId="22" fillId="2" borderId="5" xfId="0" applyNumberFormat="1" applyFont="1" applyFill="1" applyBorder="1"/>
    <xf numFmtId="164" fontId="84" fillId="2" borderId="5" xfId="0" applyNumberFormat="1" applyFont="1" applyFill="1" applyBorder="1"/>
    <xf numFmtId="0" fontId="86" fillId="0" borderId="0" xfId="0" applyFont="1"/>
    <xf numFmtId="9" fontId="22" fillId="0" borderId="0" xfId="0" applyNumberFormat="1" applyFont="1"/>
    <xf numFmtId="168" fontId="77" fillId="0" borderId="0" xfId="0" applyNumberFormat="1" applyFont="1"/>
    <xf numFmtId="0" fontId="103" fillId="0" borderId="0" xfId="0" applyFont="1"/>
    <xf numFmtId="0" fontId="84" fillId="0" borderId="0" xfId="0" applyFont="1"/>
    <xf numFmtId="0" fontId="84" fillId="0" borderId="23" xfId="0" applyFont="1" applyBorder="1" applyAlignment="1">
      <alignment horizontal="right"/>
    </xf>
    <xf numFmtId="165" fontId="3" fillId="23" borderId="5" xfId="0" applyNumberFormat="1" applyFont="1" applyFill="1" applyBorder="1" applyAlignment="1">
      <alignment horizontal="center"/>
    </xf>
    <xf numFmtId="165" fontId="3" fillId="4" borderId="4" xfId="0" applyNumberFormat="1" applyFont="1" applyFill="1" applyBorder="1" applyAlignment="1">
      <alignment horizontal="center"/>
    </xf>
    <xf numFmtId="165" fontId="3" fillId="5" borderId="24" xfId="0" applyNumberFormat="1" applyFont="1" applyFill="1" applyBorder="1" applyAlignment="1">
      <alignment horizontal="center"/>
    </xf>
    <xf numFmtId="165" fontId="3" fillId="3" borderId="6" xfId="0" applyNumberFormat="1" applyFont="1" applyFill="1" applyBorder="1" applyAlignment="1">
      <alignment horizontal="center"/>
    </xf>
    <xf numFmtId="0" fontId="104" fillId="0" borderId="0" xfId="0" applyFont="1"/>
    <xf numFmtId="164" fontId="104" fillId="0" borderId="7" xfId="0" applyNumberFormat="1" applyFont="1" applyBorder="1"/>
    <xf numFmtId="164" fontId="104" fillId="0" borderId="0" xfId="0" applyNumberFormat="1" applyFont="1"/>
    <xf numFmtId="0" fontId="104" fillId="0" borderId="23" xfId="0" applyFont="1" applyBorder="1"/>
    <xf numFmtId="0" fontId="104" fillId="0" borderId="7" xfId="0" applyFont="1" applyBorder="1"/>
    <xf numFmtId="0" fontId="104" fillId="0" borderId="8" xfId="0" applyFont="1" applyBorder="1"/>
    <xf numFmtId="164" fontId="84" fillId="3" borderId="4" xfId="0" applyNumberFormat="1" applyFont="1" applyFill="1" applyBorder="1"/>
    <xf numFmtId="164" fontId="84" fillId="3" borderId="24" xfId="0" applyNumberFormat="1" applyFont="1" applyFill="1" applyBorder="1"/>
    <xf numFmtId="164" fontId="84" fillId="3" borderId="6" xfId="0" applyNumberFormat="1" applyFont="1" applyFill="1" applyBorder="1"/>
    <xf numFmtId="164" fontId="105" fillId="0" borderId="0" xfId="0" applyNumberFormat="1" applyFont="1" applyAlignment="1">
      <alignment horizontal="right" wrapText="1"/>
    </xf>
    <xf numFmtId="164" fontId="105" fillId="0" borderId="7" xfId="0" applyNumberFormat="1" applyFont="1" applyBorder="1" applyAlignment="1">
      <alignment horizontal="right" wrapText="1"/>
    </xf>
    <xf numFmtId="164" fontId="22" fillId="0" borderId="23" xfId="0" applyNumberFormat="1" applyFont="1" applyBorder="1"/>
    <xf numFmtId="164" fontId="22" fillId="0" borderId="7" xfId="0" applyNumberFormat="1" applyFont="1" applyBorder="1"/>
    <xf numFmtId="164" fontId="22" fillId="0" borderId="8" xfId="0" applyNumberFormat="1" applyFont="1" applyBorder="1"/>
    <xf numFmtId="0" fontId="106" fillId="0" borderId="0" xfId="0" applyFont="1"/>
    <xf numFmtId="164" fontId="106" fillId="0" borderId="0" xfId="0" applyNumberFormat="1" applyFont="1" applyAlignment="1">
      <alignment horizontal="right" wrapText="1"/>
    </xf>
    <xf numFmtId="164" fontId="106" fillId="0" borderId="7" xfId="0" applyNumberFormat="1" applyFont="1" applyBorder="1"/>
    <xf numFmtId="164" fontId="106" fillId="0" borderId="0" xfId="0" applyNumberFormat="1" applyFont="1"/>
    <xf numFmtId="164" fontId="106" fillId="0" borderId="23" xfId="0" applyNumberFormat="1" applyFont="1" applyBorder="1"/>
    <xf numFmtId="164" fontId="106" fillId="0" borderId="8" xfId="0" applyNumberFormat="1" applyFont="1" applyBorder="1"/>
    <xf numFmtId="164" fontId="106" fillId="0" borderId="7" xfId="0" applyNumberFormat="1" applyFont="1" applyBorder="1" applyAlignment="1">
      <alignment horizontal="right" wrapText="1"/>
    </xf>
    <xf numFmtId="166" fontId="106" fillId="0" borderId="0" xfId="0" applyNumberFormat="1" applyFont="1"/>
    <xf numFmtId="164" fontId="105" fillId="0" borderId="23" xfId="0" applyNumberFormat="1" applyFont="1" applyBorder="1" applyAlignment="1">
      <alignment horizontal="right" wrapText="1"/>
    </xf>
    <xf numFmtId="164" fontId="105" fillId="0" borderId="8" xfId="0" applyNumberFormat="1" applyFont="1" applyBorder="1" applyAlignment="1">
      <alignment horizontal="right" wrapText="1"/>
    </xf>
    <xf numFmtId="164" fontId="106" fillId="0" borderId="23" xfId="0" applyNumberFormat="1" applyFont="1" applyBorder="1" applyAlignment="1">
      <alignment horizontal="right" wrapText="1"/>
    </xf>
    <xf numFmtId="164" fontId="106" fillId="0" borderId="8" xfId="0" applyNumberFormat="1" applyFont="1" applyBorder="1" applyAlignment="1">
      <alignment horizontal="right" wrapText="1"/>
    </xf>
    <xf numFmtId="166" fontId="22" fillId="0" borderId="0" xfId="0" applyNumberFormat="1" applyFont="1"/>
    <xf numFmtId="166" fontId="22" fillId="0" borderId="7" xfId="0" applyNumberFormat="1" applyFont="1" applyBorder="1"/>
    <xf numFmtId="164" fontId="107" fillId="3" borderId="5" xfId="0" applyNumberFormat="1" applyFont="1" applyFill="1" applyBorder="1"/>
    <xf numFmtId="164" fontId="108" fillId="3" borderId="4" xfId="0" applyNumberFormat="1" applyFont="1" applyFill="1" applyBorder="1"/>
    <xf numFmtId="164" fontId="109" fillId="3" borderId="24" xfId="0" applyNumberFormat="1" applyFont="1" applyFill="1" applyBorder="1"/>
    <xf numFmtId="164" fontId="110" fillId="3" borderId="6" xfId="0" applyNumberFormat="1" applyFont="1" applyFill="1" applyBorder="1"/>
    <xf numFmtId="164" fontId="84" fillId="0" borderId="7" xfId="0" applyNumberFormat="1" applyFont="1" applyBorder="1"/>
    <xf numFmtId="164" fontId="84" fillId="0" borderId="23" xfId="0" applyNumberFormat="1" applyFont="1" applyBorder="1"/>
    <xf numFmtId="164" fontId="84" fillId="0" borderId="8" xfId="0" applyNumberFormat="1" applyFont="1" applyBorder="1"/>
    <xf numFmtId="0" fontId="111" fillId="0" borderId="0" xfId="0" applyFont="1"/>
    <xf numFmtId="9" fontId="111" fillId="0" borderId="0" xfId="0" applyNumberFormat="1" applyFont="1"/>
    <xf numFmtId="9" fontId="111" fillId="0" borderId="7" xfId="0" applyNumberFormat="1" applyFont="1" applyBorder="1"/>
    <xf numFmtId="9" fontId="111" fillId="0" borderId="23" xfId="0" applyNumberFormat="1" applyFont="1" applyBorder="1"/>
    <xf numFmtId="9" fontId="111" fillId="0" borderId="8" xfId="0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73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quotePrefix="1" applyFont="1"/>
    <xf numFmtId="0" fontId="112" fillId="0" borderId="0" xfId="0" quotePrefix="1" applyFont="1"/>
  </cellXfs>
  <cellStyles count="1">
    <cellStyle name="Normal" xfId="0" builtinId="0"/>
  </cellStyles>
  <dxfs count="18">
    <dxf>
      <fill>
        <patternFill patternType="solid">
          <fgColor rgb="FFF1A983"/>
          <bgColor rgb="FFF1A983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C000"/>
          <bgColor rgb="FFFFC00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83CAEB"/>
          <bgColor rgb="FF83CAEB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AE2D5"/>
          <bgColor rgb="FFFAE2D5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ill>
        <patternFill patternType="solid">
          <fgColor rgb="FFBFBFBF"/>
          <bgColor rgb="FFBFBFBF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F1CEEE"/>
          <bgColor rgb="FFF1CEEE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F2D0"/>
          <bgColor rgb="FFD9F2D0"/>
        </patternFill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CAEDFB"/>
          <bgColor rgb="FFCAEDFB"/>
        </patternFill>
      </fill>
      <border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harts-style" pivot="0" count="4" xr9:uid="{00000000-0011-0000-FFFF-FFFF00000000}">
      <tableStyleElement type="wholeTable" size="0" dxfId="17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ahoma"/>
              </a:defRPr>
            </a:pPr>
            <a:r>
              <a:rPr lang="en-US" b="0">
                <a:solidFill>
                  <a:srgbClr val="757575"/>
                </a:solidFill>
                <a:latin typeface="Tahoma"/>
              </a:rPr>
              <a:t> Revenue and EBITDA ($M)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Charts!$I$46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Charts!$J$45:$M$45</c:f>
              <c:strCache>
                <c:ptCount val="4"/>
                <c:pt idx="0">
                  <c:v>2024</c:v>
                </c:pt>
                <c:pt idx="1">
                  <c:v>2025-F</c:v>
                </c:pt>
                <c:pt idx="2">
                  <c:v>2026-F</c:v>
                </c:pt>
                <c:pt idx="3">
                  <c:v>2027-F</c:v>
                </c:pt>
              </c:strCache>
            </c:strRef>
          </c:cat>
          <c:val>
            <c:numRef>
              <c:f>Charts!$J$46:$M$46</c:f>
              <c:numCache>
                <c:formatCode>_(* #,##0_);_(* \(#,##0\);_(* "-"??_);_(@_)</c:formatCode>
                <c:ptCount val="4"/>
                <c:pt idx="0">
                  <c:v>7078783.0700000003</c:v>
                </c:pt>
                <c:pt idx="1">
                  <c:v>14671987</c:v>
                </c:pt>
                <c:pt idx="2">
                  <c:v>66233628.728470087</c:v>
                </c:pt>
                <c:pt idx="3">
                  <c:v>178114253.24587882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88-4B56-B380-802248E6C3C8}"/>
            </c:ext>
          </c:extLst>
        </c:ser>
        <c:ser>
          <c:idx val="1"/>
          <c:order val="1"/>
          <c:tx>
            <c:strRef>
              <c:f>Charts!$I$47</c:f>
              <c:strCache>
                <c:ptCount val="1"/>
                <c:pt idx="0">
                  <c:v> EBITDA </c:v>
                </c:pt>
              </c:strCache>
            </c:strRef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Charts!$J$45:$M$45</c:f>
              <c:strCache>
                <c:ptCount val="4"/>
                <c:pt idx="0">
                  <c:v>2024</c:v>
                </c:pt>
                <c:pt idx="1">
                  <c:v>2025-F</c:v>
                </c:pt>
                <c:pt idx="2">
                  <c:v>2026-F</c:v>
                </c:pt>
                <c:pt idx="3">
                  <c:v>2027-F</c:v>
                </c:pt>
              </c:strCache>
            </c:strRef>
          </c:cat>
          <c:val>
            <c:numRef>
              <c:f>Charts!$J$47:$M$47</c:f>
              <c:numCache>
                <c:formatCode>_(* #,##0_);_(* \(#,##0\);_(* "-"??_);_(@_)</c:formatCode>
                <c:ptCount val="4"/>
                <c:pt idx="0">
                  <c:v>944241.0700000003</c:v>
                </c:pt>
                <c:pt idx="1">
                  <c:v>5519534.653414051</c:v>
                </c:pt>
                <c:pt idx="2">
                  <c:v>33207271.979405005</c:v>
                </c:pt>
                <c:pt idx="3">
                  <c:v>74939531.387905985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88-4B56-B380-802248E6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4750571"/>
        <c:axId val="1483123190"/>
      </c:barChart>
      <c:catAx>
        <c:axId val="1114750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483123190"/>
        <c:crosses val="autoZero"/>
        <c:auto val="1"/>
        <c:lblAlgn val="ctr"/>
        <c:lblOffset val="100"/>
        <c:noMultiLvlLbl val="1"/>
      </c:catAx>
      <c:valAx>
        <c:axId val="1483123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11475057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3265767982943428"/>
          <c:y val="0.2903270004213738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rgbClr val="757575"/>
                </a:solidFill>
                <a:latin typeface="Tahoma"/>
              </a:defRPr>
            </a:pPr>
            <a:r>
              <a:rPr lang="en-US" sz="1800" b="0" i="0">
                <a:solidFill>
                  <a:srgbClr val="757575"/>
                </a:solidFill>
                <a:latin typeface="Tahoma"/>
              </a:rPr>
              <a:t>Cash Availability ($M)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Cash</c:v>
          </c:tx>
          <c:spPr>
            <a:solidFill>
              <a:srgbClr val="156082">
                <a:alpha val="90588"/>
              </a:srgbClr>
            </a:solidFill>
            <a:ln cmpd="sng">
              <a:solidFill>
                <a:srgbClr val="000000">
                  <a:alpha val="10196"/>
                </a:srgbClr>
              </a:solidFill>
            </a:ln>
          </c:spPr>
          <c:invertIfNegative val="1"/>
          <c:cat>
            <c:numRef>
              <c:f>Charts!$Z$19:$AW$19</c:f>
              <c:numCache>
                <c:formatCode>[$-409]mmm\-yy</c:formatCode>
                <c:ptCount val="24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  <c:pt idx="13">
                  <c:v>46266</c:v>
                </c:pt>
                <c:pt idx="14">
                  <c:v>46296</c:v>
                </c:pt>
                <c:pt idx="15">
                  <c:v>46327</c:v>
                </c:pt>
                <c:pt idx="16">
                  <c:v>46357</c:v>
                </c:pt>
                <c:pt idx="17">
                  <c:v>46388</c:v>
                </c:pt>
                <c:pt idx="18">
                  <c:v>46419</c:v>
                </c:pt>
                <c:pt idx="19">
                  <c:v>46447</c:v>
                </c:pt>
                <c:pt idx="20">
                  <c:v>46478</c:v>
                </c:pt>
                <c:pt idx="21">
                  <c:v>46508</c:v>
                </c:pt>
                <c:pt idx="22">
                  <c:v>46539</c:v>
                </c:pt>
                <c:pt idx="23">
                  <c:v>46569</c:v>
                </c:pt>
              </c:numCache>
            </c:numRef>
          </c:cat>
          <c:val>
            <c:numRef>
              <c:f>Charts!$Z$20:$AW$20</c:f>
              <c:numCache>
                <c:formatCode>_(* #,##0_);_(* \(#,##0\);_(* "-"??_);_(@_)</c:formatCode>
                <c:ptCount val="24"/>
                <c:pt idx="0">
                  <c:v>1040575.3779627511</c:v>
                </c:pt>
                <c:pt idx="1">
                  <c:v>1383801.4254294704</c:v>
                </c:pt>
                <c:pt idx="2">
                  <c:v>1799322.2587628036</c:v>
                </c:pt>
                <c:pt idx="3">
                  <c:v>2280989.6121854587</c:v>
                </c:pt>
                <c:pt idx="4">
                  <c:v>2602593.568843523</c:v>
                </c:pt>
                <c:pt idx="5">
                  <c:v>2731799.1136222663</c:v>
                </c:pt>
                <c:pt idx="6">
                  <c:v>2681532.7506324728</c:v>
                </c:pt>
                <c:pt idx="7">
                  <c:v>2551489.1909924438</c:v>
                </c:pt>
                <c:pt idx="8">
                  <c:v>1093281.8213981355</c:v>
                </c:pt>
                <c:pt idx="9">
                  <c:v>941770.26760992152</c:v>
                </c:pt>
                <c:pt idx="10">
                  <c:v>979700.45042585232</c:v>
                </c:pt>
                <c:pt idx="11">
                  <c:v>1629081.4550844317</c:v>
                </c:pt>
                <c:pt idx="12">
                  <c:v>2692093.2502581351</c:v>
                </c:pt>
                <c:pt idx="13">
                  <c:v>3814639.3019021759</c:v>
                </c:pt>
                <c:pt idx="14">
                  <c:v>5851482.8733825609</c:v>
                </c:pt>
                <c:pt idx="15">
                  <c:v>8489562.9049472157</c:v>
                </c:pt>
                <c:pt idx="16">
                  <c:v>11389945.257901916</c:v>
                </c:pt>
                <c:pt idx="17">
                  <c:v>15190343.202686492</c:v>
                </c:pt>
                <c:pt idx="18">
                  <c:v>19423004.681849401</c:v>
                </c:pt>
                <c:pt idx="19">
                  <c:v>24432162.820696138</c:v>
                </c:pt>
                <c:pt idx="20">
                  <c:v>21164612.986348581</c:v>
                </c:pt>
                <c:pt idx="21">
                  <c:v>27514038.675587576</c:v>
                </c:pt>
                <c:pt idx="22">
                  <c:v>34277634.530774914</c:v>
                </c:pt>
                <c:pt idx="23">
                  <c:v>37988279.800423302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196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95-43AB-9498-66DA87625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4560665"/>
        <c:axId val="724162238"/>
      </c:barChart>
      <c:dateAx>
        <c:axId val="1754560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409]mmm\-yy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724162238"/>
        <c:crosses val="autoZero"/>
        <c:auto val="1"/>
        <c:lblOffset val="100"/>
        <c:baseTimeUnit val="months"/>
      </c:dateAx>
      <c:valAx>
        <c:axId val="724162238"/>
        <c:scaling>
          <c:orientation val="minMax"/>
          <c:max val="12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754560665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Tahoma"/>
              </a:defRPr>
            </a:pPr>
            <a:r>
              <a:rPr lang="en-US" sz="1800" b="1" i="0">
                <a:solidFill>
                  <a:srgbClr val="757575"/>
                </a:solidFill>
                <a:latin typeface="Tahoma"/>
              </a:rPr>
              <a:t>Cash Availability ($M)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Cash</c:v>
          </c:tx>
          <c:spPr>
            <a:solidFill>
              <a:srgbClr val="156082">
                <a:alpha val="90588"/>
              </a:srgbClr>
            </a:solidFill>
            <a:ln cmpd="sng">
              <a:solidFill>
                <a:srgbClr val="000000">
                  <a:alpha val="10196"/>
                </a:srgbClr>
              </a:solidFill>
            </a:ln>
          </c:spPr>
          <c:invertIfNegative val="1"/>
          <c:cat>
            <c:numRef>
              <c:f>Charts!$Z$19:$AW$19</c:f>
              <c:numCache>
                <c:formatCode>[$-409]mmm\-yy</c:formatCode>
                <c:ptCount val="24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  <c:pt idx="13">
                  <c:v>46266</c:v>
                </c:pt>
                <c:pt idx="14">
                  <c:v>46296</c:v>
                </c:pt>
                <c:pt idx="15">
                  <c:v>46327</c:v>
                </c:pt>
                <c:pt idx="16">
                  <c:v>46357</c:v>
                </c:pt>
                <c:pt idx="17">
                  <c:v>46388</c:v>
                </c:pt>
                <c:pt idx="18">
                  <c:v>46419</c:v>
                </c:pt>
                <c:pt idx="19">
                  <c:v>46447</c:v>
                </c:pt>
                <c:pt idx="20">
                  <c:v>46478</c:v>
                </c:pt>
                <c:pt idx="21">
                  <c:v>46508</c:v>
                </c:pt>
                <c:pt idx="22">
                  <c:v>46539</c:v>
                </c:pt>
                <c:pt idx="23">
                  <c:v>46569</c:v>
                </c:pt>
              </c:numCache>
            </c:numRef>
          </c:cat>
          <c:val>
            <c:numRef>
              <c:f>Charts!$Z$20:$AW$20</c:f>
              <c:numCache>
                <c:formatCode>_(* #,##0_);_(* \(#,##0\);_(* "-"??_);_(@_)</c:formatCode>
                <c:ptCount val="24"/>
                <c:pt idx="0">
                  <c:v>1040575.3779627511</c:v>
                </c:pt>
                <c:pt idx="1">
                  <c:v>1383801.4254294704</c:v>
                </c:pt>
                <c:pt idx="2">
                  <c:v>1799322.2587628036</c:v>
                </c:pt>
                <c:pt idx="3">
                  <c:v>2280989.6121854587</c:v>
                </c:pt>
                <c:pt idx="4">
                  <c:v>2602593.568843523</c:v>
                </c:pt>
                <c:pt idx="5">
                  <c:v>2731799.1136222663</c:v>
                </c:pt>
                <c:pt idx="6">
                  <c:v>2681532.7506324728</c:v>
                </c:pt>
                <c:pt idx="7">
                  <c:v>2551489.1909924438</c:v>
                </c:pt>
                <c:pt idx="8">
                  <c:v>1093281.8213981355</c:v>
                </c:pt>
                <c:pt idx="9">
                  <c:v>941770.26760992152</c:v>
                </c:pt>
                <c:pt idx="10">
                  <c:v>979700.45042585232</c:v>
                </c:pt>
                <c:pt idx="11">
                  <c:v>1629081.4550844317</c:v>
                </c:pt>
                <c:pt idx="12">
                  <c:v>2692093.2502581351</c:v>
                </c:pt>
                <c:pt idx="13">
                  <c:v>3814639.3019021759</c:v>
                </c:pt>
                <c:pt idx="14">
                  <c:v>5851482.8733825609</c:v>
                </c:pt>
                <c:pt idx="15">
                  <c:v>8489562.9049472157</c:v>
                </c:pt>
                <c:pt idx="16">
                  <c:v>11389945.257901916</c:v>
                </c:pt>
                <c:pt idx="17">
                  <c:v>15190343.202686492</c:v>
                </c:pt>
                <c:pt idx="18">
                  <c:v>19423004.681849401</c:v>
                </c:pt>
                <c:pt idx="19">
                  <c:v>24432162.820696138</c:v>
                </c:pt>
                <c:pt idx="20">
                  <c:v>21164612.986348581</c:v>
                </c:pt>
                <c:pt idx="21">
                  <c:v>27514038.675587576</c:v>
                </c:pt>
                <c:pt idx="22">
                  <c:v>34277634.530774914</c:v>
                </c:pt>
                <c:pt idx="23">
                  <c:v>37988279.800423302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196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1F-4EEB-ACE2-7E3B8B69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1122851"/>
        <c:axId val="707975617"/>
      </c:barChart>
      <c:dateAx>
        <c:axId val="2091122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409]mmm\-yy" sourceLinked="1"/>
        <c:majorTickMark val="out"/>
        <c:minorTickMark val="none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707975617"/>
        <c:crosses val="autoZero"/>
        <c:auto val="1"/>
        <c:lblOffset val="100"/>
        <c:baseTimeUnit val="months"/>
      </c:dateAx>
      <c:valAx>
        <c:axId val="707975617"/>
        <c:scaling>
          <c:orientation val="minMax"/>
          <c:max val="12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20911228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Tahoma"/>
              </a:defRPr>
            </a:pPr>
            <a:r>
              <a:rPr lang="en-US" sz="1600" b="1" i="0">
                <a:solidFill>
                  <a:srgbClr val="757575"/>
                </a:solidFill>
                <a:latin typeface="Tahoma"/>
              </a:rPr>
              <a:t>Growing Receivables: EBITDA and Cash ($M)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4310609538457079E-2"/>
          <c:y val="0.12678571428571428"/>
          <c:w val="0.88797400237373258"/>
          <c:h val="0.67328238315984923"/>
        </c:manualLayout>
      </c:layout>
      <c:barChart>
        <c:barDir val="col"/>
        <c:grouping val="clustered"/>
        <c:varyColors val="1"/>
        <c:ser>
          <c:idx val="0"/>
          <c:order val="0"/>
          <c:tx>
            <c:v>Cash</c:v>
          </c:tx>
          <c:spPr>
            <a:solidFill>
              <a:srgbClr val="156082">
                <a:alpha val="90588"/>
              </a:srgbClr>
            </a:solidFill>
            <a:ln w="76200" cmpd="sng">
              <a:solidFill>
                <a:srgbClr val="000000">
                  <a:alpha val="0"/>
                </a:srgbClr>
              </a:solidFill>
            </a:ln>
          </c:spPr>
          <c:invertIfNegative val="1"/>
          <c:cat>
            <c:numRef>
              <c:f>Charts!$AB$41:$BB$41</c:f>
              <c:numCache>
                <c:formatCode>[$-409]mmm\-yy</c:formatCode>
                <c:ptCount val="2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  <c:pt idx="15">
                  <c:v>46388</c:v>
                </c:pt>
                <c:pt idx="16">
                  <c:v>46419</c:v>
                </c:pt>
                <c:pt idx="17">
                  <c:v>46447</c:v>
                </c:pt>
                <c:pt idx="18">
                  <c:v>46478</c:v>
                </c:pt>
                <c:pt idx="19">
                  <c:v>46508</c:v>
                </c:pt>
                <c:pt idx="20">
                  <c:v>46539</c:v>
                </c:pt>
                <c:pt idx="21">
                  <c:v>46569</c:v>
                </c:pt>
                <c:pt idx="22">
                  <c:v>46600</c:v>
                </c:pt>
                <c:pt idx="23">
                  <c:v>46631</c:v>
                </c:pt>
                <c:pt idx="24">
                  <c:v>46661</c:v>
                </c:pt>
                <c:pt idx="25">
                  <c:v>46692</c:v>
                </c:pt>
                <c:pt idx="26">
                  <c:v>46722</c:v>
                </c:pt>
              </c:numCache>
            </c:numRef>
          </c:cat>
          <c:val>
            <c:numRef>
              <c:f>Charts!$AB$42:$BB$42</c:f>
              <c:numCache>
                <c:formatCode>_(* #,##0_);_(* \(#,##0\);_(* "-"??_);_(@_)</c:formatCode>
                <c:ptCount val="27"/>
                <c:pt idx="0">
                  <c:v>1799322.2587628036</c:v>
                </c:pt>
                <c:pt idx="1">
                  <c:v>2280989.6121854587</c:v>
                </c:pt>
                <c:pt idx="2">
                  <c:v>2602593.568843523</c:v>
                </c:pt>
                <c:pt idx="3">
                  <c:v>2731799.1136222663</c:v>
                </c:pt>
                <c:pt idx="4">
                  <c:v>2681532.7506324728</c:v>
                </c:pt>
                <c:pt idx="5">
                  <c:v>2551489.1909924438</c:v>
                </c:pt>
                <c:pt idx="6">
                  <c:v>1093281.8213981355</c:v>
                </c:pt>
                <c:pt idx="7">
                  <c:v>941770.26760992152</c:v>
                </c:pt>
                <c:pt idx="8">
                  <c:v>979700.45042585232</c:v>
                </c:pt>
                <c:pt idx="9">
                  <c:v>1629081.4550844317</c:v>
                </c:pt>
                <c:pt idx="10">
                  <c:v>2692093.2502581351</c:v>
                </c:pt>
                <c:pt idx="11">
                  <c:v>3814639.3019021759</c:v>
                </c:pt>
                <c:pt idx="12">
                  <c:v>5851482.8733825609</c:v>
                </c:pt>
                <c:pt idx="13">
                  <c:v>8489562.9049472157</c:v>
                </c:pt>
                <c:pt idx="14">
                  <c:v>11389945.257901916</c:v>
                </c:pt>
                <c:pt idx="15">
                  <c:v>15190343.202686492</c:v>
                </c:pt>
                <c:pt idx="16">
                  <c:v>19423004.681849401</c:v>
                </c:pt>
                <c:pt idx="17">
                  <c:v>24432162.820696138</c:v>
                </c:pt>
                <c:pt idx="18">
                  <c:v>21164612.986348581</c:v>
                </c:pt>
                <c:pt idx="19">
                  <c:v>27514038.675587576</c:v>
                </c:pt>
                <c:pt idx="20">
                  <c:v>34277634.530774914</c:v>
                </c:pt>
                <c:pt idx="21">
                  <c:v>37988279.800423302</c:v>
                </c:pt>
                <c:pt idx="22">
                  <c:v>42017996.264600612</c:v>
                </c:pt>
                <c:pt idx="23">
                  <c:v>46797014.810661286</c:v>
                </c:pt>
                <c:pt idx="24">
                  <c:v>52089906.815788522</c:v>
                </c:pt>
                <c:pt idx="25">
                  <c:v>57776986.962238692</c:v>
                </c:pt>
                <c:pt idx="26">
                  <c:v>64205897.95310872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solidFill>
                      <a:srgbClr val="000000">
                        <a:alpha val="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88-4C9E-9057-5D6C24A573CC}"/>
            </c:ext>
          </c:extLst>
        </c:ser>
        <c:ser>
          <c:idx val="1"/>
          <c:order val="1"/>
          <c:tx>
            <c:v>EBITDA</c:v>
          </c:tx>
          <c:spPr>
            <a:solidFill>
              <a:srgbClr val="E97132"/>
            </a:solidFill>
            <a:ln w="76200" cmpd="sng">
              <a:solidFill>
                <a:srgbClr val="000000"/>
              </a:solidFill>
            </a:ln>
          </c:spPr>
          <c:invertIfNegative val="1"/>
          <c:cat>
            <c:numRef>
              <c:f>Charts!$AB$41:$BB$41</c:f>
              <c:numCache>
                <c:formatCode>[$-409]mmm\-yy</c:formatCode>
                <c:ptCount val="2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  <c:pt idx="15">
                  <c:v>46388</c:v>
                </c:pt>
                <c:pt idx="16">
                  <c:v>46419</c:v>
                </c:pt>
                <c:pt idx="17">
                  <c:v>46447</c:v>
                </c:pt>
                <c:pt idx="18">
                  <c:v>46478</c:v>
                </c:pt>
                <c:pt idx="19">
                  <c:v>46508</c:v>
                </c:pt>
                <c:pt idx="20">
                  <c:v>46539</c:v>
                </c:pt>
                <c:pt idx="21">
                  <c:v>46569</c:v>
                </c:pt>
                <c:pt idx="22">
                  <c:v>46600</c:v>
                </c:pt>
                <c:pt idx="23">
                  <c:v>46631</c:v>
                </c:pt>
                <c:pt idx="24">
                  <c:v>46661</c:v>
                </c:pt>
                <c:pt idx="25">
                  <c:v>46692</c:v>
                </c:pt>
                <c:pt idx="26">
                  <c:v>46722</c:v>
                </c:pt>
              </c:numCache>
            </c:numRef>
          </c:cat>
          <c:val>
            <c:numRef>
              <c:f>Charts!$AB$43:$BB$43</c:f>
              <c:numCache>
                <c:formatCode>_(* #,##0_);_(* \(#,##0\);_(* "-"??_);_(@_)</c:formatCode>
                <c:ptCount val="27"/>
                <c:pt idx="0">
                  <c:v>863805.46666666679</c:v>
                </c:pt>
                <c:pt idx="1">
                  <c:v>1109462.6450893213</c:v>
                </c:pt>
                <c:pt idx="2">
                  <c:v>1238843.0483247305</c:v>
                </c:pt>
                <c:pt idx="3">
                  <c:v>1146715.8989454098</c:v>
                </c:pt>
                <c:pt idx="4">
                  <c:v>1271156.4620102071</c:v>
                </c:pt>
                <c:pt idx="5">
                  <c:v>1338961.5549433045</c:v>
                </c:pt>
                <c:pt idx="6">
                  <c:v>1514312.1679665972</c:v>
                </c:pt>
                <c:pt idx="7">
                  <c:v>1944205.6462117862</c:v>
                </c:pt>
                <c:pt idx="8">
                  <c:v>2199806.3557325974</c:v>
                </c:pt>
                <c:pt idx="9">
                  <c:v>2988253.975491913</c:v>
                </c:pt>
                <c:pt idx="10">
                  <c:v>3333445.7086737039</c:v>
                </c:pt>
                <c:pt idx="11">
                  <c:v>3473994.3061140394</c:v>
                </c:pt>
                <c:pt idx="12">
                  <c:v>4377569.8946496192</c:v>
                </c:pt>
                <c:pt idx="13">
                  <c:v>4755942.7754596435</c:v>
                </c:pt>
                <c:pt idx="14">
                  <c:v>4862907.2332061715</c:v>
                </c:pt>
                <c:pt idx="15">
                  <c:v>5748827.2095215414</c:v>
                </c:pt>
                <c:pt idx="16">
                  <c:v>5897772.7280605854</c:v>
                </c:pt>
                <c:pt idx="17">
                  <c:v>6646486.3208963582</c:v>
                </c:pt>
                <c:pt idx="18">
                  <c:v>6620684.0377556905</c:v>
                </c:pt>
                <c:pt idx="19">
                  <c:v>7772777.448791204</c:v>
                </c:pt>
                <c:pt idx="20">
                  <c:v>7810627.7880541449</c:v>
                </c:pt>
                <c:pt idx="21">
                  <c:v>4677211.4502567695</c:v>
                </c:pt>
                <c:pt idx="22">
                  <c:v>5284848.3961749068</c:v>
                </c:pt>
                <c:pt idx="23">
                  <c:v>5550269.4027895657</c:v>
                </c:pt>
                <c:pt idx="24">
                  <c:v>5781782.739605777</c:v>
                </c:pt>
                <c:pt idx="25">
                  <c:v>6052017.1254528295</c:v>
                </c:pt>
                <c:pt idx="26">
                  <c:v>7096226.740546599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76200"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88-4C9E-9057-5D6C24A57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6478484"/>
        <c:axId val="163188059"/>
      </c:barChart>
      <c:lineChart>
        <c:grouping val="standard"/>
        <c:varyColors val="0"/>
        <c:ser>
          <c:idx val="2"/>
          <c:order val="2"/>
          <c:tx>
            <c:v>Net Receivables</c:v>
          </c:tx>
          <c:spPr>
            <a:ln w="28575" cmpd="sng">
              <a:solidFill>
                <a:schemeClr val="accent3"/>
              </a:solidFill>
              <a:prstDash val="sysDot"/>
            </a:ln>
          </c:spPr>
          <c:marker>
            <c:symbol val="none"/>
          </c:marker>
          <c:cat>
            <c:numRef>
              <c:f>Charts!$AB$41:$BB$41</c:f>
              <c:numCache>
                <c:formatCode>[$-409]mmm\-yy</c:formatCode>
                <c:ptCount val="2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  <c:pt idx="12">
                  <c:v>46296</c:v>
                </c:pt>
                <c:pt idx="13">
                  <c:v>46327</c:v>
                </c:pt>
                <c:pt idx="14">
                  <c:v>46357</c:v>
                </c:pt>
                <c:pt idx="15">
                  <c:v>46388</c:v>
                </c:pt>
                <c:pt idx="16">
                  <c:v>46419</c:v>
                </c:pt>
                <c:pt idx="17">
                  <c:v>46447</c:v>
                </c:pt>
                <c:pt idx="18">
                  <c:v>46478</c:v>
                </c:pt>
                <c:pt idx="19">
                  <c:v>46508</c:v>
                </c:pt>
                <c:pt idx="20">
                  <c:v>46539</c:v>
                </c:pt>
                <c:pt idx="21">
                  <c:v>46569</c:v>
                </c:pt>
                <c:pt idx="22">
                  <c:v>46600</c:v>
                </c:pt>
                <c:pt idx="23">
                  <c:v>46631</c:v>
                </c:pt>
                <c:pt idx="24">
                  <c:v>46661</c:v>
                </c:pt>
                <c:pt idx="25">
                  <c:v>46692</c:v>
                </c:pt>
                <c:pt idx="26">
                  <c:v>46722</c:v>
                </c:pt>
              </c:numCache>
            </c:numRef>
          </c:cat>
          <c:val>
            <c:numRef>
              <c:f>Charts!$AB$44:$BB$44</c:f>
              <c:numCache>
                <c:formatCode>_(* #,##0_);_(* \(#,##0\);_(* "-"??_);_(@_)</c:formatCode>
                <c:ptCount val="27"/>
                <c:pt idx="0">
                  <c:v>2369994.7999999998</c:v>
                </c:pt>
                <c:pt idx="1">
                  <c:v>2951327.8</c:v>
                </c:pt>
                <c:pt idx="2">
                  <c:v>3819608.5999999996</c:v>
                </c:pt>
                <c:pt idx="3">
                  <c:v>4843851.9333333336</c:v>
                </c:pt>
                <c:pt idx="4">
                  <c:v>6110947.8000000007</c:v>
                </c:pt>
                <c:pt idx="5">
                  <c:v>7542546.4666666668</c:v>
                </c:pt>
                <c:pt idx="6">
                  <c:v>9194340.7333333343</c:v>
                </c:pt>
                <c:pt idx="7">
                  <c:v>11156128.6</c:v>
                </c:pt>
                <c:pt idx="8">
                  <c:v>13243313.866666665</c:v>
                </c:pt>
                <c:pt idx="9">
                  <c:v>15448896.93333333</c:v>
                </c:pt>
                <c:pt idx="10">
                  <c:v>17804579.399999999</c:v>
                </c:pt>
                <c:pt idx="11">
                  <c:v>20155559.866666671</c:v>
                </c:pt>
                <c:pt idx="12">
                  <c:v>22525229.633333337</c:v>
                </c:pt>
                <c:pt idx="13">
                  <c:v>24686401.600000001</c:v>
                </c:pt>
                <c:pt idx="14">
                  <c:v>26742975.966666669</c:v>
                </c:pt>
                <c:pt idx="15">
                  <c:v>28811989.833333336</c:v>
                </c:pt>
                <c:pt idx="16">
                  <c:v>30665616.100000001</c:v>
                </c:pt>
                <c:pt idx="17">
                  <c:v>32523544.766666666</c:v>
                </c:pt>
                <c:pt idx="18">
                  <c:v>34175375.233333334</c:v>
                </c:pt>
                <c:pt idx="19">
                  <c:v>35841507.700000003</c:v>
                </c:pt>
                <c:pt idx="20">
                  <c:v>37308942.166666664</c:v>
                </c:pt>
                <c:pt idx="21">
                  <c:v>38699378.433333337</c:v>
                </c:pt>
                <c:pt idx="22">
                  <c:v>40495433.800000004</c:v>
                </c:pt>
                <c:pt idx="23">
                  <c:v>41853390.566666663</c:v>
                </c:pt>
                <c:pt idx="24">
                  <c:v>43031649.133333333</c:v>
                </c:pt>
                <c:pt idx="25">
                  <c:v>44142909.100000009</c:v>
                </c:pt>
                <c:pt idx="26">
                  <c:v>45669370.066666663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8-4C9E-9057-5D6C24A57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478484"/>
        <c:axId val="163188059"/>
      </c:lineChart>
      <c:dateAx>
        <c:axId val="1936478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409]mmm\-yy" sourceLinked="1"/>
        <c:majorTickMark val="out"/>
        <c:minorTickMark val="none"/>
        <c:tickLblPos val="nextTo"/>
        <c:txPr>
          <a:bodyPr rot="-3600000"/>
          <a:lstStyle/>
          <a:p>
            <a:pPr lvl="0">
              <a:defRPr sz="9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63188059"/>
        <c:crosses val="autoZero"/>
        <c:auto val="1"/>
        <c:lblOffset val="100"/>
        <c:baseTimeUnit val="months"/>
      </c:dateAx>
      <c:valAx>
        <c:axId val="163188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936478484"/>
        <c:crosses val="autoZero"/>
        <c:crossBetween val="between"/>
      </c:valAx>
    </c:plotArea>
    <c:legend>
      <c:legendPos val="tr"/>
      <c:layout>
        <c:manualLayout>
          <c:xMode val="edge"/>
          <c:yMode val="edge"/>
          <c:x val="0.1901631575049984"/>
          <c:y val="0.14711699622756158"/>
          <c:w val="0.80147738585968287"/>
          <c:h val="0.26160974251208952"/>
        </c:manualLayout>
      </c:layout>
      <c:overlay val="1"/>
      <c:txPr>
        <a:bodyPr/>
        <a:lstStyle/>
        <a:p>
          <a:pPr lvl="0">
            <a:defRPr sz="1200" b="0" i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ahoma"/>
              </a:defRPr>
            </a:pPr>
            <a:r>
              <a:rPr lang="en-US" b="0">
                <a:solidFill>
                  <a:srgbClr val="757575"/>
                </a:solidFill>
                <a:latin typeface="Tahoma"/>
              </a:rPr>
              <a:t> Revenue and EBITDA ($M)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Charts!$I$46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Charts!$J$45:$M$45</c:f>
              <c:strCache>
                <c:ptCount val="4"/>
                <c:pt idx="0">
                  <c:v>2024</c:v>
                </c:pt>
                <c:pt idx="1">
                  <c:v>2025-F</c:v>
                </c:pt>
                <c:pt idx="2">
                  <c:v>2026-F</c:v>
                </c:pt>
                <c:pt idx="3">
                  <c:v>2027-F</c:v>
                </c:pt>
              </c:strCache>
            </c:strRef>
          </c:cat>
          <c:val>
            <c:numRef>
              <c:f>Charts!$J$46:$M$46</c:f>
              <c:numCache>
                <c:formatCode>_(* #,##0_);_(* \(#,##0\);_(* "-"??_);_(@_)</c:formatCode>
                <c:ptCount val="4"/>
                <c:pt idx="0">
                  <c:v>7078783.0700000003</c:v>
                </c:pt>
                <c:pt idx="1">
                  <c:v>14671987</c:v>
                </c:pt>
                <c:pt idx="2">
                  <c:v>66233628.728470087</c:v>
                </c:pt>
                <c:pt idx="3">
                  <c:v>178114253.24587882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A5-4F4D-A6E3-52D370A4D687}"/>
            </c:ext>
          </c:extLst>
        </c:ser>
        <c:ser>
          <c:idx val="1"/>
          <c:order val="1"/>
          <c:tx>
            <c:strRef>
              <c:f>Charts!$I$47</c:f>
              <c:strCache>
                <c:ptCount val="1"/>
                <c:pt idx="0">
                  <c:v> EBITDA </c:v>
                </c:pt>
              </c:strCache>
            </c:strRef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Charts!$J$45:$M$45</c:f>
              <c:strCache>
                <c:ptCount val="4"/>
                <c:pt idx="0">
                  <c:v>2024</c:v>
                </c:pt>
                <c:pt idx="1">
                  <c:v>2025-F</c:v>
                </c:pt>
                <c:pt idx="2">
                  <c:v>2026-F</c:v>
                </c:pt>
                <c:pt idx="3">
                  <c:v>2027-F</c:v>
                </c:pt>
              </c:strCache>
            </c:strRef>
          </c:cat>
          <c:val>
            <c:numRef>
              <c:f>Charts!$J$47:$M$47</c:f>
              <c:numCache>
                <c:formatCode>_(* #,##0_);_(* \(#,##0\);_(* "-"??_);_(@_)</c:formatCode>
                <c:ptCount val="4"/>
                <c:pt idx="0">
                  <c:v>944241.0700000003</c:v>
                </c:pt>
                <c:pt idx="1">
                  <c:v>5519534.653414051</c:v>
                </c:pt>
                <c:pt idx="2">
                  <c:v>33207271.979405005</c:v>
                </c:pt>
                <c:pt idx="3">
                  <c:v>74939531.387905985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A5-4F4D-A6E3-52D370A4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69846"/>
        <c:axId val="625239395"/>
      </c:barChart>
      <c:catAx>
        <c:axId val="1736069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625239395"/>
        <c:crosses val="autoZero"/>
        <c:auto val="1"/>
        <c:lblAlgn val="ctr"/>
        <c:lblOffset val="100"/>
        <c:noMultiLvlLbl val="1"/>
      </c:catAx>
      <c:valAx>
        <c:axId val="625239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173606984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3265767982943428"/>
          <c:y val="0.2903270004213738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Tahoma"/>
              </a:defRPr>
            </a:pPr>
            <a:r>
              <a:rPr lang="en-US" b="1">
                <a:solidFill>
                  <a:srgbClr val="757575"/>
                </a:solidFill>
                <a:latin typeface="Tahoma"/>
              </a:rPr>
              <a:t>Personal Injury: High Margin, Long Cash Cycle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PI Net Cash ($M)</c:v>
          </c:tx>
          <c:spPr>
            <a:solidFill>
              <a:srgbClr val="156082">
                <a:alpha val="70196"/>
              </a:srgbClr>
            </a:solidFill>
            <a:ln cmpd="sng">
              <a:solidFill>
                <a:srgbClr val="000000">
                  <a:alpha val="70196"/>
                </a:srgbClr>
              </a:solidFill>
            </a:ln>
          </c:spPr>
          <c:invertIfNegative val="1"/>
          <c:cat>
            <c:numRef>
              <c:f>Charts!$S$66:$AV$66</c:f>
              <c:numCache>
                <c:formatCode>[$-409]mmm\-yy</c:formatCode>
                <c:ptCount val="3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  <c:pt idx="15">
                  <c:v>46296</c:v>
                </c:pt>
                <c:pt idx="16">
                  <c:v>46327</c:v>
                </c:pt>
                <c:pt idx="17">
                  <c:v>46357</c:v>
                </c:pt>
                <c:pt idx="18">
                  <c:v>46388</c:v>
                </c:pt>
                <c:pt idx="19">
                  <c:v>46419</c:v>
                </c:pt>
                <c:pt idx="20">
                  <c:v>46447</c:v>
                </c:pt>
                <c:pt idx="21">
                  <c:v>46478</c:v>
                </c:pt>
                <c:pt idx="22">
                  <c:v>46508</c:v>
                </c:pt>
                <c:pt idx="23">
                  <c:v>46539</c:v>
                </c:pt>
                <c:pt idx="24">
                  <c:v>46569</c:v>
                </c:pt>
                <c:pt idx="25">
                  <c:v>46600</c:v>
                </c:pt>
                <c:pt idx="26">
                  <c:v>46631</c:v>
                </c:pt>
                <c:pt idx="27">
                  <c:v>46661</c:v>
                </c:pt>
                <c:pt idx="28">
                  <c:v>46692</c:v>
                </c:pt>
                <c:pt idx="29">
                  <c:v>46722</c:v>
                </c:pt>
              </c:numCache>
            </c:numRef>
          </c:cat>
          <c:val>
            <c:numRef>
              <c:f>Charts!$S$67:$AV$67</c:f>
              <c:numCache>
                <c:formatCode>_("$"* #,##0_);_("$"* \(#,##0\);_("$"* "-"??_);_(@_)</c:formatCode>
                <c:ptCount val="30"/>
                <c:pt idx="0">
                  <c:v>-121108.29166666666</c:v>
                </c:pt>
                <c:pt idx="1">
                  <c:v>-141108.29166666666</c:v>
                </c:pt>
                <c:pt idx="2">
                  <c:v>-118108.29166666666</c:v>
                </c:pt>
                <c:pt idx="3">
                  <c:v>-171508.29166666666</c:v>
                </c:pt>
                <c:pt idx="4">
                  <c:v>-221908.29166666666</c:v>
                </c:pt>
                <c:pt idx="5">
                  <c:v>-299708.29166666663</c:v>
                </c:pt>
                <c:pt idx="6">
                  <c:v>-338565.58333333331</c:v>
                </c:pt>
                <c:pt idx="7">
                  <c:v>-421737.875</c:v>
                </c:pt>
                <c:pt idx="8">
                  <c:v>-431846.27500000002</c:v>
                </c:pt>
                <c:pt idx="9">
                  <c:v>-510114.56666666677</c:v>
                </c:pt>
                <c:pt idx="10">
                  <c:v>-676513.56666666677</c:v>
                </c:pt>
                <c:pt idx="11">
                  <c:v>-663915.96666666656</c:v>
                </c:pt>
                <c:pt idx="12">
                  <c:v>-659585.65833333344</c:v>
                </c:pt>
                <c:pt idx="13">
                  <c:v>-579189.45833333349</c:v>
                </c:pt>
                <c:pt idx="14">
                  <c:v>-574258.94999999995</c:v>
                </c:pt>
                <c:pt idx="15">
                  <c:v>-377464.75</c:v>
                </c:pt>
                <c:pt idx="16">
                  <c:v>-179470.54999999981</c:v>
                </c:pt>
                <c:pt idx="17">
                  <c:v>17923.850000000093</c:v>
                </c:pt>
                <c:pt idx="18">
                  <c:v>194838.2416666667</c:v>
                </c:pt>
                <c:pt idx="19">
                  <c:v>381432.84166666656</c:v>
                </c:pt>
                <c:pt idx="20">
                  <c:v>562427.84166666633</c:v>
                </c:pt>
                <c:pt idx="21">
                  <c:v>730823.2416666667</c:v>
                </c:pt>
                <c:pt idx="22">
                  <c:v>885351.54999999981</c:v>
                </c:pt>
                <c:pt idx="23">
                  <c:v>1037947.3500000001</c:v>
                </c:pt>
                <c:pt idx="24">
                  <c:v>1173743.3500000001</c:v>
                </c:pt>
                <c:pt idx="25">
                  <c:v>1302539.75</c:v>
                </c:pt>
                <c:pt idx="26">
                  <c:v>1423536.5499999998</c:v>
                </c:pt>
                <c:pt idx="27">
                  <c:v>1540733.1500000004</c:v>
                </c:pt>
                <c:pt idx="28">
                  <c:v>1644462.8583333334</c:v>
                </c:pt>
                <c:pt idx="29">
                  <c:v>1746860.2583333328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70196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D8-4577-81D2-8DB4DD94A4CC}"/>
            </c:ext>
          </c:extLst>
        </c:ser>
        <c:ser>
          <c:idx val="1"/>
          <c:order val="1"/>
          <c:tx>
            <c:v>PI Gross Profit ($M)</c:v>
          </c:tx>
          <c:spPr>
            <a:solidFill>
              <a:srgbClr val="E97132"/>
            </a:solidFill>
            <a:ln cmpd="sng">
              <a:solidFill>
                <a:srgbClr val="000000">
                  <a:alpha val="70196"/>
                </a:srgbClr>
              </a:solidFill>
            </a:ln>
          </c:spPr>
          <c:invertIfNegative val="1"/>
          <c:cat>
            <c:numRef>
              <c:f>Charts!$S$66:$AV$66</c:f>
              <c:numCache>
                <c:formatCode>[$-409]mmm\-yy</c:formatCode>
                <c:ptCount val="3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  <c:pt idx="15">
                  <c:v>46296</c:v>
                </c:pt>
                <c:pt idx="16">
                  <c:v>46327</c:v>
                </c:pt>
                <c:pt idx="17">
                  <c:v>46357</c:v>
                </c:pt>
                <c:pt idx="18">
                  <c:v>46388</c:v>
                </c:pt>
                <c:pt idx="19">
                  <c:v>46419</c:v>
                </c:pt>
                <c:pt idx="20">
                  <c:v>46447</c:v>
                </c:pt>
                <c:pt idx="21">
                  <c:v>46478</c:v>
                </c:pt>
                <c:pt idx="22">
                  <c:v>46508</c:v>
                </c:pt>
                <c:pt idx="23">
                  <c:v>46539</c:v>
                </c:pt>
                <c:pt idx="24">
                  <c:v>46569</c:v>
                </c:pt>
                <c:pt idx="25">
                  <c:v>46600</c:v>
                </c:pt>
                <c:pt idx="26">
                  <c:v>46631</c:v>
                </c:pt>
                <c:pt idx="27">
                  <c:v>46661</c:v>
                </c:pt>
                <c:pt idx="28">
                  <c:v>46692</c:v>
                </c:pt>
                <c:pt idx="29">
                  <c:v>46722</c:v>
                </c:pt>
              </c:numCache>
            </c:numRef>
          </c:cat>
          <c:val>
            <c:numRef>
              <c:f>Charts!$S$68:$AV$68</c:f>
              <c:numCache>
                <c:formatCode>_("$"* #,##0_);_("$"* \(#,##0\);_("$"* "-"??_);_(@_)</c:formatCode>
                <c:ptCount val="30"/>
                <c:pt idx="0">
                  <c:v>73887.308333333349</c:v>
                </c:pt>
                <c:pt idx="1">
                  <c:v>43888.308333333349</c:v>
                </c:pt>
                <c:pt idx="2">
                  <c:v>113485.90833333335</c:v>
                </c:pt>
                <c:pt idx="3">
                  <c:v>179083.50833333339</c:v>
                </c:pt>
                <c:pt idx="4">
                  <c:v>280279.70833333337</c:v>
                </c:pt>
                <c:pt idx="5">
                  <c:v>339077.50833333342</c:v>
                </c:pt>
                <c:pt idx="6">
                  <c:v>494604.41666666669</c:v>
                </c:pt>
                <c:pt idx="7">
                  <c:v>646131.32500000019</c:v>
                </c:pt>
                <c:pt idx="8">
                  <c:v>800525.72500000009</c:v>
                </c:pt>
                <c:pt idx="9">
                  <c:v>942453.03333333356</c:v>
                </c:pt>
                <c:pt idx="10">
                  <c:v>1086047.6333333333</c:v>
                </c:pt>
                <c:pt idx="11">
                  <c:v>1224042.6333333331</c:v>
                </c:pt>
                <c:pt idx="12">
                  <c:v>1346770.7416666669</c:v>
                </c:pt>
                <c:pt idx="13">
                  <c:v>1468366.3416666666</c:v>
                </c:pt>
                <c:pt idx="14">
                  <c:v>1577494.85</c:v>
                </c:pt>
                <c:pt idx="15">
                  <c:v>1681490.85</c:v>
                </c:pt>
                <c:pt idx="16">
                  <c:v>1779887.25</c:v>
                </c:pt>
                <c:pt idx="17">
                  <c:v>1872684.0499999998</c:v>
                </c:pt>
                <c:pt idx="18">
                  <c:v>1947400.4416666671</c:v>
                </c:pt>
                <c:pt idx="19">
                  <c:v>2029397.4416666671</c:v>
                </c:pt>
                <c:pt idx="20">
                  <c:v>2105794.8416666668</c:v>
                </c:pt>
                <c:pt idx="21">
                  <c:v>2176992.041666667</c:v>
                </c:pt>
                <c:pt idx="22">
                  <c:v>2236922.35</c:v>
                </c:pt>
                <c:pt idx="23">
                  <c:v>2299720.1500000004</c:v>
                </c:pt>
                <c:pt idx="24">
                  <c:v>2358517.9500000002</c:v>
                </c:pt>
                <c:pt idx="25">
                  <c:v>2414515.9500000002</c:v>
                </c:pt>
                <c:pt idx="26">
                  <c:v>2463714.1500000004</c:v>
                </c:pt>
                <c:pt idx="27">
                  <c:v>2510112.5500000007</c:v>
                </c:pt>
                <c:pt idx="28">
                  <c:v>2546843.6583333337</c:v>
                </c:pt>
                <c:pt idx="29">
                  <c:v>2589242.0583333331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70196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D8-4577-81D2-8DB4DD94A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0009079"/>
        <c:axId val="461804298"/>
      </c:barChart>
      <c:lineChart>
        <c:grouping val="standard"/>
        <c:varyColors val="0"/>
        <c:ser>
          <c:idx val="2"/>
          <c:order val="2"/>
          <c:tx>
            <c:v>PI Gross Margin (%)</c:v>
          </c:tx>
          <c:spPr>
            <a:ln w="19050" cmpd="sng">
              <a:solidFill>
                <a:srgbClr val="3A7D22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Charts!$S$66:$AV$66</c:f>
              <c:numCache>
                <c:formatCode>[$-409]mmm\-yy</c:formatCode>
                <c:ptCount val="3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  <c:pt idx="12">
                  <c:v>46204</c:v>
                </c:pt>
                <c:pt idx="13">
                  <c:v>46235</c:v>
                </c:pt>
                <c:pt idx="14">
                  <c:v>46266</c:v>
                </c:pt>
                <c:pt idx="15">
                  <c:v>46296</c:v>
                </c:pt>
                <c:pt idx="16">
                  <c:v>46327</c:v>
                </c:pt>
                <c:pt idx="17">
                  <c:v>46357</c:v>
                </c:pt>
                <c:pt idx="18">
                  <c:v>46388</c:v>
                </c:pt>
                <c:pt idx="19">
                  <c:v>46419</c:v>
                </c:pt>
                <c:pt idx="20">
                  <c:v>46447</c:v>
                </c:pt>
                <c:pt idx="21">
                  <c:v>46478</c:v>
                </c:pt>
                <c:pt idx="22">
                  <c:v>46508</c:v>
                </c:pt>
                <c:pt idx="23">
                  <c:v>46539</c:v>
                </c:pt>
                <c:pt idx="24">
                  <c:v>46569</c:v>
                </c:pt>
                <c:pt idx="25">
                  <c:v>46600</c:v>
                </c:pt>
                <c:pt idx="26">
                  <c:v>46631</c:v>
                </c:pt>
                <c:pt idx="27">
                  <c:v>46661</c:v>
                </c:pt>
                <c:pt idx="28">
                  <c:v>46692</c:v>
                </c:pt>
                <c:pt idx="29">
                  <c:v>46722</c:v>
                </c:pt>
              </c:numCache>
            </c:numRef>
          </c:cat>
          <c:val>
            <c:numRef>
              <c:f>Charts!$S$69:$AV$69</c:f>
              <c:numCache>
                <c:formatCode>0%</c:formatCode>
                <c:ptCount val="30"/>
                <c:pt idx="0">
                  <c:v>0.34366893244947033</c:v>
                </c:pt>
                <c:pt idx="1">
                  <c:v>0.27092116953894924</c:v>
                </c:pt>
                <c:pt idx="2">
                  <c:v>0.39820427339690895</c:v>
                </c:pt>
                <c:pt idx="3">
                  <c:v>0.4466014226059819</c:v>
                </c:pt>
                <c:pt idx="4">
                  <c:v>0.48325087473074163</c:v>
                </c:pt>
                <c:pt idx="5">
                  <c:v>0.49573764299395306</c:v>
                </c:pt>
                <c:pt idx="6">
                  <c:v>0.5104382099389736</c:v>
                </c:pt>
                <c:pt idx="7">
                  <c:v>0.51815933721804353</c:v>
                </c:pt>
                <c:pt idx="8">
                  <c:v>0.52667254113012596</c:v>
                </c:pt>
                <c:pt idx="9">
                  <c:v>0.52918164358103159</c:v>
                </c:pt>
                <c:pt idx="10">
                  <c:v>0.53369540799977933</c:v>
                </c:pt>
                <c:pt idx="11">
                  <c:v>0.53710749662447299</c:v>
                </c:pt>
                <c:pt idx="12">
                  <c:v>0.53742960116520633</c:v>
                </c:pt>
                <c:pt idx="13">
                  <c:v>0.53965331502498015</c:v>
                </c:pt>
                <c:pt idx="14">
                  <c:v>0.53951006717101824</c:v>
                </c:pt>
                <c:pt idx="15">
                  <c:v>0.54103143256893738</c:v>
                </c:pt>
                <c:pt idx="16">
                  <c:v>0.54232910675784873</c:v>
                </c:pt>
                <c:pt idx="17">
                  <c:v>0.5434482714790857</c:v>
                </c:pt>
                <c:pt idx="18">
                  <c:v>0.54080555005851183</c:v>
                </c:pt>
                <c:pt idx="19">
                  <c:v>0.54176174115797671</c:v>
                </c:pt>
                <c:pt idx="20">
                  <c:v>0.54260199905874551</c:v>
                </c:pt>
                <c:pt idx="21">
                  <c:v>0.54330849420306604</c:v>
                </c:pt>
                <c:pt idx="22">
                  <c:v>0.54255849733099004</c:v>
                </c:pt>
                <c:pt idx="23">
                  <c:v>0.54316668195591389</c:v>
                </c:pt>
                <c:pt idx="24">
                  <c:v>0.5436991180684192</c:v>
                </c:pt>
                <c:pt idx="25">
                  <c:v>0.54418884528645417</c:v>
                </c:pt>
                <c:pt idx="26">
                  <c:v>0.54459883387507757</c:v>
                </c:pt>
                <c:pt idx="27">
                  <c:v>0.54497708029050018</c:v>
                </c:pt>
                <c:pt idx="28">
                  <c:v>0.54409235771706055</c:v>
                </c:pt>
                <c:pt idx="29">
                  <c:v>0.54442717198634494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8-4577-81D2-8DB4DD94A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4963209"/>
        <c:axId val="668925843"/>
      </c:lineChart>
      <c:dateAx>
        <c:axId val="560009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409]mmm\-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461804298"/>
        <c:crosses val="autoZero"/>
        <c:auto val="1"/>
        <c:lblOffset val="100"/>
        <c:baseTimeUnit val="months"/>
      </c:dateAx>
      <c:valAx>
        <c:axId val="461804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Tahoma"/>
              </a:defRPr>
            </a:pPr>
            <a:endParaRPr lang="en-US"/>
          </a:p>
        </c:txPr>
        <c:crossAx val="560009079"/>
        <c:crosses val="autoZero"/>
        <c:crossBetween val="between"/>
      </c:valAx>
      <c:dateAx>
        <c:axId val="1394963209"/>
        <c:scaling>
          <c:orientation val="minMax"/>
        </c:scaling>
        <c:delete val="1"/>
        <c:axPos val="b"/>
        <c:numFmt formatCode="[$-409]mmm\-yy" sourceLinked="1"/>
        <c:majorTickMark val="none"/>
        <c:minorTickMark val="none"/>
        <c:tickLblPos val="nextTo"/>
        <c:crossAx val="668925843"/>
        <c:crosses val="autoZero"/>
        <c:auto val="1"/>
        <c:lblOffset val="100"/>
        <c:baseTimeUnit val="months"/>
      </c:dateAx>
      <c:valAx>
        <c:axId val="668925843"/>
        <c:scaling>
          <c:orientation val="minMax"/>
          <c:max val="0.6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3A7D22"/>
                </a:solidFill>
                <a:latin typeface="Tahoma"/>
              </a:defRPr>
            </a:pPr>
            <a:endParaRPr lang="en-US"/>
          </a:p>
        </c:txPr>
        <c:crossAx val="1394963209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Tahoma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>
                <a:latin typeface="Tahoma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 lvl="0">
              <a:defRPr>
                <a:latin typeface="Tahoma"/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38100</xdr:rowOff>
    </xdr:from>
    <xdr:ext cx="3914775" cy="2562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38100</xdr:colOff>
      <xdr:row>16</xdr:row>
      <xdr:rowOff>91440</xdr:rowOff>
    </xdr:from>
    <xdr:ext cx="3933825" cy="26670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600755262" name="Visualization1" title="Visualization">
          <a:extLst>
            <a:ext uri="{FF2B5EF4-FFF2-40B4-BE49-F238E27FC236}">
              <a16:creationId xmlns:a16="http://schemas.microsoft.com/office/drawing/2014/main" id="{00000000-0008-0000-0500-00003E96695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Visualization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645795</xdr:colOff>
      <xdr:row>22</xdr:row>
      <xdr:rowOff>148590</xdr:rowOff>
    </xdr:from>
    <xdr:ext cx="4876800" cy="27146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76199</xdr:colOff>
      <xdr:row>46</xdr:row>
      <xdr:rowOff>0</xdr:rowOff>
    </xdr:from>
    <xdr:ext cx="9601201" cy="29622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152400</xdr:colOff>
      <xdr:row>48</xdr:row>
      <xdr:rowOff>171450</xdr:rowOff>
    </xdr:from>
    <xdr:ext cx="4457700" cy="29622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23</xdr:col>
      <xdr:colOff>97156</xdr:colOff>
      <xdr:row>70</xdr:row>
      <xdr:rowOff>188595</xdr:rowOff>
    </xdr:from>
    <xdr:ext cx="9555479" cy="437388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oss_Margin_by_Service" displayName="Gross_Margin_by_Service" ref="I65:M74">
  <tableColumns count="5">
    <tableColumn id="1" xr3:uid="{00000000-0010-0000-0000-000001000000}" name="Column 1"/>
    <tableColumn id="2" xr3:uid="{00000000-0010-0000-0000-000002000000}" name="Column 2"/>
    <tableColumn id="3" xr3:uid="{00000000-0010-0000-0000-000003000000}" name="Column 3"/>
    <tableColumn id="4" xr3:uid="{00000000-0010-0000-0000-000004000000}" name="Column 4"/>
    <tableColumn id="5" xr3:uid="{00000000-0010-0000-0000-000005000000}" name="Column 5"/>
  </tableColumns>
  <tableStyleInfo name="Char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X997"/>
  <sheetViews>
    <sheetView showGridLines="0" tabSelected="1" workbookViewId="0">
      <selection activeCell="Q15" sqref="Q15"/>
    </sheetView>
  </sheetViews>
  <sheetFormatPr defaultColWidth="12.7109375" defaultRowHeight="15" customHeight="1" x14ac:dyDescent="0.25"/>
  <cols>
    <col min="1" max="1" width="11.140625" customWidth="1"/>
    <col min="2" max="2" width="14.140625" customWidth="1"/>
    <col min="3" max="3" width="21.140625" customWidth="1"/>
    <col min="4" max="4" width="8.7109375" customWidth="1"/>
    <col min="5" max="5" width="3.42578125" customWidth="1"/>
    <col min="6" max="6" width="3.28515625" customWidth="1"/>
    <col min="7" max="7" width="21.7109375" customWidth="1"/>
    <col min="8" max="8" width="14" customWidth="1"/>
    <col min="9" max="9" width="14.5703125" customWidth="1"/>
    <col min="10" max="10" width="13.85546875" customWidth="1"/>
    <col min="11" max="11" width="17.28515625" customWidth="1"/>
    <col min="12" max="12" width="1.140625" customWidth="1"/>
    <col min="13" max="13" width="8.7109375" customWidth="1"/>
    <col min="14" max="14" width="11.5703125" bestFit="1" customWidth="1"/>
    <col min="15" max="24" width="8.7109375" customWidth="1"/>
  </cols>
  <sheetData>
    <row r="1" spans="1:24" ht="31.5" customHeight="1" x14ac:dyDescent="0.25">
      <c r="A1" s="1" t="s">
        <v>0</v>
      </c>
      <c r="B1" s="1"/>
      <c r="C1" s="1"/>
      <c r="D1" s="1"/>
      <c r="E1" s="1"/>
      <c r="F1" s="494" t="s">
        <v>1</v>
      </c>
      <c r="G1" s="495"/>
      <c r="H1" s="495"/>
      <c r="I1" s="495"/>
      <c r="J1" s="495"/>
      <c r="K1" s="49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1"/>
      <c r="B2" s="1"/>
      <c r="C2" s="1"/>
      <c r="D2" s="1"/>
      <c r="E2" s="1"/>
      <c r="F2" s="2" t="s">
        <v>2</v>
      </c>
      <c r="G2" s="3"/>
      <c r="H2" s="4">
        <v>2024</v>
      </c>
      <c r="I2" s="4" t="s">
        <v>3</v>
      </c>
      <c r="J2" s="4" t="s">
        <v>4</v>
      </c>
      <c r="K2" s="5" t="s">
        <v>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25">
      <c r="A3" s="1"/>
      <c r="B3" s="1"/>
      <c r="C3" s="1"/>
      <c r="D3" s="1"/>
      <c r="E3" s="1"/>
      <c r="F3" s="6" t="str">
        <f>Charts!H8</f>
        <v>Revenue</v>
      </c>
      <c r="G3" s="7"/>
      <c r="H3" s="7">
        <f>Charts!J16</f>
        <v>7078783.0700000003</v>
      </c>
      <c r="I3" s="7">
        <f>Charts!K16</f>
        <v>14671987</v>
      </c>
      <c r="J3" s="7">
        <f>Charts!L16</f>
        <v>66233628.728470087</v>
      </c>
      <c r="K3" s="8">
        <f>Charts!M16</f>
        <v>178114253.24587882</v>
      </c>
      <c r="L3" s="9"/>
      <c r="M3" s="1"/>
      <c r="N3" s="499">
        <f>+J3-I3</f>
        <v>51561641.728470087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25">
      <c r="A4" s="1"/>
      <c r="B4" s="1"/>
      <c r="C4" s="1"/>
      <c r="D4" s="1"/>
      <c r="E4" s="1"/>
      <c r="F4" s="10"/>
      <c r="G4" s="11" t="str">
        <f>Charts!I9</f>
        <v>VA Mental Health</v>
      </c>
      <c r="H4" s="11">
        <f>Charts!J9</f>
        <v>6970768.0700000003</v>
      </c>
      <c r="I4" s="11">
        <f>Charts!K9</f>
        <v>10955547</v>
      </c>
      <c r="J4" s="11">
        <f>Charts!L9</f>
        <v>17132940</v>
      </c>
      <c r="K4" s="12">
        <f>Charts!M9</f>
        <v>21077100</v>
      </c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25">
      <c r="A5" s="1"/>
      <c r="B5" s="1"/>
      <c r="C5" s="1"/>
      <c r="D5" s="1"/>
      <c r="E5" s="1"/>
      <c r="F5" s="10"/>
      <c r="G5" s="11" t="str">
        <f>Charts!I10</f>
        <v>VA Medical Exams</v>
      </c>
      <c r="H5" s="11">
        <f>Charts!J10</f>
        <v>108015</v>
      </c>
      <c r="I5" s="11">
        <f>Charts!K10</f>
        <v>1040988</v>
      </c>
      <c r="J5" s="11">
        <f>Charts!L10</f>
        <v>4956619.9999999991</v>
      </c>
      <c r="K5" s="12">
        <f>Charts!M10</f>
        <v>9468620.0000000037</v>
      </c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25">
      <c r="A6" s="1"/>
      <c r="B6" s="1"/>
      <c r="C6" s="1"/>
      <c r="D6" s="1"/>
      <c r="E6" s="1"/>
      <c r="F6" s="10"/>
      <c r="G6" s="11" t="str">
        <f>Charts!I11</f>
        <v>Personal Injury</v>
      </c>
      <c r="H6" s="11">
        <f>Charts!J11</f>
        <v>0</v>
      </c>
      <c r="I6" s="11">
        <f>Charts!K11</f>
        <v>2547952</v>
      </c>
      <c r="J6" s="11">
        <f>Charts!L11</f>
        <v>27817424.600000005</v>
      </c>
      <c r="K6" s="12">
        <f>Charts!M11</f>
        <v>50932946.000000007</v>
      </c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 x14ac:dyDescent="0.25">
      <c r="A7" s="1"/>
      <c r="B7" s="1"/>
      <c r="C7" s="1"/>
      <c r="D7" s="1"/>
      <c r="E7" s="1"/>
      <c r="F7" s="10"/>
      <c r="G7" s="11" t="str">
        <f>Charts!I12</f>
        <v>Workers Comp</v>
      </c>
      <c r="H7" s="11">
        <f>Charts!J12</f>
        <v>0</v>
      </c>
      <c r="I7" s="11">
        <f>Charts!K12</f>
        <v>127500</v>
      </c>
      <c r="J7" s="11">
        <f>Charts!L12</f>
        <v>7650000</v>
      </c>
      <c r="K7" s="12">
        <f>Charts!M12</f>
        <v>19890000</v>
      </c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 x14ac:dyDescent="0.25">
      <c r="A8" s="1"/>
      <c r="B8" s="1"/>
      <c r="C8" s="1"/>
      <c r="D8" s="1"/>
      <c r="E8" s="1"/>
      <c r="F8" s="10"/>
      <c r="G8" s="11" t="str">
        <f>Charts!I13</f>
        <v>SaaS</v>
      </c>
      <c r="H8" s="11">
        <f>Charts!J13</f>
        <v>0</v>
      </c>
      <c r="I8" s="11">
        <f>Charts!K13</f>
        <v>0</v>
      </c>
      <c r="J8" s="11">
        <f>Charts!L13</f>
        <v>1125419.1284700765</v>
      </c>
      <c r="K8" s="12">
        <f>Charts!M13</f>
        <v>9514199.7458787914</v>
      </c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 x14ac:dyDescent="0.25">
      <c r="A9" s="1"/>
      <c r="B9" s="1"/>
      <c r="C9" s="1"/>
      <c r="D9" s="1"/>
      <c r="E9" s="1"/>
      <c r="F9" s="10"/>
      <c r="G9" s="11" t="str">
        <f>Charts!I14</f>
        <v>Corrections</v>
      </c>
      <c r="H9" s="11">
        <f>Charts!J14</f>
        <v>0</v>
      </c>
      <c r="I9" s="11">
        <f>Charts!K14</f>
        <v>0</v>
      </c>
      <c r="J9" s="11">
        <f>Charts!L14</f>
        <v>7514100.0000000009</v>
      </c>
      <c r="K9" s="12">
        <f>Charts!M14</f>
        <v>65531400</v>
      </c>
      <c r="L9" s="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 x14ac:dyDescent="0.25">
      <c r="A10" s="1"/>
      <c r="B10" s="1"/>
      <c r="C10" s="1"/>
      <c r="D10" s="1"/>
      <c r="E10" s="1"/>
      <c r="F10" s="10"/>
      <c r="G10" s="11" t="str">
        <f>Charts!I15</f>
        <v>Healthcare Compliance</v>
      </c>
      <c r="H10" s="11">
        <f>Charts!J15</f>
        <v>0</v>
      </c>
      <c r="I10" s="11">
        <f>Charts!K15</f>
        <v>0</v>
      </c>
      <c r="J10" s="11">
        <f>Charts!L15</f>
        <v>37125</v>
      </c>
      <c r="K10" s="12">
        <f>Charts!M15</f>
        <v>1699987.5</v>
      </c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25" customHeight="1" x14ac:dyDescent="0.25">
      <c r="A11" s="1"/>
      <c r="B11" s="1"/>
      <c r="C11" s="1"/>
      <c r="D11" s="1"/>
      <c r="E11" s="1"/>
      <c r="F11" s="10" t="str">
        <f>Charts!H17</f>
        <v>COGS</v>
      </c>
      <c r="G11" s="11"/>
      <c r="H11" s="13">
        <f>Charts!J17</f>
        <v>4503867</v>
      </c>
      <c r="I11" s="13">
        <f>Charts!K17</f>
        <v>6758123.598252615</v>
      </c>
      <c r="J11" s="13">
        <f>Charts!L17</f>
        <v>22489378.41573175</v>
      </c>
      <c r="K11" s="14">
        <f>Charts!M17</f>
        <v>91956882.274639502</v>
      </c>
      <c r="L11" s="9"/>
      <c r="M11" s="1"/>
      <c r="N11" s="1"/>
      <c r="O11" s="1"/>
      <c r="P11" s="1"/>
      <c r="Q11" s="500" t="s">
        <v>805</v>
      </c>
      <c r="R11" s="1"/>
      <c r="S11" s="1"/>
      <c r="T11" s="1"/>
      <c r="U11" s="1"/>
      <c r="V11" s="1"/>
      <c r="W11" s="1"/>
      <c r="X11" s="1"/>
    </row>
    <row r="12" spans="1:24" ht="14.25" customHeight="1" x14ac:dyDescent="0.25">
      <c r="A12" s="1"/>
      <c r="B12" s="1"/>
      <c r="C12" s="1"/>
      <c r="D12" s="1"/>
      <c r="E12" s="1"/>
      <c r="F12" s="6" t="str">
        <f>Charts!H18</f>
        <v>Gross Profit</v>
      </c>
      <c r="G12" s="15"/>
      <c r="H12" s="7">
        <f>Charts!J18</f>
        <v>2574916.0700000003</v>
      </c>
      <c r="I12" s="7">
        <f>Charts!K18</f>
        <v>7913863.401747385</v>
      </c>
      <c r="J12" s="7">
        <f>Charts!L18</f>
        <v>43744250.312738337</v>
      </c>
      <c r="K12" s="8">
        <f>Charts!M18</f>
        <v>86157370.971239313</v>
      </c>
      <c r="L12" s="9"/>
      <c r="M12" s="1"/>
      <c r="N12" s="1"/>
      <c r="O12" s="1"/>
      <c r="P12" s="1"/>
      <c r="Q12" s="500" t="s">
        <v>806</v>
      </c>
      <c r="R12" s="1"/>
      <c r="S12" s="1"/>
      <c r="T12" s="1"/>
      <c r="U12" s="1"/>
      <c r="V12" s="1"/>
      <c r="W12" s="1"/>
      <c r="X12" s="1"/>
    </row>
    <row r="13" spans="1:24" ht="14.25" customHeight="1" x14ac:dyDescent="0.25">
      <c r="A13" s="16"/>
      <c r="B13" s="16"/>
      <c r="C13" s="16"/>
      <c r="D13" s="16"/>
      <c r="E13" s="16"/>
      <c r="F13" s="17"/>
      <c r="G13" s="18" t="str">
        <f>Charts!I19</f>
        <v>Gross Margin</v>
      </c>
      <c r="H13" s="19">
        <f>Charts!J19</f>
        <v>0.36375123302090401</v>
      </c>
      <c r="I13" s="19">
        <f>Charts!K19</f>
        <v>0.53938593332637119</v>
      </c>
      <c r="J13" s="19">
        <f>Charts!L19</f>
        <v>0.66045377782442349</v>
      </c>
      <c r="K13" s="20">
        <f>Charts!M19</f>
        <v>0.48371968779108815</v>
      </c>
      <c r="L13" s="21"/>
      <c r="M13" s="16"/>
      <c r="N13" s="16"/>
      <c r="O13" s="16"/>
      <c r="P13" s="16"/>
      <c r="Q13" s="501" t="s">
        <v>807</v>
      </c>
      <c r="R13" s="16"/>
      <c r="S13" s="16"/>
      <c r="T13" s="16"/>
      <c r="U13" s="16"/>
      <c r="V13" s="16"/>
      <c r="W13" s="16"/>
      <c r="X13" s="16"/>
    </row>
    <row r="14" spans="1:24" ht="6" customHeight="1" x14ac:dyDescent="0.25">
      <c r="A14" s="1"/>
      <c r="B14" s="1"/>
      <c r="C14" s="1"/>
      <c r="D14" s="1"/>
      <c r="E14" s="1"/>
      <c r="F14" s="10"/>
      <c r="G14" s="22"/>
      <c r="H14" s="22"/>
      <c r="I14" s="22"/>
      <c r="J14" s="22"/>
      <c r="K14" s="23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25" customHeight="1" x14ac:dyDescent="0.25">
      <c r="A15" s="1"/>
      <c r="B15" s="1"/>
      <c r="C15" s="1"/>
      <c r="D15" s="1"/>
      <c r="E15" s="1"/>
      <c r="F15" s="6" t="str">
        <f>Charts!H20</f>
        <v>Expenses</v>
      </c>
      <c r="G15" s="7"/>
      <c r="H15" s="7">
        <f>Charts!J25</f>
        <v>1630675</v>
      </c>
      <c r="I15" s="7">
        <f>Charts!K25</f>
        <v>2394328.748333334</v>
      </c>
      <c r="J15" s="7">
        <f>Charts!L25</f>
        <v>10536978.333333332</v>
      </c>
      <c r="K15" s="8">
        <f>Charts!M25</f>
        <v>11217839.583333332</v>
      </c>
      <c r="L15" s="9"/>
      <c r="M15" s="1"/>
      <c r="N15" s="499">
        <f>+J15-I15</f>
        <v>8142649.5849999981</v>
      </c>
      <c r="O15" s="1"/>
      <c r="P15" s="1"/>
      <c r="Q15" s="501" t="s">
        <v>808</v>
      </c>
      <c r="R15" s="1"/>
      <c r="S15" s="1"/>
      <c r="T15" s="1"/>
      <c r="U15" s="1"/>
      <c r="V15" s="1"/>
      <c r="W15" s="1"/>
      <c r="X15" s="1"/>
    </row>
    <row r="16" spans="1:24" ht="14.25" customHeight="1" x14ac:dyDescent="0.25">
      <c r="A16" s="1"/>
      <c r="B16" s="1"/>
      <c r="C16" s="1"/>
      <c r="D16" s="1"/>
      <c r="E16" s="1"/>
      <c r="F16" s="10"/>
      <c r="G16" s="11" t="str">
        <f>Charts!I21</f>
        <v>Technology</v>
      </c>
      <c r="H16" s="11">
        <f>Charts!J21</f>
        <v>171650</v>
      </c>
      <c r="I16" s="11">
        <f>Charts!K21</f>
        <v>182487.04000000001</v>
      </c>
      <c r="J16" s="11">
        <f>Charts!L21</f>
        <v>882042.70833333314</v>
      </c>
      <c r="K16" s="12">
        <f>Charts!M21</f>
        <v>1066909.375</v>
      </c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25">
      <c r="A17" s="1"/>
      <c r="B17" s="1"/>
      <c r="C17" s="1"/>
      <c r="D17" s="1"/>
      <c r="E17" s="1"/>
      <c r="F17" s="10"/>
      <c r="G17" s="11" t="str">
        <f>Charts!I22</f>
        <v>Marketing &amp; Development</v>
      </c>
      <c r="H17" s="11">
        <f>Charts!J22</f>
        <v>534189</v>
      </c>
      <c r="I17" s="11">
        <f>Charts!K22</f>
        <v>346185.61500000005</v>
      </c>
      <c r="J17" s="11">
        <f>Charts!L22</f>
        <v>3995196.541666667</v>
      </c>
      <c r="K17" s="12">
        <f>Charts!M22</f>
        <v>4223961.541666666</v>
      </c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 x14ac:dyDescent="0.25">
      <c r="A18" s="24"/>
      <c r="B18" s="1"/>
      <c r="C18" s="1"/>
      <c r="D18" s="1"/>
      <c r="E18" s="1"/>
      <c r="F18" s="10"/>
      <c r="G18" s="11" t="str">
        <f>Charts!I23</f>
        <v>Clinical Operations</v>
      </c>
      <c r="H18" s="11">
        <f>Charts!J23</f>
        <v>229668</v>
      </c>
      <c r="I18" s="11">
        <f>Charts!K23</f>
        <v>349120.43</v>
      </c>
      <c r="J18" s="11">
        <f>Charts!L23</f>
        <v>2264444.4583333335</v>
      </c>
      <c r="K18" s="12">
        <f>Charts!M23</f>
        <v>1886865.7083333335</v>
      </c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25" customHeight="1" x14ac:dyDescent="0.25">
      <c r="A19" s="1"/>
      <c r="B19" s="1"/>
      <c r="C19" s="1"/>
      <c r="D19" s="1"/>
      <c r="E19" s="1"/>
      <c r="F19" s="10"/>
      <c r="G19" s="11" t="str">
        <f>Charts!I24</f>
        <v>General Administrative</v>
      </c>
      <c r="H19" s="11">
        <f>Charts!J24</f>
        <v>695168</v>
      </c>
      <c r="I19" s="11">
        <f>Charts!K24</f>
        <v>1516535.6633333336</v>
      </c>
      <c r="J19" s="11">
        <f>Charts!L24</f>
        <v>3395294.6249999986</v>
      </c>
      <c r="K19" s="12">
        <f>Charts!M24</f>
        <v>4040102.958333333</v>
      </c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25" customHeight="1" x14ac:dyDescent="0.25">
      <c r="A20" s="1"/>
      <c r="B20" s="1"/>
      <c r="C20" s="1"/>
      <c r="D20" s="1"/>
      <c r="E20" s="1"/>
      <c r="F20" s="6" t="str">
        <f>Charts!H26</f>
        <v>EBITDA</v>
      </c>
      <c r="G20" s="7"/>
      <c r="H20" s="7">
        <f>Charts!J26</f>
        <v>944241.0700000003</v>
      </c>
      <c r="I20" s="7">
        <f>Charts!K26</f>
        <v>5519534.653414051</v>
      </c>
      <c r="J20" s="7">
        <f>Charts!L26</f>
        <v>33207271.979405005</v>
      </c>
      <c r="K20" s="8">
        <f>Charts!M26</f>
        <v>74939531.387905985</v>
      </c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6"/>
      <c r="B21" s="16"/>
      <c r="C21" s="16"/>
      <c r="D21" s="16"/>
      <c r="E21" s="16"/>
      <c r="F21" s="25"/>
      <c r="G21" s="18" t="str">
        <f>Charts!I27</f>
        <v>EBITDA Margin</v>
      </c>
      <c r="H21" s="19">
        <f>Charts!J27</f>
        <v>0.13339031026416243</v>
      </c>
      <c r="I21" s="19">
        <f>Charts!K27</f>
        <v>0.37619544329026811</v>
      </c>
      <c r="J21" s="19">
        <f>Charts!L27</f>
        <v>0.50136573545654273</v>
      </c>
      <c r="K21" s="20">
        <f>Charts!M27</f>
        <v>0.42073854294218266</v>
      </c>
      <c r="L21" s="21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6" customHeight="1" x14ac:dyDescent="0.25">
      <c r="A22" s="1"/>
      <c r="B22" s="1"/>
      <c r="C22" s="1"/>
      <c r="D22" s="1"/>
      <c r="E22" s="1"/>
      <c r="F22" s="26"/>
      <c r="G22" s="27"/>
      <c r="H22" s="27"/>
      <c r="I22" s="27"/>
      <c r="J22" s="27"/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4.25" customHeight="1" x14ac:dyDescent="0.25">
      <c r="A23" s="1"/>
      <c r="B23" s="1"/>
      <c r="C23" s="1"/>
      <c r="D23" s="1"/>
      <c r="E23" s="1"/>
      <c r="F23" s="2" t="s">
        <v>6</v>
      </c>
      <c r="G23" s="3"/>
      <c r="H23" s="4">
        <v>2024</v>
      </c>
      <c r="I23" s="4" t="s">
        <v>3</v>
      </c>
      <c r="J23" s="4" t="s">
        <v>4</v>
      </c>
      <c r="K23" s="5" t="s">
        <v>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4.25" customHeight="1" x14ac:dyDescent="0.25">
      <c r="A24" s="1"/>
      <c r="B24" s="1"/>
      <c r="C24" s="1"/>
      <c r="D24" s="1"/>
      <c r="E24" s="1"/>
      <c r="F24" s="6" t="s">
        <v>7</v>
      </c>
      <c r="G24" s="7"/>
      <c r="H24" s="7">
        <f>Charts!J32</f>
        <v>1258371</v>
      </c>
      <c r="I24" s="7">
        <f>Charts!K32</f>
        <v>7514289.1688435227</v>
      </c>
      <c r="J24" s="7">
        <f>Charts!L32</f>
        <v>42780908.224568583</v>
      </c>
      <c r="K24" s="8">
        <f>Charts!M32</f>
        <v>123790595.01977539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4.25" customHeight="1" x14ac:dyDescent="0.25">
      <c r="A25" s="1"/>
      <c r="B25" s="1"/>
      <c r="C25" s="1"/>
      <c r="D25" s="1"/>
      <c r="E25" s="1"/>
      <c r="F25" s="10"/>
      <c r="G25" s="11" t="str">
        <f>Charts!I33</f>
        <v>Cash</v>
      </c>
      <c r="H25" s="11">
        <f>Charts!J33</f>
        <v>1257232</v>
      </c>
      <c r="I25" s="11">
        <f>Charts!K33</f>
        <v>2602593.568843523</v>
      </c>
      <c r="J25" s="11">
        <f>Charts!L33</f>
        <v>11389945.257901916</v>
      </c>
      <c r="K25" s="12">
        <f>Charts!M33</f>
        <v>64205897.95310872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4.25" customHeight="1" x14ac:dyDescent="0.25">
      <c r="A26" s="1"/>
      <c r="B26" s="1"/>
      <c r="C26" s="1"/>
      <c r="D26" s="1"/>
      <c r="E26" s="1"/>
      <c r="F26" s="10"/>
      <c r="G26" s="11" t="str">
        <f>Charts!I34</f>
        <v>Accounts Receivable</v>
      </c>
      <c r="H26" s="11">
        <f>Charts!J34</f>
        <v>0</v>
      </c>
      <c r="I26" s="11">
        <f>Charts!K34</f>
        <v>4907723.5999999996</v>
      </c>
      <c r="J26" s="11">
        <f>Charts!L34</f>
        <v>31388190.966666669</v>
      </c>
      <c r="K26" s="12">
        <f>Charts!M34</f>
        <v>59583125.066666663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4.25" customHeight="1" x14ac:dyDescent="0.25">
      <c r="A27" s="1"/>
      <c r="B27" s="1"/>
      <c r="C27" s="1"/>
      <c r="D27" s="1"/>
      <c r="E27" s="1"/>
      <c r="F27" s="29"/>
      <c r="G27" s="11" t="str">
        <f>Charts!I35</f>
        <v>Fixed Assets</v>
      </c>
      <c r="H27" s="11">
        <f>Charts!J35</f>
        <v>1139</v>
      </c>
      <c r="I27" s="11">
        <f>Charts!K35</f>
        <v>3972</v>
      </c>
      <c r="J27" s="11">
        <f>Charts!L35</f>
        <v>2772</v>
      </c>
      <c r="K27" s="12">
        <f>Charts!M35</f>
        <v>1572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4.25" customHeight="1" x14ac:dyDescent="0.25">
      <c r="A28" s="1"/>
      <c r="B28" s="1"/>
      <c r="C28" s="1"/>
      <c r="D28" s="1"/>
      <c r="E28" s="1"/>
      <c r="F28" s="6" t="s">
        <v>8</v>
      </c>
      <c r="G28" s="30"/>
      <c r="H28" s="7">
        <f>Charts!J36</f>
        <v>198133</v>
      </c>
      <c r="I28" s="7">
        <f>Charts!K36</f>
        <v>2492984.6458942397</v>
      </c>
      <c r="J28" s="7">
        <f>Charts!L36</f>
        <v>13345037.442665894</v>
      </c>
      <c r="K28" s="8">
        <f>Charts!M36</f>
        <v>33412668.629467648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25" customHeight="1" x14ac:dyDescent="0.25">
      <c r="A29" s="1"/>
      <c r="B29" s="1"/>
      <c r="C29" s="1"/>
      <c r="D29" s="1"/>
      <c r="E29" s="1"/>
      <c r="F29" s="29"/>
      <c r="G29" s="11" t="str">
        <f>Charts!I37</f>
        <v>Current Liabilities</v>
      </c>
      <c r="H29" s="11">
        <f>Charts!J37</f>
        <v>82446</v>
      </c>
      <c r="I29" s="11">
        <f>Charts!K37</f>
        <v>2446827.6458942397</v>
      </c>
      <c r="J29" s="11">
        <f>Charts!L37</f>
        <v>13308156.442665894</v>
      </c>
      <c r="K29" s="12">
        <f>Charts!M37</f>
        <v>33385351.629467648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4.25" customHeight="1" x14ac:dyDescent="0.25">
      <c r="A30" s="1"/>
      <c r="B30" s="1"/>
      <c r="C30" s="1"/>
      <c r="D30" s="1"/>
      <c r="E30" s="1"/>
      <c r="F30" s="31"/>
      <c r="G30" s="11" t="str">
        <f>Charts!I38</f>
        <v>Long-Term Liabilities</v>
      </c>
      <c r="H30" s="11">
        <f>Charts!J38</f>
        <v>115687</v>
      </c>
      <c r="I30" s="11">
        <f>Charts!K38</f>
        <v>46157</v>
      </c>
      <c r="J30" s="11">
        <f>Charts!L38</f>
        <v>36881</v>
      </c>
      <c r="K30" s="12">
        <f>Charts!M38</f>
        <v>27317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4.25" customHeight="1" x14ac:dyDescent="0.25">
      <c r="A31" s="1"/>
      <c r="B31" s="1"/>
      <c r="C31" s="1"/>
      <c r="D31" s="1"/>
      <c r="E31" s="1"/>
      <c r="F31" s="6" t="s">
        <v>9</v>
      </c>
      <c r="G31" s="30"/>
      <c r="H31" s="32">
        <f>Charts!J39</f>
        <v>1060238</v>
      </c>
      <c r="I31" s="32">
        <f>Charts!K39</f>
        <v>5021304.522949283</v>
      </c>
      <c r="J31" s="32">
        <f>Charts!L39</f>
        <v>29435870.781902689</v>
      </c>
      <c r="K31" s="33">
        <f>Charts!M39</f>
        <v>90377926.390307739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4.25" customHeight="1" x14ac:dyDescent="0.25">
      <c r="A32" s="1"/>
      <c r="B32" s="1"/>
      <c r="C32" s="1"/>
      <c r="D32" s="1"/>
      <c r="E32" s="1"/>
      <c r="F32" s="6" t="str">
        <f>Charts!H41</f>
        <v>LIABILITIES AND EQUITY</v>
      </c>
      <c r="G32" s="7"/>
      <c r="H32" s="7">
        <f>Charts!J41</f>
        <v>1258371</v>
      </c>
      <c r="I32" s="7">
        <f>Charts!K41</f>
        <v>7514289.1688435227</v>
      </c>
      <c r="J32" s="7">
        <f>Charts!L41</f>
        <v>42780908.224568583</v>
      </c>
      <c r="K32" s="8">
        <f>Charts!M41</f>
        <v>123790595.01977539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.5" customHeight="1" x14ac:dyDescent="0.25">
      <c r="A33" s="1"/>
      <c r="B33" s="1"/>
      <c r="C33" s="1"/>
      <c r="D33" s="1"/>
      <c r="E33" s="1"/>
      <c r="F33" s="26"/>
      <c r="G33" s="27"/>
      <c r="H33" s="27"/>
      <c r="I33" s="27"/>
      <c r="J33" s="27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25" customHeight="1" x14ac:dyDescent="0.25">
      <c r="A37" s="1" t="s">
        <v>10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mergeCells count="1">
    <mergeCell ref="F1:K1"/>
  </mergeCells>
  <pageMargins left="0.7" right="0.7" top="0.75" bottom="0.75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F1000"/>
  <sheetViews>
    <sheetView workbookViewId="0">
      <pane xSplit="16" ySplit="3" topLeftCell="S33" activePane="bottomRight" state="frozen"/>
      <selection pane="topRight" activeCell="Q1" sqref="Q1"/>
      <selection pane="bottomLeft" activeCell="A4" sqref="A4"/>
      <selection pane="bottomRight" activeCell="Y44" sqref="Y44"/>
    </sheetView>
  </sheetViews>
  <sheetFormatPr defaultColWidth="12.7109375" defaultRowHeight="15" customHeight="1" outlineLevelRow="1" outlineLevelCol="1" x14ac:dyDescent="0.25"/>
  <cols>
    <col min="1" max="1" width="5.7109375" customWidth="1"/>
    <col min="2" max="2" width="2.28515625" customWidth="1"/>
    <col min="3" max="3" width="1.28515625" customWidth="1"/>
    <col min="4" max="4" width="20.42578125" customWidth="1"/>
    <col min="5" max="16" width="9" bestFit="1" customWidth="1"/>
    <col min="17" max="17" width="10.5703125" bestFit="1" customWidth="1" outlineLevel="1"/>
    <col min="18" max="18" width="10.140625" customWidth="1" outlineLevel="1"/>
    <col min="19" max="19" width="10.7109375" customWidth="1" outlineLevel="1"/>
    <col min="20" max="22" width="10" customWidth="1" outlineLevel="1"/>
    <col min="23" max="23" width="11.28515625" bestFit="1" customWidth="1"/>
    <col min="24" max="24" width="11.140625" customWidth="1"/>
    <col min="25" max="36" width="11.7109375" customWidth="1"/>
    <col min="37" max="40" width="12.140625" customWidth="1"/>
    <col min="41" max="52" width="12.7109375" customWidth="1"/>
    <col min="53" max="53" width="8.7109375" customWidth="1"/>
    <col min="54" max="54" width="11.7109375" hidden="1" customWidth="1" outlineLevel="1"/>
    <col min="55" max="55" width="12.42578125" hidden="1" customWidth="1" outlineLevel="1"/>
    <col min="56" max="56" width="12" hidden="1" customWidth="1" outlineLevel="1"/>
    <col min="57" max="57" width="12.7109375" hidden="1" customWidth="1" outlineLevel="1"/>
    <col min="58" max="58" width="12.7109375" collapsed="1"/>
  </cols>
  <sheetData>
    <row r="1" spans="1:57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4.25" customHeight="1" x14ac:dyDescent="0.3">
      <c r="A2" s="1"/>
      <c r="B2" s="34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14.25" customHeight="1" outlineLevel="1" x14ac:dyDescent="0.25">
      <c r="A3" s="1"/>
      <c r="B3" s="1"/>
      <c r="C3" s="1"/>
      <c r="D3" s="1"/>
      <c r="E3" s="35">
        <v>45292</v>
      </c>
      <c r="F3" s="35">
        <v>45323</v>
      </c>
      <c r="G3" s="35">
        <v>45352</v>
      </c>
      <c r="H3" s="35">
        <v>45383</v>
      </c>
      <c r="I3" s="35">
        <v>45413</v>
      </c>
      <c r="J3" s="35">
        <v>45444</v>
      </c>
      <c r="K3" s="35">
        <v>45474</v>
      </c>
      <c r="L3" s="35">
        <v>45505</v>
      </c>
      <c r="M3" s="35">
        <v>45536</v>
      </c>
      <c r="N3" s="35">
        <v>45566</v>
      </c>
      <c r="O3" s="35">
        <v>45597</v>
      </c>
      <c r="P3" s="35">
        <v>45627</v>
      </c>
      <c r="Q3" s="35">
        <v>45658</v>
      </c>
      <c r="R3" s="35">
        <v>45689</v>
      </c>
      <c r="S3" s="35">
        <v>45717</v>
      </c>
      <c r="T3" s="35">
        <v>45748</v>
      </c>
      <c r="U3" s="35">
        <v>45778</v>
      </c>
      <c r="V3" s="35">
        <v>45809</v>
      </c>
      <c r="W3" s="35">
        <v>45839</v>
      </c>
      <c r="X3" s="35">
        <v>45870</v>
      </c>
      <c r="Y3" s="36">
        <v>45901</v>
      </c>
      <c r="Z3" s="36">
        <v>45931</v>
      </c>
      <c r="AA3" s="36">
        <v>45962</v>
      </c>
      <c r="AB3" s="37">
        <v>45992</v>
      </c>
      <c r="AC3" s="38">
        <v>46023</v>
      </c>
      <c r="AD3" s="39">
        <v>46054</v>
      </c>
      <c r="AE3" s="39">
        <v>46082</v>
      </c>
      <c r="AF3" s="39">
        <v>46113</v>
      </c>
      <c r="AG3" s="39">
        <v>46143</v>
      </c>
      <c r="AH3" s="39">
        <v>46174</v>
      </c>
      <c r="AI3" s="39">
        <v>46204</v>
      </c>
      <c r="AJ3" s="39">
        <v>46235</v>
      </c>
      <c r="AK3" s="39">
        <v>46266</v>
      </c>
      <c r="AL3" s="39">
        <v>46296</v>
      </c>
      <c r="AM3" s="39">
        <v>46327</v>
      </c>
      <c r="AN3" s="39">
        <v>46357</v>
      </c>
      <c r="AO3" s="40">
        <v>46388</v>
      </c>
      <c r="AP3" s="36">
        <v>46419</v>
      </c>
      <c r="AQ3" s="36">
        <v>46447</v>
      </c>
      <c r="AR3" s="36">
        <v>46478</v>
      </c>
      <c r="AS3" s="36">
        <v>46508</v>
      </c>
      <c r="AT3" s="36">
        <v>46539</v>
      </c>
      <c r="AU3" s="36">
        <v>46569</v>
      </c>
      <c r="AV3" s="36">
        <v>46600</v>
      </c>
      <c r="AW3" s="36">
        <v>46631</v>
      </c>
      <c r="AX3" s="36">
        <v>46661</v>
      </c>
      <c r="AY3" s="36">
        <v>46692</v>
      </c>
      <c r="AZ3" s="37">
        <v>46722</v>
      </c>
      <c r="BA3" s="41"/>
      <c r="BB3" s="42">
        <v>2024</v>
      </c>
      <c r="BC3" s="42">
        <v>2025</v>
      </c>
      <c r="BD3" s="42">
        <v>2026</v>
      </c>
      <c r="BE3" s="42">
        <v>2027</v>
      </c>
    </row>
    <row r="4" spans="1:57" ht="14.25" customHeight="1" outlineLevel="1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4"/>
      <c r="R4" s="44"/>
      <c r="S4" s="44"/>
      <c r="T4" s="44"/>
      <c r="U4" s="44"/>
      <c r="V4" s="44"/>
      <c r="W4" s="44"/>
      <c r="X4" s="43"/>
      <c r="Y4" s="43"/>
      <c r="Z4" s="43"/>
      <c r="AA4" s="43"/>
      <c r="AB4" s="43"/>
      <c r="AC4" s="45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5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5"/>
      <c r="BB4" s="43"/>
      <c r="BC4" s="43"/>
      <c r="BD4" s="43"/>
      <c r="BE4" s="43"/>
    </row>
    <row r="5" spans="1:57" ht="14.25" customHeight="1" outlineLevel="1" x14ac:dyDescent="0.25">
      <c r="A5" s="46"/>
      <c r="B5" s="46"/>
      <c r="C5" s="30" t="s">
        <v>12</v>
      </c>
      <c r="D5" s="30"/>
      <c r="E5" s="7">
        <f t="shared" ref="E5:P5" si="0">SUM(E6:E7)</f>
        <v>399264.35</v>
      </c>
      <c r="F5" s="7">
        <f t="shared" si="0"/>
        <v>416954.21</v>
      </c>
      <c r="G5" s="7">
        <f t="shared" si="0"/>
        <v>533761.66</v>
      </c>
      <c r="H5" s="7">
        <f t="shared" si="0"/>
        <v>540967.64</v>
      </c>
      <c r="I5" s="7">
        <f t="shared" si="0"/>
        <v>633262.09</v>
      </c>
      <c r="J5" s="7">
        <f t="shared" si="0"/>
        <v>604119.43999999994</v>
      </c>
      <c r="K5" s="7">
        <f t="shared" si="0"/>
        <v>557899.1</v>
      </c>
      <c r="L5" s="7">
        <f t="shared" si="0"/>
        <v>693490.47</v>
      </c>
      <c r="M5" s="7">
        <f t="shared" si="0"/>
        <v>612333.91</v>
      </c>
      <c r="N5" s="7">
        <f t="shared" si="0"/>
        <v>645118.38</v>
      </c>
      <c r="O5" s="7">
        <f t="shared" si="0"/>
        <v>817669.25</v>
      </c>
      <c r="P5" s="7">
        <f t="shared" si="0"/>
        <v>623942.56999999995</v>
      </c>
      <c r="Q5" s="7">
        <f t="shared" ref="Q5:AZ5" si="1">SUM(Q6:Q13)</f>
        <v>697873</v>
      </c>
      <c r="R5" s="7">
        <f t="shared" si="1"/>
        <v>605304</v>
      </c>
      <c r="S5" s="7">
        <f t="shared" si="1"/>
        <v>937772</v>
      </c>
      <c r="T5" s="7">
        <f t="shared" si="1"/>
        <v>850512</v>
      </c>
      <c r="U5" s="7">
        <f t="shared" si="1"/>
        <v>991397</v>
      </c>
      <c r="V5" s="7">
        <f t="shared" si="1"/>
        <v>951240</v>
      </c>
      <c r="W5" s="7">
        <f t="shared" si="1"/>
        <v>1034942.6</v>
      </c>
      <c r="X5" s="7">
        <f t="shared" si="1"/>
        <v>1263146.6000000001</v>
      </c>
      <c r="Y5" s="7">
        <f t="shared" si="1"/>
        <v>1537039.2</v>
      </c>
      <c r="Z5" s="7">
        <f t="shared" si="1"/>
        <v>1593096.8</v>
      </c>
      <c r="AA5" s="7">
        <f t="shared" si="1"/>
        <v>1981583</v>
      </c>
      <c r="AB5" s="47">
        <f t="shared" si="1"/>
        <v>2228080.7999999998</v>
      </c>
      <c r="AC5" s="6">
        <f t="shared" si="1"/>
        <v>2656798.333333333</v>
      </c>
      <c r="AD5" s="7">
        <f t="shared" si="1"/>
        <v>3078515.8666666667</v>
      </c>
      <c r="AE5" s="7">
        <f t="shared" si="1"/>
        <v>3495233.6</v>
      </c>
      <c r="AF5" s="7">
        <f t="shared" si="1"/>
        <v>3899951.5333333332</v>
      </c>
      <c r="AG5" s="7">
        <f t="shared" si="1"/>
        <v>4297669.4666666668</v>
      </c>
      <c r="AH5" s="7">
        <f t="shared" si="1"/>
        <v>4719996.9666666668</v>
      </c>
      <c r="AI5" s="7">
        <f t="shared" si="1"/>
        <v>5962647.5083333328</v>
      </c>
      <c r="AJ5" s="7">
        <f t="shared" si="1"/>
        <v>6361094.3040833334</v>
      </c>
      <c r="AK5" s="7">
        <f t="shared" si="1"/>
        <v>6750537.1731274994</v>
      </c>
      <c r="AL5" s="7">
        <f t="shared" si="1"/>
        <v>7965392.5101836752</v>
      </c>
      <c r="AM5" s="7">
        <f t="shared" si="1"/>
        <v>8339033.9202198312</v>
      </c>
      <c r="AN5" s="7">
        <f t="shared" si="1"/>
        <v>8706757.5458557364</v>
      </c>
      <c r="AO5" s="6">
        <f t="shared" si="1"/>
        <v>9919983.9717152994</v>
      </c>
      <c r="AP5" s="7">
        <f t="shared" si="1"/>
        <v>10291858.497158626</v>
      </c>
      <c r="AQ5" s="7">
        <f t="shared" si="1"/>
        <v>11487420.729290616</v>
      </c>
      <c r="AR5" s="7">
        <f t="shared" si="1"/>
        <v>11843384.650995718</v>
      </c>
      <c r="AS5" s="7">
        <f t="shared" si="1"/>
        <v>13028923.196349708</v>
      </c>
      <c r="AT5" s="7">
        <f t="shared" si="1"/>
        <v>13379637.440667121</v>
      </c>
      <c r="AU5" s="7">
        <f t="shared" si="1"/>
        <v>13728859.741164975</v>
      </c>
      <c r="AV5" s="7">
        <f t="shared" si="1"/>
        <v>16938469.164118659</v>
      </c>
      <c r="AW5" s="7">
        <f t="shared" si="1"/>
        <v>18126256.113452155</v>
      </c>
      <c r="AX5" s="7">
        <f t="shared" si="1"/>
        <v>18481162.976899542</v>
      </c>
      <c r="AY5" s="7">
        <f t="shared" si="1"/>
        <v>18836674.607164919</v>
      </c>
      <c r="AZ5" s="47">
        <f t="shared" si="1"/>
        <v>22051622.156901456</v>
      </c>
      <c r="BA5" s="29"/>
      <c r="BB5" s="7">
        <f t="shared" ref="BB5:BE5" si="2">SUM(BB6:BB13)</f>
        <v>7078783.0700000003</v>
      </c>
      <c r="BC5" s="7">
        <f t="shared" si="2"/>
        <v>14671987</v>
      </c>
      <c r="BD5" s="7">
        <f t="shared" si="2"/>
        <v>66233628.728470087</v>
      </c>
      <c r="BE5" s="7">
        <f t="shared" si="2"/>
        <v>178114253.24587882</v>
      </c>
    </row>
    <row r="6" spans="1:57" ht="14.25" customHeight="1" outlineLevel="1" x14ac:dyDescent="0.25">
      <c r="A6" s="1"/>
      <c r="B6" s="1"/>
      <c r="C6" s="1"/>
      <c r="D6" s="22" t="s">
        <v>13</v>
      </c>
      <c r="E6" s="48">
        <v>399264.35</v>
      </c>
      <c r="F6" s="48">
        <v>416954.21</v>
      </c>
      <c r="G6" s="48">
        <v>533761.66</v>
      </c>
      <c r="H6" s="48">
        <v>540967.64</v>
      </c>
      <c r="I6" s="48">
        <v>633262.09</v>
      </c>
      <c r="J6" s="48">
        <v>603034.43999999994</v>
      </c>
      <c r="K6" s="48">
        <v>551879.1</v>
      </c>
      <c r="L6" s="48">
        <v>676335.47</v>
      </c>
      <c r="M6" s="48">
        <v>593998.91</v>
      </c>
      <c r="N6" s="48">
        <v>630918.38</v>
      </c>
      <c r="O6" s="48">
        <v>793259.25</v>
      </c>
      <c r="P6" s="48">
        <v>597132.56999999995</v>
      </c>
      <c r="Q6" s="49">
        <v>666495</v>
      </c>
      <c r="R6" s="48">
        <v>567214</v>
      </c>
      <c r="S6" s="48">
        <v>880372</v>
      </c>
      <c r="T6" s="48">
        <v>775302</v>
      </c>
      <c r="U6" s="48">
        <v>863492</v>
      </c>
      <c r="V6" s="48">
        <v>721755</v>
      </c>
      <c r="W6" s="48">
        <v>735947</v>
      </c>
      <c r="X6" s="11">
        <f>Worksheet!N178</f>
        <v>1019370</v>
      </c>
      <c r="Y6" s="11">
        <f>Worksheet!O178</f>
        <v>1167210</v>
      </c>
      <c r="Z6" s="11">
        <f>Worksheet!P178</f>
        <v>1100220</v>
      </c>
      <c r="AA6" s="11">
        <f>Worksheet!Q178</f>
        <v>1208460</v>
      </c>
      <c r="AB6" s="11">
        <f>Worksheet!R178</f>
        <v>1249710</v>
      </c>
      <c r="AC6" s="50">
        <f>Worksheet!S178</f>
        <v>1277100</v>
      </c>
      <c r="AD6" s="11">
        <f>Worksheet!T178</f>
        <v>1304490</v>
      </c>
      <c r="AE6" s="11">
        <f>Worksheet!U178</f>
        <v>1331880</v>
      </c>
      <c r="AF6" s="11">
        <f>Worksheet!V178</f>
        <v>1359270</v>
      </c>
      <c r="AG6" s="11">
        <f>Worksheet!W178</f>
        <v>1386660</v>
      </c>
      <c r="AH6" s="11">
        <f>Worksheet!X178</f>
        <v>1414050</v>
      </c>
      <c r="AI6" s="11">
        <f>Worksheet!Y178</f>
        <v>1441440</v>
      </c>
      <c r="AJ6" s="11">
        <f>Worksheet!Z178</f>
        <v>1468830</v>
      </c>
      <c r="AK6" s="11">
        <f>Worksheet!AA178</f>
        <v>1496220</v>
      </c>
      <c r="AL6" s="11">
        <f>Worksheet!AB178</f>
        <v>1523610</v>
      </c>
      <c r="AM6" s="11">
        <f>Worksheet!AC178</f>
        <v>1551000</v>
      </c>
      <c r="AN6" s="11">
        <f>Worksheet!AD178</f>
        <v>1578390</v>
      </c>
      <c r="AO6" s="50">
        <f>Worksheet!AE178</f>
        <v>1605780</v>
      </c>
      <c r="AP6" s="11">
        <f>Worksheet!AF178</f>
        <v>1633170</v>
      </c>
      <c r="AQ6" s="11">
        <f>Worksheet!AG178</f>
        <v>1660560</v>
      </c>
      <c r="AR6" s="11">
        <f>Worksheet!AH178</f>
        <v>1687950</v>
      </c>
      <c r="AS6" s="11">
        <f>Worksheet!AI178</f>
        <v>1715340</v>
      </c>
      <c r="AT6" s="11">
        <f>Worksheet!AJ178</f>
        <v>1742730</v>
      </c>
      <c r="AU6" s="11">
        <f>Worksheet!AK178</f>
        <v>1770120</v>
      </c>
      <c r="AV6" s="11">
        <f>Worksheet!AL178</f>
        <v>1797510</v>
      </c>
      <c r="AW6" s="11">
        <f>Worksheet!AM178</f>
        <v>1824900</v>
      </c>
      <c r="AX6" s="11">
        <f>Worksheet!AN178</f>
        <v>1852290</v>
      </c>
      <c r="AY6" s="11">
        <f>Worksheet!AO178</f>
        <v>1879680</v>
      </c>
      <c r="AZ6" s="11">
        <f>Worksheet!AP178</f>
        <v>1907070</v>
      </c>
      <c r="BA6" s="41"/>
      <c r="BB6" s="11">
        <f t="shared" ref="BB6:BB7" si="3">SUM(E6:P6)</f>
        <v>6970768.0700000003</v>
      </c>
      <c r="BC6" s="11">
        <f t="shared" ref="BC6:BC12" si="4">SUM(Q6:AB6)</f>
        <v>10955547</v>
      </c>
      <c r="BD6" s="11">
        <f t="shared" ref="BD6:BD12" si="5">SUM(AC6:AN6)</f>
        <v>17132940</v>
      </c>
      <c r="BE6" s="11">
        <f t="shared" ref="BE6:BE12" si="6">SUM(AO6:AZ6)</f>
        <v>21077100</v>
      </c>
    </row>
    <row r="7" spans="1:57" ht="14.25" customHeight="1" outlineLevel="1" x14ac:dyDescent="0.25">
      <c r="A7" s="1"/>
      <c r="B7" s="1"/>
      <c r="C7" s="1"/>
      <c r="D7" s="22" t="s">
        <v>14</v>
      </c>
      <c r="E7" s="11"/>
      <c r="F7" s="11"/>
      <c r="G7" s="11"/>
      <c r="H7" s="11"/>
      <c r="I7" s="11"/>
      <c r="J7" s="48">
        <v>1085</v>
      </c>
      <c r="K7" s="48">
        <v>6020</v>
      </c>
      <c r="L7" s="48">
        <v>17155</v>
      </c>
      <c r="M7" s="48">
        <v>18335</v>
      </c>
      <c r="N7" s="48">
        <v>14200</v>
      </c>
      <c r="O7" s="48">
        <v>24410</v>
      </c>
      <c r="P7" s="48">
        <v>26810</v>
      </c>
      <c r="Q7" s="49">
        <v>31378</v>
      </c>
      <c r="R7" s="48">
        <v>38090</v>
      </c>
      <c r="S7" s="48">
        <v>57400</v>
      </c>
      <c r="T7" s="48">
        <v>63200</v>
      </c>
      <c r="U7" s="48">
        <v>69600</v>
      </c>
      <c r="V7" s="48">
        <v>78800</v>
      </c>
      <c r="W7" s="48">
        <v>84000</v>
      </c>
      <c r="X7" s="11">
        <f>Worksheet!N179</f>
        <v>81780</v>
      </c>
      <c r="Y7" s="11">
        <f>Worksheet!O179</f>
        <v>84835</v>
      </c>
      <c r="Z7" s="11">
        <f>Worksheet!P179</f>
        <v>91885</v>
      </c>
      <c r="AA7" s="11">
        <f>Worksheet!Q179</f>
        <v>150635</v>
      </c>
      <c r="AB7" s="11">
        <f>Worksheet!R179</f>
        <v>209385</v>
      </c>
      <c r="AC7" s="50">
        <f>Worksheet!S179</f>
        <v>240718.33333333331</v>
      </c>
      <c r="AD7" s="11">
        <f>Worksheet!T179</f>
        <v>272051.66666666663</v>
      </c>
      <c r="AE7" s="11">
        <f>Worksheet!U179</f>
        <v>303384.99999999994</v>
      </c>
      <c r="AF7" s="11">
        <f>Worksheet!V179</f>
        <v>334718.33333333326</v>
      </c>
      <c r="AG7" s="11">
        <f>Worksheet!W179</f>
        <v>366051.66666666657</v>
      </c>
      <c r="AH7" s="11">
        <f>Worksheet!X179</f>
        <v>397384.99999999988</v>
      </c>
      <c r="AI7" s="11">
        <f>Worksheet!Y179</f>
        <v>428718.3333333332</v>
      </c>
      <c r="AJ7" s="11">
        <f>Worksheet!Z179</f>
        <v>460051.66666666651</v>
      </c>
      <c r="AK7" s="11">
        <f>Worksheet!AA179</f>
        <v>491384.99999999988</v>
      </c>
      <c r="AL7" s="11">
        <f>Worksheet!AB179</f>
        <v>522718.33333333326</v>
      </c>
      <c r="AM7" s="11">
        <f>Worksheet!AC179</f>
        <v>554051.66666666663</v>
      </c>
      <c r="AN7" s="11">
        <f>Worksheet!AD179</f>
        <v>585385</v>
      </c>
      <c r="AO7" s="50">
        <f>Worksheet!AE179</f>
        <v>616718.33333333337</v>
      </c>
      <c r="AP7" s="11">
        <f>Worksheet!AF179</f>
        <v>648051.66666666674</v>
      </c>
      <c r="AQ7" s="11">
        <f>Worksheet!AG179</f>
        <v>679385.00000000012</v>
      </c>
      <c r="AR7" s="11">
        <f>Worksheet!AH179</f>
        <v>710718.33333333349</v>
      </c>
      <c r="AS7" s="11">
        <f>Worksheet!AI179</f>
        <v>742051.66666666686</v>
      </c>
      <c r="AT7" s="11">
        <f>Worksheet!AJ179</f>
        <v>773385.00000000023</v>
      </c>
      <c r="AU7" s="11">
        <f>Worksheet!AK179</f>
        <v>804718.3333333336</v>
      </c>
      <c r="AV7" s="11">
        <f>Worksheet!AL179</f>
        <v>836051.66666666698</v>
      </c>
      <c r="AW7" s="11">
        <f>Worksheet!AM179</f>
        <v>867385.00000000035</v>
      </c>
      <c r="AX7" s="11">
        <f>Worksheet!AN179</f>
        <v>898718.33333333372</v>
      </c>
      <c r="AY7" s="11">
        <f>Worksheet!AO179</f>
        <v>930051.66666666709</v>
      </c>
      <c r="AZ7" s="11">
        <f>Worksheet!AP179</f>
        <v>961385.00000000047</v>
      </c>
      <c r="BA7" s="41"/>
      <c r="BB7" s="11">
        <f t="shared" si="3"/>
        <v>108015</v>
      </c>
      <c r="BC7" s="11">
        <f t="shared" si="4"/>
        <v>1040988</v>
      </c>
      <c r="BD7" s="11">
        <f t="shared" si="5"/>
        <v>4956619.9999999991</v>
      </c>
      <c r="BE7" s="11">
        <f t="shared" si="6"/>
        <v>9468620.0000000037</v>
      </c>
    </row>
    <row r="8" spans="1:57" ht="14.25" customHeight="1" outlineLevel="1" x14ac:dyDescent="0.25">
      <c r="A8" s="1"/>
      <c r="B8" s="1"/>
      <c r="C8" s="1"/>
      <c r="D8" s="22" t="s">
        <v>15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v>0</v>
      </c>
      <c r="R8" s="11">
        <v>0</v>
      </c>
      <c r="S8" s="11">
        <v>0</v>
      </c>
      <c r="T8" s="11">
        <v>12010</v>
      </c>
      <c r="U8" s="11">
        <v>58305</v>
      </c>
      <c r="V8" s="11">
        <f>221000-U8-T8</f>
        <v>150685</v>
      </c>
      <c r="W8" s="11">
        <f>Worksheet!M181</f>
        <v>214995.6</v>
      </c>
      <c r="X8" s="11">
        <f>Worksheet!N181</f>
        <v>161996.6</v>
      </c>
      <c r="Y8" s="11">
        <f>Worksheet!O181</f>
        <v>284994.2</v>
      </c>
      <c r="Z8" s="11">
        <f>Worksheet!P181</f>
        <v>400991.80000000005</v>
      </c>
      <c r="AA8" s="11">
        <f>Worksheet!Q181</f>
        <v>579988</v>
      </c>
      <c r="AB8" s="11">
        <f>Worksheet!R181</f>
        <v>683985.8</v>
      </c>
      <c r="AC8" s="50">
        <f>Worksheet!S181</f>
        <v>968980</v>
      </c>
      <c r="AD8" s="11">
        <f>Worksheet!T181</f>
        <v>1246974.2000000002</v>
      </c>
      <c r="AE8" s="11">
        <f>Worksheet!U181</f>
        <v>1519968.6</v>
      </c>
      <c r="AF8" s="11">
        <f>Worksheet!V181</f>
        <v>1780963.2000000002</v>
      </c>
      <c r="AG8" s="11">
        <f>Worksheet!W181</f>
        <v>2034957.8</v>
      </c>
      <c r="AH8" s="11">
        <f>Worksheet!X181</f>
        <v>2278952.7999999998</v>
      </c>
      <c r="AI8" s="11">
        <f>Worksheet!Y181</f>
        <v>2505948.2000000002</v>
      </c>
      <c r="AJ8" s="11">
        <f>Worksheet!Z181</f>
        <v>2720943.8</v>
      </c>
      <c r="AK8" s="11">
        <f>Worksheet!AA181</f>
        <v>2923939.6</v>
      </c>
      <c r="AL8" s="11">
        <f>Worksheet!AB181</f>
        <v>3107935.6</v>
      </c>
      <c r="AM8" s="11">
        <f>Worksheet!AC181</f>
        <v>3281932</v>
      </c>
      <c r="AN8" s="11">
        <f>Worksheet!AD181</f>
        <v>3445928.8</v>
      </c>
      <c r="AO8" s="50">
        <f>Worksheet!AE181</f>
        <v>3600925.4000000004</v>
      </c>
      <c r="AP8" s="11">
        <f>Worksheet!AF181</f>
        <v>3745922.4000000004</v>
      </c>
      <c r="AQ8" s="11">
        <f>Worksheet!AG181</f>
        <v>3880919.8</v>
      </c>
      <c r="AR8" s="11">
        <f>Worksheet!AH181</f>
        <v>4006917</v>
      </c>
      <c r="AS8" s="11">
        <f>Worksheet!AI181</f>
        <v>4122914.6</v>
      </c>
      <c r="AT8" s="11">
        <f>Worksheet!AJ181</f>
        <v>4233912.4000000004</v>
      </c>
      <c r="AU8" s="11">
        <f>Worksheet!AK181</f>
        <v>4337910.2</v>
      </c>
      <c r="AV8" s="11">
        <f>Worksheet!AL181</f>
        <v>4436908.2</v>
      </c>
      <c r="AW8" s="11">
        <f>Worksheet!AM181</f>
        <v>4523906.4000000004</v>
      </c>
      <c r="AX8" s="11">
        <f>Worksheet!AN181</f>
        <v>4605904.8000000007</v>
      </c>
      <c r="AY8" s="11">
        <f>Worksheet!AO181</f>
        <v>4680903.2</v>
      </c>
      <c r="AZ8" s="11">
        <f>Worksheet!AP181</f>
        <v>4755901.5999999996</v>
      </c>
      <c r="BA8" s="41"/>
      <c r="BB8" s="11"/>
      <c r="BC8" s="11">
        <f t="shared" si="4"/>
        <v>2547952</v>
      </c>
      <c r="BD8" s="11">
        <f t="shared" si="5"/>
        <v>27817424.600000005</v>
      </c>
      <c r="BE8" s="11">
        <f t="shared" si="6"/>
        <v>50932946.000000007</v>
      </c>
    </row>
    <row r="9" spans="1:57" ht="14.25" customHeight="1" outlineLevel="1" x14ac:dyDescent="0.25">
      <c r="A9" s="1"/>
      <c r="B9" s="1"/>
      <c r="C9" s="1"/>
      <c r="D9" s="22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f>Worksheet!M182</f>
        <v>0</v>
      </c>
      <c r="X9" s="11">
        <f>Worksheet!N182</f>
        <v>0</v>
      </c>
      <c r="Y9" s="11">
        <f>Worksheet!O182</f>
        <v>0</v>
      </c>
      <c r="Z9" s="11">
        <f>Worksheet!P182</f>
        <v>0</v>
      </c>
      <c r="AA9" s="11">
        <f>Worksheet!Q182</f>
        <v>42500</v>
      </c>
      <c r="AB9" s="11">
        <f>Worksheet!R182</f>
        <v>85000</v>
      </c>
      <c r="AC9" s="50">
        <f>Worksheet!S182</f>
        <v>170000</v>
      </c>
      <c r="AD9" s="11">
        <f>Worksheet!T182</f>
        <v>255000</v>
      </c>
      <c r="AE9" s="11">
        <f>Worksheet!U182</f>
        <v>340000</v>
      </c>
      <c r="AF9" s="11">
        <f>Worksheet!V182</f>
        <v>425000</v>
      </c>
      <c r="AG9" s="11">
        <f>Worksheet!W182</f>
        <v>510000</v>
      </c>
      <c r="AH9" s="11">
        <f>Worksheet!X182</f>
        <v>595000</v>
      </c>
      <c r="AI9" s="11">
        <f>Worksheet!Y182</f>
        <v>680000</v>
      </c>
      <c r="AJ9" s="11">
        <f>Worksheet!Z182</f>
        <v>765000</v>
      </c>
      <c r="AK9" s="11">
        <f>Worksheet!AA182</f>
        <v>850000</v>
      </c>
      <c r="AL9" s="11">
        <f>Worksheet!AB182</f>
        <v>935000</v>
      </c>
      <c r="AM9" s="11">
        <f>Worksheet!AC182</f>
        <v>1020000</v>
      </c>
      <c r="AN9" s="11">
        <f>Worksheet!AD182</f>
        <v>1105000</v>
      </c>
      <c r="AO9" s="50">
        <f>Worksheet!AE182</f>
        <v>1190000</v>
      </c>
      <c r="AP9" s="11">
        <f>Worksheet!AF182</f>
        <v>1275000</v>
      </c>
      <c r="AQ9" s="11">
        <f>Worksheet!AG182</f>
        <v>1360000</v>
      </c>
      <c r="AR9" s="11">
        <f>Worksheet!AH182</f>
        <v>1445000</v>
      </c>
      <c r="AS9" s="11">
        <f>Worksheet!AI182</f>
        <v>1530000</v>
      </c>
      <c r="AT9" s="11">
        <f>Worksheet!AJ182</f>
        <v>1615000</v>
      </c>
      <c r="AU9" s="11">
        <f>Worksheet!AK182</f>
        <v>1700000</v>
      </c>
      <c r="AV9" s="11">
        <f>Worksheet!AL182</f>
        <v>1785000</v>
      </c>
      <c r="AW9" s="11">
        <f>Worksheet!AM182</f>
        <v>1870000</v>
      </c>
      <c r="AX9" s="11">
        <f>Worksheet!AN182</f>
        <v>1955000</v>
      </c>
      <c r="AY9" s="11">
        <f>Worksheet!AO182</f>
        <v>2040000</v>
      </c>
      <c r="AZ9" s="11">
        <f>Worksheet!AP182</f>
        <v>2125000</v>
      </c>
      <c r="BA9" s="41"/>
      <c r="BB9" s="11"/>
      <c r="BC9" s="11">
        <f t="shared" si="4"/>
        <v>127500</v>
      </c>
      <c r="BD9" s="11">
        <f t="shared" si="5"/>
        <v>7650000</v>
      </c>
      <c r="BE9" s="11">
        <f t="shared" si="6"/>
        <v>19890000</v>
      </c>
    </row>
    <row r="10" spans="1:57" ht="14.25" customHeight="1" outlineLevel="1" x14ac:dyDescent="0.25">
      <c r="A10" s="1"/>
      <c r="B10" s="1"/>
      <c r="C10" s="1"/>
      <c r="D10" s="22" t="s">
        <v>17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f>Worksheet!M188</f>
        <v>0</v>
      </c>
      <c r="X10" s="11">
        <f>Worksheet!N188</f>
        <v>0</v>
      </c>
      <c r="Y10" s="11">
        <f>Worksheet!O188</f>
        <v>0</v>
      </c>
      <c r="Z10" s="11">
        <f>Worksheet!P188</f>
        <v>0</v>
      </c>
      <c r="AA10" s="11">
        <f>Worksheet!Q188</f>
        <v>0</v>
      </c>
      <c r="AB10" s="11">
        <f>Worksheet!R188</f>
        <v>0</v>
      </c>
      <c r="AC10" s="50">
        <f>Worksheet!S188</f>
        <v>0</v>
      </c>
      <c r="AD10" s="11">
        <f>Worksheet!T188</f>
        <v>0</v>
      </c>
      <c r="AE10" s="11">
        <f>Worksheet!U188</f>
        <v>0</v>
      </c>
      <c r="AF10" s="11">
        <f>Worksheet!V188</f>
        <v>0</v>
      </c>
      <c r="AG10" s="11">
        <f>Worksheet!W188</f>
        <v>0</v>
      </c>
      <c r="AH10" s="11">
        <f>Worksheet!X188</f>
        <v>34609.166666666664</v>
      </c>
      <c r="AI10" s="11">
        <f>Worksheet!Y188</f>
        <v>71640.974999999991</v>
      </c>
      <c r="AJ10" s="11">
        <f>Worksheet!Z188</f>
        <v>111368.83741666666</v>
      </c>
      <c r="AK10" s="11">
        <f>Worksheet!AA188</f>
        <v>154092.57312749999</v>
      </c>
      <c r="AL10" s="11">
        <f>Worksheet!AB188</f>
        <v>200141.07685034169</v>
      </c>
      <c r="AM10" s="11">
        <f>Worksheet!AC188</f>
        <v>249875.25355316483</v>
      </c>
      <c r="AN10" s="11">
        <f>Worksheet!AD188</f>
        <v>303691.2458557366</v>
      </c>
      <c r="AO10" s="50">
        <f>Worksheet!AE188</f>
        <v>360797.7383819645</v>
      </c>
      <c r="AP10" s="11">
        <f>Worksheet!AF188</f>
        <v>427526.93049195822</v>
      </c>
      <c r="AQ10" s="11">
        <f>Worksheet!AG188</f>
        <v>493043.42929061491</v>
      </c>
      <c r="AR10" s="11">
        <f>Worksheet!AH188</f>
        <v>562861.81766238518</v>
      </c>
      <c r="AS10" s="11">
        <f>Worksheet!AI188</f>
        <v>637354.42968304129</v>
      </c>
      <c r="AT10" s="11">
        <f>Worksheet!AJ188</f>
        <v>716922.54066712013</v>
      </c>
      <c r="AU10" s="11">
        <f>Worksheet!AK188</f>
        <v>801998.70783164201</v>
      </c>
      <c r="AV10" s="11">
        <f>Worksheet!AL188</f>
        <v>893049.29745199136</v>
      </c>
      <c r="AW10" s="11">
        <f>Worksheet!AM188</f>
        <v>990577.21345215407</v>
      </c>
      <c r="AX10" s="11">
        <f>Worksheet!AN188</f>
        <v>1095124.8435662095</v>
      </c>
      <c r="AY10" s="11">
        <f>Worksheet!AO188</f>
        <v>1207277.2404982529</v>
      </c>
      <c r="AZ10" s="11">
        <f>Worksheet!AP188</f>
        <v>1327665.5569014577</v>
      </c>
      <c r="BA10" s="41"/>
      <c r="BB10" s="11"/>
      <c r="BC10" s="11">
        <f t="shared" si="4"/>
        <v>0</v>
      </c>
      <c r="BD10" s="11">
        <f t="shared" si="5"/>
        <v>1125419.1284700765</v>
      </c>
      <c r="BE10" s="11">
        <f t="shared" si="6"/>
        <v>9514199.7458787914</v>
      </c>
    </row>
    <row r="11" spans="1:57" ht="14.25" customHeight="1" outlineLevel="1" x14ac:dyDescent="0.25">
      <c r="A11" s="1"/>
      <c r="B11" s="1"/>
      <c r="C11" s="1"/>
      <c r="D11" s="22" t="s">
        <v>18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f>Worksheet!M184</f>
        <v>0</v>
      </c>
      <c r="X11" s="11">
        <f>Worksheet!N184</f>
        <v>0</v>
      </c>
      <c r="Y11" s="11">
        <f>Worksheet!O184</f>
        <v>0</v>
      </c>
      <c r="Z11" s="11">
        <f>Worksheet!P184</f>
        <v>0</v>
      </c>
      <c r="AA11" s="11">
        <f>Worksheet!Q184</f>
        <v>0</v>
      </c>
      <c r="AB11" s="11">
        <f>Worksheet!R184</f>
        <v>0</v>
      </c>
      <c r="AC11" s="50">
        <f>Worksheet!S184</f>
        <v>0</v>
      </c>
      <c r="AD11" s="11">
        <f>Worksheet!T184</f>
        <v>0</v>
      </c>
      <c r="AE11" s="11">
        <f>Worksheet!U184</f>
        <v>0</v>
      </c>
      <c r="AF11" s="11">
        <f>Worksheet!V184</f>
        <v>0</v>
      </c>
      <c r="AG11" s="11">
        <f>Worksheet!W184</f>
        <v>0</v>
      </c>
      <c r="AH11" s="11">
        <f>Worksheet!X184</f>
        <v>0</v>
      </c>
      <c r="AI11" s="11">
        <f>Worksheet!Y184</f>
        <v>834900.00000000012</v>
      </c>
      <c r="AJ11" s="11">
        <f>Worksheet!Z184</f>
        <v>834900.00000000012</v>
      </c>
      <c r="AK11" s="11">
        <f>Worksheet!AA184</f>
        <v>834900.00000000012</v>
      </c>
      <c r="AL11" s="11">
        <f>Worksheet!AB184</f>
        <v>1669800.0000000002</v>
      </c>
      <c r="AM11" s="11">
        <f>Worksheet!AC184</f>
        <v>1669800.0000000002</v>
      </c>
      <c r="AN11" s="11">
        <f>Worksheet!AD184</f>
        <v>1669800.0000000002</v>
      </c>
      <c r="AO11" s="50">
        <f>Worksheet!AE184</f>
        <v>2504700.0000000005</v>
      </c>
      <c r="AP11" s="11">
        <f>Worksheet!AF184</f>
        <v>2504700.0000000005</v>
      </c>
      <c r="AQ11" s="11">
        <f>Worksheet!AG184</f>
        <v>3339600.0000000005</v>
      </c>
      <c r="AR11" s="11">
        <f>Worksheet!AH184</f>
        <v>3339600.0000000005</v>
      </c>
      <c r="AS11" s="11">
        <f>Worksheet!AI184</f>
        <v>4174500.0000000005</v>
      </c>
      <c r="AT11" s="11">
        <f>Worksheet!AJ184</f>
        <v>4174500.0000000005</v>
      </c>
      <c r="AU11" s="11">
        <f>Worksheet!AK184</f>
        <v>4174500.0000000005</v>
      </c>
      <c r="AV11" s="11">
        <f>Worksheet!AL184</f>
        <v>7025700</v>
      </c>
      <c r="AW11" s="11">
        <f>Worksheet!AM184</f>
        <v>7860600</v>
      </c>
      <c r="AX11" s="11">
        <f>Worksheet!AN184</f>
        <v>7860600</v>
      </c>
      <c r="AY11" s="11">
        <f>Worksheet!AO184</f>
        <v>7860600</v>
      </c>
      <c r="AZ11" s="11">
        <f>Worksheet!AP184</f>
        <v>10711800</v>
      </c>
      <c r="BA11" s="41"/>
      <c r="BB11" s="11"/>
      <c r="BC11" s="11">
        <f t="shared" si="4"/>
        <v>0</v>
      </c>
      <c r="BD11" s="11">
        <f t="shared" si="5"/>
        <v>7514100.0000000009</v>
      </c>
      <c r="BE11" s="11">
        <f t="shared" si="6"/>
        <v>65531400</v>
      </c>
    </row>
    <row r="12" spans="1:57" ht="14.25" customHeight="1" outlineLevel="1" x14ac:dyDescent="0.25">
      <c r="A12" s="1"/>
      <c r="B12" s="1"/>
      <c r="C12" s="1"/>
      <c r="D12" s="22" t="s">
        <v>19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50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f>Worksheet!Y185</f>
        <v>0</v>
      </c>
      <c r="AJ12" s="11">
        <f>Worksheet!Z185</f>
        <v>0</v>
      </c>
      <c r="AK12" s="11">
        <f>Worksheet!AA185</f>
        <v>0</v>
      </c>
      <c r="AL12" s="11">
        <f>Worksheet!AB185</f>
        <v>6187.5</v>
      </c>
      <c r="AM12" s="11">
        <f>Worksheet!AC185</f>
        <v>12375</v>
      </c>
      <c r="AN12" s="11">
        <f>Worksheet!AD185</f>
        <v>18562.5</v>
      </c>
      <c r="AO12" s="50">
        <f>Worksheet!AE185</f>
        <v>41062.5</v>
      </c>
      <c r="AP12" s="11">
        <f>Worksheet!AF185</f>
        <v>57487.5</v>
      </c>
      <c r="AQ12" s="11">
        <f>Worksheet!AG185</f>
        <v>73912.5</v>
      </c>
      <c r="AR12" s="11">
        <f>Worksheet!AH185</f>
        <v>90337.5</v>
      </c>
      <c r="AS12" s="11">
        <f>Worksheet!AI185</f>
        <v>106762.5</v>
      </c>
      <c r="AT12" s="11">
        <f>Worksheet!AJ185</f>
        <v>123187.5</v>
      </c>
      <c r="AU12" s="11">
        <f>Worksheet!AK185</f>
        <v>139612.5</v>
      </c>
      <c r="AV12" s="11">
        <f>Worksheet!AL185</f>
        <v>164250</v>
      </c>
      <c r="AW12" s="11">
        <f>Worksheet!AM185</f>
        <v>188887.5</v>
      </c>
      <c r="AX12" s="11">
        <f>Worksheet!AN185</f>
        <v>213525</v>
      </c>
      <c r="AY12" s="11">
        <f>Worksheet!AO185</f>
        <v>238162.5</v>
      </c>
      <c r="AZ12" s="11">
        <f>Worksheet!AP185</f>
        <v>262800</v>
      </c>
      <c r="BA12" s="41"/>
      <c r="BB12" s="11"/>
      <c r="BC12" s="11">
        <f t="shared" si="4"/>
        <v>0</v>
      </c>
      <c r="BD12" s="11">
        <f t="shared" si="5"/>
        <v>37125</v>
      </c>
      <c r="BE12" s="11">
        <f t="shared" si="6"/>
        <v>1699987.5</v>
      </c>
    </row>
    <row r="13" spans="1:57" ht="14.25" customHeight="1" outlineLevel="1" x14ac:dyDescent="0.25">
      <c r="A13" s="1"/>
      <c r="B13" s="1"/>
      <c r="C13" s="1"/>
      <c r="D13" s="22" t="s">
        <v>20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f>Worksheet!M186</f>
        <v>0</v>
      </c>
      <c r="X13" s="11">
        <f>Worksheet!N186</f>
        <v>0</v>
      </c>
      <c r="Y13" s="11">
        <f>Worksheet!O186</f>
        <v>0</v>
      </c>
      <c r="Z13" s="11">
        <f>Worksheet!P186</f>
        <v>0</v>
      </c>
      <c r="AA13" s="11">
        <f>Worksheet!Q186</f>
        <v>0</v>
      </c>
      <c r="AB13" s="11">
        <f>Worksheet!R186</f>
        <v>0</v>
      </c>
      <c r="AC13" s="50">
        <f>Worksheet!S186</f>
        <v>0</v>
      </c>
      <c r="AD13" s="11">
        <f>Worksheet!T186</f>
        <v>0</v>
      </c>
      <c r="AE13" s="11">
        <f>Worksheet!U186</f>
        <v>0</v>
      </c>
      <c r="AF13" s="11">
        <f>Worksheet!V186</f>
        <v>0</v>
      </c>
      <c r="AG13" s="11">
        <f>Worksheet!W186</f>
        <v>0</v>
      </c>
      <c r="AH13" s="11">
        <f>Worksheet!X186</f>
        <v>0</v>
      </c>
      <c r="AI13" s="11">
        <f>Worksheet!Y186</f>
        <v>0</v>
      </c>
      <c r="AJ13" s="11">
        <f>Worksheet!Z186</f>
        <v>0</v>
      </c>
      <c r="AK13" s="11">
        <f>Worksheet!AA186</f>
        <v>0</v>
      </c>
      <c r="AL13" s="11">
        <f>Worksheet!AB186</f>
        <v>0</v>
      </c>
      <c r="AM13" s="11">
        <f>Worksheet!AC186</f>
        <v>0</v>
      </c>
      <c r="AN13" s="11">
        <f>Worksheet!AD186</f>
        <v>0</v>
      </c>
      <c r="AO13" s="50">
        <f>Worksheet!AE186</f>
        <v>0</v>
      </c>
      <c r="AP13" s="11">
        <f>Worksheet!AF186</f>
        <v>0</v>
      </c>
      <c r="AQ13" s="11">
        <f>Worksheet!AG186</f>
        <v>0</v>
      </c>
      <c r="AR13" s="11">
        <f>Worksheet!AH186</f>
        <v>0</v>
      </c>
      <c r="AS13" s="11">
        <f>Worksheet!AI186</f>
        <v>0</v>
      </c>
      <c r="AT13" s="11">
        <f>Worksheet!AJ186</f>
        <v>0</v>
      </c>
      <c r="AU13" s="11">
        <f>Worksheet!AK186</f>
        <v>0</v>
      </c>
      <c r="AV13" s="11">
        <f>Worksheet!AL186</f>
        <v>0</v>
      </c>
      <c r="AW13" s="11">
        <f>Worksheet!AM186</f>
        <v>0</v>
      </c>
      <c r="AX13" s="11">
        <f>Worksheet!AN186</f>
        <v>0</v>
      </c>
      <c r="AY13" s="11">
        <f>Worksheet!AO186</f>
        <v>0</v>
      </c>
      <c r="AZ13" s="11">
        <f>Worksheet!AP186</f>
        <v>0</v>
      </c>
      <c r="BA13" s="41"/>
      <c r="BB13" s="11"/>
      <c r="BC13" s="11">
        <f t="shared" ref="BC13:BE13" si="7">SUM(AM13:AX13)</f>
        <v>0</v>
      </c>
      <c r="BD13" s="11">
        <f t="shared" si="7"/>
        <v>0</v>
      </c>
      <c r="BE13" s="11">
        <f t="shared" si="7"/>
        <v>0</v>
      </c>
    </row>
    <row r="14" spans="1:57" ht="6" customHeight="1" outlineLevel="1" x14ac:dyDescent="0.25">
      <c r="A14" s="1"/>
      <c r="B14" s="1"/>
      <c r="C14" s="1"/>
      <c r="D14" s="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50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50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41"/>
      <c r="BB14" s="1"/>
      <c r="BC14" s="1"/>
      <c r="BD14" s="1"/>
      <c r="BE14" s="1"/>
    </row>
    <row r="15" spans="1:57" ht="14.25" customHeight="1" outlineLevel="1" x14ac:dyDescent="0.25">
      <c r="A15" s="46"/>
      <c r="B15" s="46"/>
      <c r="C15" s="46" t="s">
        <v>21</v>
      </c>
      <c r="D15" s="46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>
        <v>424809.87</v>
      </c>
      <c r="R15" s="51">
        <v>428219.25</v>
      </c>
      <c r="S15" s="51">
        <v>642221.24833333341</v>
      </c>
      <c r="T15" s="51">
        <v>708475.8583333334</v>
      </c>
      <c r="U15" s="51">
        <v>504172.00666666671</v>
      </c>
      <c r="V15" s="51">
        <v>578488.92500000005</v>
      </c>
      <c r="W15" s="52">
        <v>498680</v>
      </c>
      <c r="X15" s="52">
        <v>488960</v>
      </c>
      <c r="Y15" s="52">
        <v>513791</v>
      </c>
      <c r="Z15" s="52">
        <v>540930</v>
      </c>
      <c r="AA15" s="51">
        <f t="shared" ref="AA15:AT15" si="8">Z15*AA5/Z5</f>
        <v>672839.02157734544</v>
      </c>
      <c r="AB15" s="51">
        <f t="shared" si="8"/>
        <v>756536.41834193619</v>
      </c>
      <c r="AC15" s="51">
        <f t="shared" si="8"/>
        <v>902105.8371657012</v>
      </c>
      <c r="AD15" s="51">
        <f t="shared" si="8"/>
        <v>1045298.4324342374</v>
      </c>
      <c r="AE15" s="51">
        <f t="shared" si="8"/>
        <v>1186793.3645011401</v>
      </c>
      <c r="AF15" s="51">
        <f t="shared" si="8"/>
        <v>1324213.8098111802</v>
      </c>
      <c r="AG15" s="51">
        <f t="shared" si="8"/>
        <v>1459257.4315659914</v>
      </c>
      <c r="AH15" s="51">
        <f t="shared" si="8"/>
        <v>1602657.1387118471</v>
      </c>
      <c r="AI15" s="51">
        <f t="shared" si="8"/>
        <v>2024594.4356191976</v>
      </c>
      <c r="AJ15" s="51">
        <f t="shared" si="8"/>
        <v>2159885.5398540739</v>
      </c>
      <c r="AK15" s="51">
        <f t="shared" si="8"/>
        <v>2292119.394791238</v>
      </c>
      <c r="AL15" s="51">
        <f t="shared" si="8"/>
        <v>2704618.9349784995</v>
      </c>
      <c r="AM15" s="51">
        <f t="shared" si="8"/>
        <v>2831487.4642046322</v>
      </c>
      <c r="AN15" s="51">
        <f t="shared" si="8"/>
        <v>2956346.6320940098</v>
      </c>
      <c r="AO15" s="51">
        <f t="shared" si="8"/>
        <v>3368293.0816382021</v>
      </c>
      <c r="AP15" s="51">
        <f t="shared" si="8"/>
        <v>3494561.6718758186</v>
      </c>
      <c r="AQ15" s="51">
        <f t="shared" si="8"/>
        <v>3900510.3111720355</v>
      </c>
      <c r="AR15" s="51">
        <f t="shared" si="8"/>
        <v>4021376.5160178063</v>
      </c>
      <c r="AS15" s="51">
        <f t="shared" si="8"/>
        <v>4423921.6503362814</v>
      </c>
      <c r="AT15" s="51">
        <f t="shared" si="8"/>
        <v>4543005.3470574208</v>
      </c>
      <c r="AU15" s="51">
        <f>Worksheet!AK85</f>
        <v>8204743.9853526503</v>
      </c>
      <c r="AV15" s="51">
        <f>Worksheet!AL85</f>
        <v>10735816.462388197</v>
      </c>
      <c r="AW15" s="51">
        <f>Worksheet!AM85</f>
        <v>11617282.405107034</v>
      </c>
      <c r="AX15" s="51">
        <f>Worksheet!AN85</f>
        <v>11767926.140071543</v>
      </c>
      <c r="AY15" s="51">
        <f>Worksheet!AO85</f>
        <v>11922303.384489868</v>
      </c>
      <c r="AZ15" s="51">
        <f>AY15*AZ5/AY5</f>
        <v>13957141.319132635</v>
      </c>
      <c r="BA15" s="29"/>
      <c r="BB15" s="51">
        <v>4503867</v>
      </c>
      <c r="BC15" s="51">
        <f>SUM(Q15:AB15)</f>
        <v>6758123.598252615</v>
      </c>
      <c r="BD15" s="51">
        <f>SUM(AC15:AN15)</f>
        <v>22489378.41573175</v>
      </c>
      <c r="BE15" s="51">
        <f>SUM(AO15:AZ15)</f>
        <v>91956882.274639502</v>
      </c>
    </row>
    <row r="16" spans="1:57" ht="14.25" customHeight="1" outlineLevel="1" x14ac:dyDescent="0.25">
      <c r="A16" s="53"/>
      <c r="B16" s="53"/>
      <c r="C16" s="53"/>
      <c r="D16" s="53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5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5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6"/>
      <c r="BB16" s="53"/>
      <c r="BC16" s="53"/>
      <c r="BD16" s="53"/>
      <c r="BE16" s="53"/>
    </row>
    <row r="17" spans="1:57" ht="14.25" customHeight="1" outlineLevel="1" x14ac:dyDescent="0.25">
      <c r="A17" s="46"/>
      <c r="B17" s="46"/>
      <c r="C17" s="30" t="s">
        <v>22</v>
      </c>
      <c r="D17" s="30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>
        <f t="shared" ref="Q17:AZ17" si="9">Q5-Q15</f>
        <v>273063.13</v>
      </c>
      <c r="R17" s="7">
        <f t="shared" si="9"/>
        <v>177084.75</v>
      </c>
      <c r="S17" s="7">
        <f t="shared" si="9"/>
        <v>295550.75166666659</v>
      </c>
      <c r="T17" s="7">
        <f t="shared" si="9"/>
        <v>142036.1416666666</v>
      </c>
      <c r="U17" s="7">
        <f t="shared" si="9"/>
        <v>487224.99333333329</v>
      </c>
      <c r="V17" s="7">
        <f t="shared" si="9"/>
        <v>372751.07499999995</v>
      </c>
      <c r="W17" s="7">
        <f t="shared" si="9"/>
        <v>536262.6</v>
      </c>
      <c r="X17" s="7">
        <f t="shared" si="9"/>
        <v>774186.60000000009</v>
      </c>
      <c r="Y17" s="7">
        <f t="shared" si="9"/>
        <v>1023248.2</v>
      </c>
      <c r="Z17" s="7">
        <f t="shared" si="9"/>
        <v>1052166.8</v>
      </c>
      <c r="AA17" s="7">
        <f t="shared" si="9"/>
        <v>1308743.9784226546</v>
      </c>
      <c r="AB17" s="47">
        <f t="shared" si="9"/>
        <v>1471544.3816580637</v>
      </c>
      <c r="AC17" s="6">
        <f t="shared" si="9"/>
        <v>1754692.4961676318</v>
      </c>
      <c r="AD17" s="7">
        <f t="shared" si="9"/>
        <v>2033217.4342324291</v>
      </c>
      <c r="AE17" s="7">
        <f t="shared" si="9"/>
        <v>2308440.23549886</v>
      </c>
      <c r="AF17" s="7">
        <f t="shared" si="9"/>
        <v>2575737.7235221528</v>
      </c>
      <c r="AG17" s="7">
        <f t="shared" si="9"/>
        <v>2838412.0351006752</v>
      </c>
      <c r="AH17" s="7">
        <f t="shared" si="9"/>
        <v>3117339.8279548194</v>
      </c>
      <c r="AI17" s="7">
        <f t="shared" si="9"/>
        <v>3938053.0727141351</v>
      </c>
      <c r="AJ17" s="7">
        <f t="shared" si="9"/>
        <v>4201208.7642292595</v>
      </c>
      <c r="AK17" s="7">
        <f t="shared" si="9"/>
        <v>4458417.7783362614</v>
      </c>
      <c r="AL17" s="7">
        <f t="shared" si="9"/>
        <v>5260773.5752051752</v>
      </c>
      <c r="AM17" s="7">
        <f t="shared" si="9"/>
        <v>5507546.4560151994</v>
      </c>
      <c r="AN17" s="7">
        <f t="shared" si="9"/>
        <v>5750410.9137617266</v>
      </c>
      <c r="AO17" s="6">
        <f t="shared" si="9"/>
        <v>6551690.8900770973</v>
      </c>
      <c r="AP17" s="7">
        <f t="shared" si="9"/>
        <v>6797296.8252828075</v>
      </c>
      <c r="AQ17" s="7">
        <f t="shared" si="9"/>
        <v>7586910.4181185802</v>
      </c>
      <c r="AR17" s="7">
        <f t="shared" si="9"/>
        <v>7822008.1349779125</v>
      </c>
      <c r="AS17" s="7">
        <f t="shared" si="9"/>
        <v>8605001.546013426</v>
      </c>
      <c r="AT17" s="7">
        <f t="shared" si="9"/>
        <v>8836632.0936097</v>
      </c>
      <c r="AU17" s="7">
        <f t="shared" si="9"/>
        <v>5524115.7558123246</v>
      </c>
      <c r="AV17" s="7">
        <f t="shared" si="9"/>
        <v>6202652.7017304618</v>
      </c>
      <c r="AW17" s="7">
        <f t="shared" si="9"/>
        <v>6508973.7083451208</v>
      </c>
      <c r="AX17" s="7">
        <f t="shared" si="9"/>
        <v>6713236.836827999</v>
      </c>
      <c r="AY17" s="7">
        <f t="shared" si="9"/>
        <v>6914371.2226750515</v>
      </c>
      <c r="AZ17" s="47">
        <f t="shared" si="9"/>
        <v>8094480.837768821</v>
      </c>
      <c r="BA17" s="29"/>
      <c r="BB17" s="7">
        <f>BB5-BB15</f>
        <v>2574916.0700000003</v>
      </c>
      <c r="BC17" s="7">
        <f>SUM(Q17:AB17)</f>
        <v>7913863.401747385</v>
      </c>
      <c r="BD17" s="7">
        <f t="shared" ref="BD17:BE17" si="10">BD5-BD15</f>
        <v>43744250.312738337</v>
      </c>
      <c r="BE17" s="7">
        <f t="shared" si="10"/>
        <v>86157370.971239313</v>
      </c>
    </row>
    <row r="18" spans="1:57" ht="14.25" customHeight="1" outlineLevel="1" x14ac:dyDescent="0.25">
      <c r="A18" s="57"/>
      <c r="B18" s="57"/>
      <c r="C18" s="57"/>
      <c r="D18" s="57" t="s">
        <v>23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>
        <f t="shared" ref="Q18:AZ18" si="11">Q17/Q5</f>
        <v>0.39127911525449471</v>
      </c>
      <c r="R18" s="19">
        <f t="shared" si="11"/>
        <v>0.29255506324094999</v>
      </c>
      <c r="S18" s="19">
        <f t="shared" si="11"/>
        <v>0.31516269590760504</v>
      </c>
      <c r="T18" s="19">
        <f t="shared" si="11"/>
        <v>0.16700074974446757</v>
      </c>
      <c r="U18" s="19">
        <f t="shared" si="11"/>
        <v>0.49145296317553239</v>
      </c>
      <c r="V18" s="19">
        <f t="shared" si="11"/>
        <v>0.39185807472351875</v>
      </c>
      <c r="W18" s="19">
        <f t="shared" si="11"/>
        <v>0.51815685237036335</v>
      </c>
      <c r="X18" s="19">
        <f t="shared" si="11"/>
        <v>0.61290320537616139</v>
      </c>
      <c r="Y18" s="19">
        <f t="shared" si="11"/>
        <v>0.6657268077482994</v>
      </c>
      <c r="Z18" s="19">
        <f t="shared" si="11"/>
        <v>0.66045377782442349</v>
      </c>
      <c r="AA18" s="19">
        <f t="shared" si="11"/>
        <v>0.66045377782442349</v>
      </c>
      <c r="AB18" s="19">
        <f t="shared" si="11"/>
        <v>0.66045377782442349</v>
      </c>
      <c r="AC18" s="58">
        <f t="shared" si="11"/>
        <v>0.66045377782442349</v>
      </c>
      <c r="AD18" s="19">
        <f t="shared" si="11"/>
        <v>0.66045377782442349</v>
      </c>
      <c r="AE18" s="19">
        <f t="shared" si="11"/>
        <v>0.66045377782442349</v>
      </c>
      <c r="AF18" s="19">
        <f t="shared" si="11"/>
        <v>0.66045377782442338</v>
      </c>
      <c r="AG18" s="19">
        <f t="shared" si="11"/>
        <v>0.66045377782442349</v>
      </c>
      <c r="AH18" s="19">
        <f t="shared" si="11"/>
        <v>0.66045377782442349</v>
      </c>
      <c r="AI18" s="19">
        <f t="shared" si="11"/>
        <v>0.66045377782442349</v>
      </c>
      <c r="AJ18" s="19">
        <f t="shared" si="11"/>
        <v>0.66045377782442349</v>
      </c>
      <c r="AK18" s="19">
        <f t="shared" si="11"/>
        <v>0.66045377782442349</v>
      </c>
      <c r="AL18" s="19">
        <f t="shared" si="11"/>
        <v>0.66045377782442338</v>
      </c>
      <c r="AM18" s="19">
        <f t="shared" si="11"/>
        <v>0.66045377782442349</v>
      </c>
      <c r="AN18" s="19">
        <f t="shared" si="11"/>
        <v>0.66045377782442338</v>
      </c>
      <c r="AO18" s="58">
        <f t="shared" si="11"/>
        <v>0.66045377782442338</v>
      </c>
      <c r="AP18" s="19">
        <f t="shared" si="11"/>
        <v>0.66045377782442338</v>
      </c>
      <c r="AQ18" s="19">
        <f t="shared" si="11"/>
        <v>0.66045377782442338</v>
      </c>
      <c r="AR18" s="19">
        <f t="shared" si="11"/>
        <v>0.66045377782442338</v>
      </c>
      <c r="AS18" s="19">
        <f t="shared" si="11"/>
        <v>0.66045377782442338</v>
      </c>
      <c r="AT18" s="19">
        <f t="shared" si="11"/>
        <v>0.66045377782442338</v>
      </c>
      <c r="AU18" s="19">
        <f t="shared" si="11"/>
        <v>0.4023725101691199</v>
      </c>
      <c r="AV18" s="19">
        <f t="shared" si="11"/>
        <v>0.36618732434627294</v>
      </c>
      <c r="AW18" s="19">
        <f t="shared" si="11"/>
        <v>0.35909090479608607</v>
      </c>
      <c r="AX18" s="19">
        <f t="shared" si="11"/>
        <v>0.36324753183656155</v>
      </c>
      <c r="AY18" s="19">
        <f t="shared" si="11"/>
        <v>0.36706963234609508</v>
      </c>
      <c r="AZ18" s="19">
        <f t="shared" si="11"/>
        <v>0.36706963234609502</v>
      </c>
      <c r="BA18" s="59"/>
      <c r="BB18" s="19">
        <f t="shared" ref="BB18:BE18" si="12">BB17/BB5</f>
        <v>0.36375123302090401</v>
      </c>
      <c r="BC18" s="19">
        <f t="shared" si="12"/>
        <v>0.53938593332637119</v>
      </c>
      <c r="BD18" s="19">
        <f t="shared" si="12"/>
        <v>0.66045377782442349</v>
      </c>
      <c r="BE18" s="19">
        <f t="shared" si="12"/>
        <v>0.48371968779108815</v>
      </c>
    </row>
    <row r="19" spans="1:57" ht="6.75" customHeight="1" outlineLevel="1" x14ac:dyDescent="0.25">
      <c r="A19" s="1"/>
      <c r="B19" s="1"/>
      <c r="C19" s="1"/>
      <c r="D19" s="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50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50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41"/>
      <c r="BB19" s="1"/>
      <c r="BC19" s="1"/>
      <c r="BD19" s="1"/>
      <c r="BE19" s="1"/>
    </row>
    <row r="20" spans="1:57" ht="14.25" customHeight="1" outlineLevel="1" x14ac:dyDescent="0.25">
      <c r="A20" s="46"/>
      <c r="B20" s="46"/>
      <c r="C20" s="46" t="s">
        <v>24</v>
      </c>
      <c r="D20" s="4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>
        <f t="shared" ref="Q20:AZ20" si="13">SUM(Q21:Q24)</f>
        <v>174662.01</v>
      </c>
      <c r="R20" s="9">
        <f t="shared" si="13"/>
        <v>414778.49000000011</v>
      </c>
      <c r="S20" s="9">
        <f t="shared" si="13"/>
        <v>199025.41166666668</v>
      </c>
      <c r="T20" s="9">
        <f t="shared" si="13"/>
        <v>207571.94166666665</v>
      </c>
      <c r="U20" s="9">
        <f t="shared" si="13"/>
        <v>32636.833333333343</v>
      </c>
      <c r="V20" s="9">
        <f t="shared" si="13"/>
        <v>205117.89500000002</v>
      </c>
      <c r="W20" s="9">
        <f t="shared" si="13"/>
        <v>175297.16666666669</v>
      </c>
      <c r="X20" s="9">
        <f t="shared" si="13"/>
        <v>181987.5</v>
      </c>
      <c r="Y20" s="9">
        <f t="shared" si="13"/>
        <v>182907.5</v>
      </c>
      <c r="Z20" s="9">
        <f t="shared" si="13"/>
        <v>188361.33333333331</v>
      </c>
      <c r="AA20" s="9">
        <f t="shared" si="13"/>
        <v>199281.33333333331</v>
      </c>
      <c r="AB20" s="9">
        <f t="shared" si="13"/>
        <v>232701.33333333331</v>
      </c>
      <c r="AC20" s="10">
        <f t="shared" si="13"/>
        <v>607976.59722222213</v>
      </c>
      <c r="AD20" s="9">
        <f t="shared" si="13"/>
        <v>762060.97222222213</v>
      </c>
      <c r="AE20" s="9">
        <f t="shared" si="13"/>
        <v>969478.6805555555</v>
      </c>
      <c r="AF20" s="9">
        <f t="shared" si="13"/>
        <v>1061425.5555555555</v>
      </c>
      <c r="AG20" s="9">
        <f t="shared" si="13"/>
        <v>894206.38888888888</v>
      </c>
      <c r="AH20" s="9">
        <f t="shared" si="13"/>
        <v>917533.47222222213</v>
      </c>
      <c r="AI20" s="9">
        <f t="shared" si="13"/>
        <v>949799.09722222213</v>
      </c>
      <c r="AJ20" s="9">
        <f t="shared" si="13"/>
        <v>867763.0555555555</v>
      </c>
      <c r="AK20" s="9">
        <f t="shared" si="13"/>
        <v>984423.47222222213</v>
      </c>
      <c r="AL20" s="9">
        <f t="shared" si="13"/>
        <v>883203.6805555555</v>
      </c>
      <c r="AM20" s="9">
        <f t="shared" si="13"/>
        <v>751603.6805555555</v>
      </c>
      <c r="AN20" s="9">
        <f t="shared" si="13"/>
        <v>887503.6805555555</v>
      </c>
      <c r="AO20" s="10">
        <f t="shared" si="13"/>
        <v>802863.6805555555</v>
      </c>
      <c r="AP20" s="9">
        <f t="shared" si="13"/>
        <v>899524.09722222213</v>
      </c>
      <c r="AQ20" s="9">
        <f t="shared" si="13"/>
        <v>940424.09722222213</v>
      </c>
      <c r="AR20" s="9">
        <f t="shared" si="13"/>
        <v>1201324.097222222</v>
      </c>
      <c r="AS20" s="9">
        <f t="shared" si="13"/>
        <v>832224.09722222213</v>
      </c>
      <c r="AT20" s="9">
        <f t="shared" si="13"/>
        <v>1026004.3055555554</v>
      </c>
      <c r="AU20" s="9">
        <f t="shared" si="13"/>
        <v>846904.30555555539</v>
      </c>
      <c r="AV20" s="9">
        <f t="shared" si="13"/>
        <v>917804.30555555539</v>
      </c>
      <c r="AW20" s="9">
        <f t="shared" si="13"/>
        <v>958704.30555555539</v>
      </c>
      <c r="AX20" s="9">
        <f t="shared" si="13"/>
        <v>931454.09722222202</v>
      </c>
      <c r="AY20" s="9">
        <f t="shared" si="13"/>
        <v>862354.09722222202</v>
      </c>
      <c r="AZ20" s="9">
        <f t="shared" si="13"/>
        <v>998254.09722222202</v>
      </c>
      <c r="BA20" s="29"/>
      <c r="BB20" s="9">
        <f>SUM(BB21:BB24)</f>
        <v>1630675</v>
      </c>
      <c r="BC20" s="9">
        <f t="shared" ref="BC20:BC24" si="14">SUM(Q20:AB20)</f>
        <v>2394328.748333334</v>
      </c>
      <c r="BD20" s="9">
        <f t="shared" ref="BD20:BE20" si="15">SUM(BD21:BD24)</f>
        <v>10536978.333333332</v>
      </c>
      <c r="BE20" s="9">
        <f t="shared" si="15"/>
        <v>11217839.583333332</v>
      </c>
    </row>
    <row r="21" spans="1:57" ht="14.25" customHeight="1" outlineLevel="1" x14ac:dyDescent="0.25">
      <c r="A21" s="1"/>
      <c r="B21" s="1"/>
      <c r="C21" s="1"/>
      <c r="D21" s="22" t="s">
        <v>25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v>14719.810000000001</v>
      </c>
      <c r="R21" s="11">
        <v>13757.560000000001</v>
      </c>
      <c r="S21" s="11">
        <v>28920.28</v>
      </c>
      <c r="T21" s="11">
        <v>26873.239999999998</v>
      </c>
      <c r="U21" s="11">
        <v>17173.830000000002</v>
      </c>
      <c r="V21" s="11">
        <v>14673.57</v>
      </c>
      <c r="W21" s="11">
        <f>Worksheet!M26</f>
        <v>7728.125</v>
      </c>
      <c r="X21" s="11">
        <f>Worksheet!N26</f>
        <v>7728.125</v>
      </c>
      <c r="Y21" s="11">
        <f>Worksheet!O26</f>
        <v>7728.125</v>
      </c>
      <c r="Z21" s="11">
        <f>Worksheet!P26</f>
        <v>7728.125</v>
      </c>
      <c r="AA21" s="11">
        <f>Worksheet!Q26</f>
        <v>17728.125</v>
      </c>
      <c r="AB21" s="11">
        <f>Worksheet!R26</f>
        <v>17728.125</v>
      </c>
      <c r="AC21" s="50">
        <f>Worksheet!S26</f>
        <v>73184.375</v>
      </c>
      <c r="AD21" s="11">
        <f>Worksheet!T26</f>
        <v>48640.625</v>
      </c>
      <c r="AE21" s="11">
        <f>Worksheet!U26</f>
        <v>64096.875</v>
      </c>
      <c r="AF21" s="11">
        <f>Worksheet!V26</f>
        <v>64096.875</v>
      </c>
      <c r="AG21" s="11">
        <f>Worksheet!W26</f>
        <v>64096.875</v>
      </c>
      <c r="AH21" s="11">
        <f>Worksheet!X26</f>
        <v>64096.875</v>
      </c>
      <c r="AI21" s="11">
        <f>Worksheet!Y26</f>
        <v>74096.875</v>
      </c>
      <c r="AJ21" s="11">
        <f>Worksheet!Z26</f>
        <v>85946.666666666672</v>
      </c>
      <c r="AK21" s="11">
        <f>Worksheet!AA26</f>
        <v>85946.666666666672</v>
      </c>
      <c r="AL21" s="11">
        <f>Worksheet!AB26</f>
        <v>85946.666666666672</v>
      </c>
      <c r="AM21" s="11">
        <f>Worksheet!AC26</f>
        <v>85946.666666666672</v>
      </c>
      <c r="AN21" s="11">
        <f>Worksheet!AD26</f>
        <v>85946.666666666672</v>
      </c>
      <c r="AO21" s="50">
        <f>Worksheet!AE26</f>
        <v>85946.666666666672</v>
      </c>
      <c r="AP21" s="11">
        <f>Worksheet!AF26</f>
        <v>85946.666666666672</v>
      </c>
      <c r="AQ21" s="11">
        <f>Worksheet!AG26</f>
        <v>85946.666666666672</v>
      </c>
      <c r="AR21" s="11">
        <f>Worksheet!AH26</f>
        <v>85946.666666666672</v>
      </c>
      <c r="AS21" s="11">
        <f>Worksheet!AI26</f>
        <v>85946.666666666672</v>
      </c>
      <c r="AT21" s="11">
        <f>Worksheet!AJ26</f>
        <v>85946.666666666672</v>
      </c>
      <c r="AU21" s="11">
        <f>Worksheet!AK26</f>
        <v>85946.666666666672</v>
      </c>
      <c r="AV21" s="11">
        <f>Worksheet!AL26</f>
        <v>85946.666666666672</v>
      </c>
      <c r="AW21" s="11">
        <f>Worksheet!AM26</f>
        <v>85946.666666666672</v>
      </c>
      <c r="AX21" s="11">
        <f>Worksheet!AN26</f>
        <v>97796.458333333328</v>
      </c>
      <c r="AY21" s="11">
        <f>Worksheet!AO26</f>
        <v>97796.458333333328</v>
      </c>
      <c r="AZ21" s="11">
        <f>Worksheet!AP26</f>
        <v>97796.458333333328</v>
      </c>
      <c r="BA21" s="41"/>
      <c r="BB21" s="11">
        <f>96650+75000</f>
        <v>171650</v>
      </c>
      <c r="BC21" s="11">
        <f t="shared" si="14"/>
        <v>182487.04000000001</v>
      </c>
      <c r="BD21" s="11">
        <f t="shared" ref="BD21:BD24" si="16">SUM(AC21:AN21)</f>
        <v>882042.70833333314</v>
      </c>
      <c r="BE21" s="11">
        <f t="shared" ref="BE21:BE24" si="17">SUM(AO21:AZ21)</f>
        <v>1066909.375</v>
      </c>
    </row>
    <row r="22" spans="1:57" ht="14.25" customHeight="1" outlineLevel="1" x14ac:dyDescent="0.25">
      <c r="A22" s="1"/>
      <c r="B22" s="1"/>
      <c r="C22" s="1"/>
      <c r="D22" s="22" t="s">
        <v>26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>
        <v>31414.513333333332</v>
      </c>
      <c r="R22" s="11">
        <v>32500.673333333332</v>
      </c>
      <c r="S22" s="11">
        <v>48808.563333333339</v>
      </c>
      <c r="T22" s="11">
        <v>31705.483333333334</v>
      </c>
      <c r="U22" s="11">
        <v>21617.503333333334</v>
      </c>
      <c r="V22" s="11">
        <v>22794.253333333334</v>
      </c>
      <c r="W22" s="11">
        <f>Worksheet!M32</f>
        <v>26224.104166666664</v>
      </c>
      <c r="X22" s="11">
        <f>Worksheet!N32</f>
        <v>26224.104166666664</v>
      </c>
      <c r="Y22" s="11">
        <f>Worksheet!O32</f>
        <v>26224.104166666664</v>
      </c>
      <c r="Z22" s="11">
        <f>Worksheet!P32</f>
        <v>26224.104166666664</v>
      </c>
      <c r="AA22" s="11">
        <f>Worksheet!Q32</f>
        <v>26224.104166666664</v>
      </c>
      <c r="AB22" s="11">
        <f>Worksheet!R32</f>
        <v>26224.104166666664</v>
      </c>
      <c r="AC22" s="50">
        <f>Worksheet!S32</f>
        <v>147300.97916666666</v>
      </c>
      <c r="AD22" s="11">
        <f>Worksheet!T32</f>
        <v>242300.97916666666</v>
      </c>
      <c r="AE22" s="11">
        <f>Worksheet!U32</f>
        <v>370634.3125</v>
      </c>
      <c r="AF22" s="11">
        <f>Worksheet!V32</f>
        <v>591681.1875</v>
      </c>
      <c r="AG22" s="11">
        <f>Worksheet!W32</f>
        <v>364288.27083333337</v>
      </c>
      <c r="AH22" s="11">
        <f>Worksheet!X32</f>
        <v>343835.14583333331</v>
      </c>
      <c r="AI22" s="11">
        <f>Worksheet!Y32</f>
        <v>390048.6875</v>
      </c>
      <c r="AJ22" s="11">
        <f>Worksheet!Z32</f>
        <v>335989.10416666663</v>
      </c>
      <c r="AK22" s="11">
        <f>Worksheet!AA32</f>
        <v>308869.3125</v>
      </c>
      <c r="AL22" s="11">
        <f>Worksheet!AB32</f>
        <v>336749.52083333331</v>
      </c>
      <c r="AM22" s="11">
        <f>Worksheet!AC32</f>
        <v>266749.52083333331</v>
      </c>
      <c r="AN22" s="11">
        <f>Worksheet!AD32</f>
        <v>296749.52083333331</v>
      </c>
      <c r="AO22" s="50">
        <f>Worksheet!AE32</f>
        <v>276023.27083333331</v>
      </c>
      <c r="AP22" s="11">
        <f>Worksheet!AF32</f>
        <v>358903.47916666663</v>
      </c>
      <c r="AQ22" s="11">
        <f>Worksheet!AG32</f>
        <v>318903.47916666663</v>
      </c>
      <c r="AR22" s="11">
        <f>Worksheet!AH32</f>
        <v>658903.47916666663</v>
      </c>
      <c r="AS22" s="11">
        <f>Worksheet!AI32</f>
        <v>288903.47916666663</v>
      </c>
      <c r="AT22" s="11">
        <f>Worksheet!AJ32</f>
        <v>388903.47916666663</v>
      </c>
      <c r="AU22" s="11">
        <f>Worksheet!AK32</f>
        <v>288903.47916666663</v>
      </c>
      <c r="AV22" s="11">
        <f>Worksheet!AL32</f>
        <v>358903.47916666663</v>
      </c>
      <c r="AW22" s="11">
        <f>Worksheet!AM32</f>
        <v>318903.47916666663</v>
      </c>
      <c r="AX22" s="11">
        <f>Worksheet!AN32</f>
        <v>358903.47916666663</v>
      </c>
      <c r="AY22" s="11">
        <f>Worksheet!AO32</f>
        <v>288903.47916666663</v>
      </c>
      <c r="AZ22" s="11">
        <f>Worksheet!AP32</f>
        <v>318903.47916666663</v>
      </c>
      <c r="BA22" s="41"/>
      <c r="BB22" s="11">
        <f>384189+150000</f>
        <v>534189</v>
      </c>
      <c r="BC22" s="11">
        <f t="shared" si="14"/>
        <v>346185.61500000005</v>
      </c>
      <c r="BD22" s="11">
        <f t="shared" si="16"/>
        <v>3995196.541666667</v>
      </c>
      <c r="BE22" s="11">
        <f t="shared" si="17"/>
        <v>4223961.541666666</v>
      </c>
    </row>
    <row r="23" spans="1:57" ht="14.25" customHeight="1" outlineLevel="1" x14ac:dyDescent="0.25">
      <c r="A23" s="1"/>
      <c r="B23" s="1"/>
      <c r="C23" s="1"/>
      <c r="D23" s="22" t="s">
        <v>27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v>26394.744166666664</v>
      </c>
      <c r="R23" s="11">
        <v>26484.744166666664</v>
      </c>
      <c r="S23" s="11">
        <v>26484.744166666664</v>
      </c>
      <c r="T23" s="11">
        <v>26525.064166666663</v>
      </c>
      <c r="U23" s="11">
        <v>26771.444166666664</v>
      </c>
      <c r="V23" s="11">
        <v>26615.064166666663</v>
      </c>
      <c r="W23" s="11">
        <f>Worksheet!M48</f>
        <v>26224.104166666664</v>
      </c>
      <c r="X23" s="11">
        <f>Worksheet!N48</f>
        <v>26224.104166666664</v>
      </c>
      <c r="Y23" s="11">
        <f>Worksheet!O48</f>
        <v>26224.104166666664</v>
      </c>
      <c r="Z23" s="11">
        <f>Worksheet!P48</f>
        <v>26224.104166666664</v>
      </c>
      <c r="AA23" s="11">
        <f>Worksheet!Q48</f>
        <v>26224.104166666664</v>
      </c>
      <c r="AB23" s="11">
        <f>Worksheet!R48</f>
        <v>58724.104166666664</v>
      </c>
      <c r="AC23" s="50">
        <f>Worksheet!S48</f>
        <v>125600.28472222222</v>
      </c>
      <c r="AD23" s="11">
        <f>Worksheet!T48</f>
        <v>200600.28472222222</v>
      </c>
      <c r="AE23" s="11">
        <f>Worksheet!U48</f>
        <v>255600.28472222222</v>
      </c>
      <c r="AF23" s="11">
        <f>Worksheet!V48</f>
        <v>125600.28472222222</v>
      </c>
      <c r="AG23" s="11">
        <f>Worksheet!W48</f>
        <v>184874.03472222222</v>
      </c>
      <c r="AH23" s="11">
        <f>Worksheet!X48</f>
        <v>227754.24305555556</v>
      </c>
      <c r="AI23" s="11">
        <f>Worksheet!Y48</f>
        <v>197754.24305555556</v>
      </c>
      <c r="AJ23" s="11">
        <f>Worksheet!Z48</f>
        <v>157027.99305555556</v>
      </c>
      <c r="AK23" s="11">
        <f>Worksheet!AA48</f>
        <v>299908.20138888888</v>
      </c>
      <c r="AL23" s="11">
        <f>Worksheet!AB48</f>
        <v>169908.20138888888</v>
      </c>
      <c r="AM23" s="11">
        <f>Worksheet!AC48</f>
        <v>107408.20138888888</v>
      </c>
      <c r="AN23" s="11">
        <f>Worksheet!AD48</f>
        <v>212408.20138888888</v>
      </c>
      <c r="AO23" s="50">
        <f>Worksheet!AE48</f>
        <v>116681.95138888888</v>
      </c>
      <c r="AP23" s="11">
        <f>Worksheet!AF48</f>
        <v>129562.15972222222</v>
      </c>
      <c r="AQ23" s="11">
        <f>Worksheet!AG48</f>
        <v>209562.15972222222</v>
      </c>
      <c r="AR23" s="11">
        <f>Worksheet!AH48</f>
        <v>129562.15972222222</v>
      </c>
      <c r="AS23" s="11">
        <f>Worksheet!AI48</f>
        <v>129562.15972222222</v>
      </c>
      <c r="AT23" s="11">
        <f>Worksheet!AJ48</f>
        <v>209562.15972222222</v>
      </c>
      <c r="AU23" s="11">
        <f>Worksheet!AK48</f>
        <v>129562.15972222222</v>
      </c>
      <c r="AV23" s="11">
        <f>Worksheet!AL48</f>
        <v>129562.15972222222</v>
      </c>
      <c r="AW23" s="11">
        <f>Worksheet!AM48</f>
        <v>209562.15972222222</v>
      </c>
      <c r="AX23" s="11">
        <f>Worksheet!AN48</f>
        <v>129562.15972222222</v>
      </c>
      <c r="AY23" s="11">
        <f>Worksheet!AO48</f>
        <v>129562.15972222222</v>
      </c>
      <c r="AZ23" s="11">
        <f>Worksheet!AP48</f>
        <v>234562.15972222222</v>
      </c>
      <c r="BA23" s="41"/>
      <c r="BB23" s="11">
        <f>17668+212000</f>
        <v>229668</v>
      </c>
      <c r="BC23" s="11">
        <f t="shared" si="14"/>
        <v>349120.43</v>
      </c>
      <c r="BD23" s="11">
        <f t="shared" si="16"/>
        <v>2264444.4583333335</v>
      </c>
      <c r="BE23" s="11">
        <f t="shared" si="17"/>
        <v>1886865.7083333335</v>
      </c>
    </row>
    <row r="24" spans="1:57" ht="14.25" customHeight="1" outlineLevel="1" x14ac:dyDescent="0.25">
      <c r="A24" s="1"/>
      <c r="B24" s="1"/>
      <c r="C24" s="1"/>
      <c r="D24" s="22" t="s">
        <v>28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v>102132.9425</v>
      </c>
      <c r="R24" s="11">
        <v>342035.51250000007</v>
      </c>
      <c r="S24" s="11">
        <v>94811.824166666702</v>
      </c>
      <c r="T24" s="11">
        <v>122468.15416666666</v>
      </c>
      <c r="U24" s="11">
        <v>-32925.944166666653</v>
      </c>
      <c r="V24" s="11">
        <v>141035.00750000001</v>
      </c>
      <c r="W24" s="11">
        <f>Worksheet!M56</f>
        <v>115120.83333333334</v>
      </c>
      <c r="X24" s="11">
        <f>Worksheet!N56</f>
        <v>121811.16666666666</v>
      </c>
      <c r="Y24" s="11">
        <f>Worksheet!O56</f>
        <v>122731.16666666666</v>
      </c>
      <c r="Z24" s="11">
        <f>Worksheet!P56</f>
        <v>128185</v>
      </c>
      <c r="AA24" s="11">
        <f>Worksheet!Q56</f>
        <v>129105</v>
      </c>
      <c r="AB24" s="11">
        <f>Worksheet!R56</f>
        <v>130025</v>
      </c>
      <c r="AC24" s="50">
        <f>Worksheet!S56</f>
        <v>261890.95833333328</v>
      </c>
      <c r="AD24" s="11">
        <f>Worksheet!T56</f>
        <v>270519.08333333326</v>
      </c>
      <c r="AE24" s="11">
        <f>Worksheet!U56</f>
        <v>279147.20833333326</v>
      </c>
      <c r="AF24" s="11">
        <f>Worksheet!V56</f>
        <v>280047.20833333326</v>
      </c>
      <c r="AG24" s="11">
        <f>Worksheet!W56</f>
        <v>280947.20833333326</v>
      </c>
      <c r="AH24" s="11">
        <f>Worksheet!X56</f>
        <v>281847.20833333326</v>
      </c>
      <c r="AI24" s="11">
        <f>Worksheet!Y56</f>
        <v>287899.29166666663</v>
      </c>
      <c r="AJ24" s="11">
        <f>Worksheet!Z56</f>
        <v>288799.29166666663</v>
      </c>
      <c r="AK24" s="11">
        <f>Worksheet!AA56</f>
        <v>289699.29166666663</v>
      </c>
      <c r="AL24" s="11">
        <f>Worksheet!AB56</f>
        <v>290599.29166666663</v>
      </c>
      <c r="AM24" s="11">
        <f>Worksheet!AC56</f>
        <v>291499.29166666663</v>
      </c>
      <c r="AN24" s="11">
        <f>Worksheet!AD56</f>
        <v>292399.29166666663</v>
      </c>
      <c r="AO24" s="50">
        <f>Worksheet!AE56</f>
        <v>324211.79166666663</v>
      </c>
      <c r="AP24" s="11">
        <f>Worksheet!AF56</f>
        <v>325111.79166666663</v>
      </c>
      <c r="AQ24" s="11">
        <f>Worksheet!AG56</f>
        <v>326011.79166666663</v>
      </c>
      <c r="AR24" s="11">
        <f>Worksheet!AH56</f>
        <v>326911.79166666663</v>
      </c>
      <c r="AS24" s="11">
        <f>Worksheet!AI56</f>
        <v>327811.79166666663</v>
      </c>
      <c r="AT24" s="11">
        <f>Worksheet!AJ56</f>
        <v>341591.99999999988</v>
      </c>
      <c r="AU24" s="11">
        <f>Worksheet!AK56</f>
        <v>342491.99999999988</v>
      </c>
      <c r="AV24" s="11">
        <f>Worksheet!AL56</f>
        <v>343391.99999999988</v>
      </c>
      <c r="AW24" s="11">
        <f>Worksheet!AM56</f>
        <v>344291.99999999988</v>
      </c>
      <c r="AX24" s="11">
        <f>Worksheet!AN56</f>
        <v>345191.99999999988</v>
      </c>
      <c r="AY24" s="11">
        <f>Worksheet!AO56</f>
        <v>346091.99999999988</v>
      </c>
      <c r="AZ24" s="11">
        <f>Worksheet!AP56</f>
        <v>346991.99999999988</v>
      </c>
      <c r="BA24" s="41"/>
      <c r="BB24" s="11">
        <f>1651983-BB21-BB22-BB23-BB29-BB31-BB32</f>
        <v>695168</v>
      </c>
      <c r="BC24" s="11">
        <f t="shared" si="14"/>
        <v>1516535.6633333336</v>
      </c>
      <c r="BD24" s="11">
        <f t="shared" si="16"/>
        <v>3395294.6249999986</v>
      </c>
      <c r="BE24" s="11">
        <f t="shared" si="17"/>
        <v>4040102.958333333</v>
      </c>
    </row>
    <row r="25" spans="1:57" ht="7.5" customHeight="1" outlineLevel="1" x14ac:dyDescent="0.25">
      <c r="A25" s="1"/>
      <c r="B25" s="1"/>
      <c r="C25" s="1"/>
      <c r="D25" s="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50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50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41"/>
      <c r="BB25" s="1"/>
      <c r="BC25" s="1"/>
      <c r="BD25" s="1"/>
      <c r="BE25" s="1"/>
    </row>
    <row r="26" spans="1:57" ht="14.25" customHeight="1" outlineLevel="1" x14ac:dyDescent="0.25">
      <c r="A26" s="46"/>
      <c r="B26" s="46"/>
      <c r="C26" s="30" t="s">
        <v>29</v>
      </c>
      <c r="D26" s="3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>
        <f t="shared" ref="Q26:AZ26" si="18">Q17-Q20</f>
        <v>98401.12</v>
      </c>
      <c r="R26" s="7">
        <f t="shared" si="18"/>
        <v>-237693.74000000011</v>
      </c>
      <c r="S26" s="7">
        <f t="shared" si="18"/>
        <v>96525.339999999909</v>
      </c>
      <c r="T26" s="7">
        <f t="shared" si="18"/>
        <v>-65535.800000000047</v>
      </c>
      <c r="U26" s="7">
        <f t="shared" si="18"/>
        <v>454588.15999999992</v>
      </c>
      <c r="V26" s="7">
        <f t="shared" si="18"/>
        <v>167633.17999999993</v>
      </c>
      <c r="W26" s="7">
        <f t="shared" si="18"/>
        <v>360965.43333333329</v>
      </c>
      <c r="X26" s="7">
        <f t="shared" si="18"/>
        <v>592199.10000000009</v>
      </c>
      <c r="Y26" s="7">
        <f t="shared" si="18"/>
        <v>840340.7</v>
      </c>
      <c r="Z26" s="7">
        <f t="shared" si="18"/>
        <v>863805.46666666679</v>
      </c>
      <c r="AA26" s="7">
        <f t="shared" si="18"/>
        <v>1109462.6450893213</v>
      </c>
      <c r="AB26" s="47">
        <f t="shared" si="18"/>
        <v>1238843.0483247305</v>
      </c>
      <c r="AC26" s="6">
        <f t="shared" si="18"/>
        <v>1146715.8989454098</v>
      </c>
      <c r="AD26" s="7">
        <f t="shared" si="18"/>
        <v>1271156.4620102071</v>
      </c>
      <c r="AE26" s="7">
        <f t="shared" si="18"/>
        <v>1338961.5549433045</v>
      </c>
      <c r="AF26" s="7">
        <f t="shared" si="18"/>
        <v>1514312.1679665972</v>
      </c>
      <c r="AG26" s="7">
        <f t="shared" si="18"/>
        <v>1944205.6462117862</v>
      </c>
      <c r="AH26" s="7">
        <f t="shared" si="18"/>
        <v>2199806.3557325974</v>
      </c>
      <c r="AI26" s="7">
        <f t="shared" si="18"/>
        <v>2988253.975491913</v>
      </c>
      <c r="AJ26" s="7">
        <f t="shared" si="18"/>
        <v>3333445.7086737039</v>
      </c>
      <c r="AK26" s="7">
        <f t="shared" si="18"/>
        <v>3473994.3061140394</v>
      </c>
      <c r="AL26" s="7">
        <f t="shared" si="18"/>
        <v>4377569.8946496192</v>
      </c>
      <c r="AM26" s="7">
        <f t="shared" si="18"/>
        <v>4755942.7754596435</v>
      </c>
      <c r="AN26" s="7">
        <f t="shared" si="18"/>
        <v>4862907.2332061715</v>
      </c>
      <c r="AO26" s="6">
        <f t="shared" si="18"/>
        <v>5748827.2095215414</v>
      </c>
      <c r="AP26" s="7">
        <f t="shared" si="18"/>
        <v>5897772.7280605854</v>
      </c>
      <c r="AQ26" s="7">
        <f t="shared" si="18"/>
        <v>6646486.3208963582</v>
      </c>
      <c r="AR26" s="7">
        <f t="shared" si="18"/>
        <v>6620684.0377556905</v>
      </c>
      <c r="AS26" s="7">
        <f t="shared" si="18"/>
        <v>7772777.448791204</v>
      </c>
      <c r="AT26" s="7">
        <f t="shared" si="18"/>
        <v>7810627.7880541449</v>
      </c>
      <c r="AU26" s="7">
        <f t="shared" si="18"/>
        <v>4677211.4502567695</v>
      </c>
      <c r="AV26" s="7">
        <f t="shared" si="18"/>
        <v>5284848.3961749068</v>
      </c>
      <c r="AW26" s="7">
        <f t="shared" si="18"/>
        <v>5550269.4027895657</v>
      </c>
      <c r="AX26" s="7">
        <f t="shared" si="18"/>
        <v>5781782.739605777</v>
      </c>
      <c r="AY26" s="7">
        <f t="shared" si="18"/>
        <v>6052017.1254528295</v>
      </c>
      <c r="AZ26" s="47">
        <f t="shared" si="18"/>
        <v>7096226.740546599</v>
      </c>
      <c r="BA26" s="29"/>
      <c r="BB26" s="7">
        <f t="shared" ref="BB26:BE26" si="19">BB17-BB20</f>
        <v>944241.0700000003</v>
      </c>
      <c r="BC26" s="7">
        <f t="shared" si="19"/>
        <v>5519534.653414051</v>
      </c>
      <c r="BD26" s="7">
        <f t="shared" si="19"/>
        <v>33207271.979405005</v>
      </c>
      <c r="BE26" s="7">
        <f t="shared" si="19"/>
        <v>74939531.387905985</v>
      </c>
    </row>
    <row r="27" spans="1:57" ht="14.25" customHeight="1" outlineLevel="1" x14ac:dyDescent="0.25">
      <c r="A27" s="57"/>
      <c r="B27" s="57"/>
      <c r="C27" s="57"/>
      <c r="D27" s="57" t="s">
        <v>30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>
        <f t="shared" ref="Q27:W27" si="20">Q26/Q$5</f>
        <v>0.1410014716144628</v>
      </c>
      <c r="R27" s="19">
        <f t="shared" si="20"/>
        <v>-0.39268489882769669</v>
      </c>
      <c r="S27" s="19">
        <f t="shared" si="20"/>
        <v>0.10293049909786164</v>
      </c>
      <c r="T27" s="19">
        <f t="shared" si="20"/>
        <v>-7.7054527155407615E-2</v>
      </c>
      <c r="U27" s="19">
        <f t="shared" si="20"/>
        <v>0.45853291869957236</v>
      </c>
      <c r="V27" s="19">
        <f t="shared" si="20"/>
        <v>0.17622595769732133</v>
      </c>
      <c r="W27" s="19">
        <f t="shared" si="20"/>
        <v>0.34877821565498734</v>
      </c>
      <c r="X27" s="19">
        <f t="shared" ref="X27:AZ27" si="21">X26/X5</f>
        <v>0.46882847960798851</v>
      </c>
      <c r="Y27" s="19">
        <f t="shared" si="21"/>
        <v>0.54672691496742565</v>
      </c>
      <c r="Z27" s="19">
        <f t="shared" si="21"/>
        <v>0.54221781543134528</v>
      </c>
      <c r="AA27" s="19">
        <f t="shared" si="21"/>
        <v>0.55988704237436504</v>
      </c>
      <c r="AB27" s="19">
        <f t="shared" si="21"/>
        <v>0.55601351994269266</v>
      </c>
      <c r="AC27" s="58">
        <f t="shared" si="21"/>
        <v>0.43161570999131532</v>
      </c>
      <c r="AD27" s="19">
        <f t="shared" si="21"/>
        <v>0.41291210345021895</v>
      </c>
      <c r="AE27" s="19">
        <f t="shared" si="21"/>
        <v>0.3830821364681618</v>
      </c>
      <c r="AF27" s="19">
        <f t="shared" si="21"/>
        <v>0.38828999668934278</v>
      </c>
      <c r="AG27" s="19">
        <f t="shared" si="21"/>
        <v>0.45238603417301415</v>
      </c>
      <c r="AH27" s="19">
        <f t="shared" si="21"/>
        <v>0.46606096810399728</v>
      </c>
      <c r="AI27" s="19">
        <f t="shared" si="21"/>
        <v>0.50116227251662304</v>
      </c>
      <c r="AJ27" s="19">
        <f t="shared" si="21"/>
        <v>0.52403651782585403</v>
      </c>
      <c r="AK27" s="19">
        <f t="shared" si="21"/>
        <v>0.5146248686613113</v>
      </c>
      <c r="AL27" s="19">
        <f t="shared" si="21"/>
        <v>0.54957365742528563</v>
      </c>
      <c r="AM27" s="19">
        <f t="shared" si="21"/>
        <v>0.57032299196287095</v>
      </c>
      <c r="AN27" s="19">
        <f t="shared" si="21"/>
        <v>0.55852103467849867</v>
      </c>
      <c r="AO27" s="58">
        <f t="shared" si="21"/>
        <v>0.57951980828931637</v>
      </c>
      <c r="AP27" s="19">
        <f t="shared" si="21"/>
        <v>0.57305225578925723</v>
      </c>
      <c r="AQ27" s="19">
        <f t="shared" si="21"/>
        <v>0.57858822076126737</v>
      </c>
      <c r="AR27" s="19">
        <f t="shared" si="21"/>
        <v>0.55901959050186423</v>
      </c>
      <c r="AS27" s="19">
        <f t="shared" si="21"/>
        <v>0.59657865286740586</v>
      </c>
      <c r="AT27" s="19">
        <f t="shared" si="21"/>
        <v>0.58376976376907719</v>
      </c>
      <c r="AU27" s="19">
        <f t="shared" si="21"/>
        <v>0.34068462628636925</v>
      </c>
      <c r="AV27" s="19">
        <f t="shared" si="21"/>
        <v>0.31200271671362029</v>
      </c>
      <c r="AW27" s="19">
        <f t="shared" si="21"/>
        <v>0.3062005395957364</v>
      </c>
      <c r="AX27" s="19">
        <f t="shared" si="21"/>
        <v>0.31284734336430525</v>
      </c>
      <c r="AY27" s="19">
        <f t="shared" si="21"/>
        <v>0.32128904128071628</v>
      </c>
      <c r="AZ27" s="19">
        <f t="shared" si="21"/>
        <v>0.32180066799873525</v>
      </c>
      <c r="BA27" s="59"/>
      <c r="BB27" s="19">
        <f t="shared" ref="BB27:BE27" si="22">BB26/BB5</f>
        <v>0.13339031026416243</v>
      </c>
      <c r="BC27" s="19">
        <f t="shared" si="22"/>
        <v>0.37619544329026811</v>
      </c>
      <c r="BD27" s="19">
        <f t="shared" si="22"/>
        <v>0.50136573545654273</v>
      </c>
      <c r="BE27" s="19">
        <f t="shared" si="22"/>
        <v>0.42073854294218266</v>
      </c>
    </row>
    <row r="28" spans="1:57" ht="7.5" customHeight="1" outlineLevel="1" x14ac:dyDescent="0.25">
      <c r="A28" s="1"/>
      <c r="B28" s="1"/>
      <c r="C28" s="1"/>
      <c r="D28" s="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50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50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41"/>
      <c r="BB28" s="1"/>
      <c r="BC28" s="1"/>
      <c r="BD28" s="1"/>
      <c r="BE28" s="1"/>
    </row>
    <row r="29" spans="1:57" ht="14.25" customHeight="1" outlineLevel="1" x14ac:dyDescent="0.25">
      <c r="A29" s="1"/>
      <c r="B29" s="1"/>
      <c r="C29" s="1"/>
      <c r="D29" s="22" t="s">
        <v>31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>
        <v>750</v>
      </c>
      <c r="R29" s="11">
        <v>750</v>
      </c>
      <c r="S29" s="11">
        <v>750</v>
      </c>
      <c r="T29" s="11">
        <v>750</v>
      </c>
      <c r="U29" s="11">
        <v>750</v>
      </c>
      <c r="V29" s="11">
        <v>750</v>
      </c>
      <c r="W29" s="11">
        <v>750</v>
      </c>
      <c r="X29" s="11">
        <f t="shared" ref="X29:AZ29" si="23">W29-2</f>
        <v>748</v>
      </c>
      <c r="Y29" s="11">
        <f t="shared" si="23"/>
        <v>746</v>
      </c>
      <c r="Z29" s="11">
        <f t="shared" si="23"/>
        <v>744</v>
      </c>
      <c r="AA29" s="11">
        <f t="shared" si="23"/>
        <v>742</v>
      </c>
      <c r="AB29" s="11">
        <f t="shared" si="23"/>
        <v>740</v>
      </c>
      <c r="AC29" s="50">
        <f t="shared" si="23"/>
        <v>738</v>
      </c>
      <c r="AD29" s="11">
        <f t="shared" si="23"/>
        <v>736</v>
      </c>
      <c r="AE29" s="11">
        <f t="shared" si="23"/>
        <v>734</v>
      </c>
      <c r="AF29" s="11">
        <f t="shared" si="23"/>
        <v>732</v>
      </c>
      <c r="AG29" s="11">
        <f t="shared" si="23"/>
        <v>730</v>
      </c>
      <c r="AH29" s="11">
        <f t="shared" si="23"/>
        <v>728</v>
      </c>
      <c r="AI29" s="11">
        <f t="shared" si="23"/>
        <v>726</v>
      </c>
      <c r="AJ29" s="11">
        <f t="shared" si="23"/>
        <v>724</v>
      </c>
      <c r="AK29" s="11">
        <f t="shared" si="23"/>
        <v>722</v>
      </c>
      <c r="AL29" s="11">
        <f t="shared" si="23"/>
        <v>720</v>
      </c>
      <c r="AM29" s="11">
        <f t="shared" si="23"/>
        <v>718</v>
      </c>
      <c r="AN29" s="11">
        <f t="shared" si="23"/>
        <v>716</v>
      </c>
      <c r="AO29" s="50">
        <f t="shared" si="23"/>
        <v>714</v>
      </c>
      <c r="AP29" s="11">
        <f t="shared" si="23"/>
        <v>712</v>
      </c>
      <c r="AQ29" s="11">
        <f t="shared" si="23"/>
        <v>710</v>
      </c>
      <c r="AR29" s="11">
        <f t="shared" si="23"/>
        <v>708</v>
      </c>
      <c r="AS29" s="11">
        <f t="shared" si="23"/>
        <v>706</v>
      </c>
      <c r="AT29" s="11">
        <f t="shared" si="23"/>
        <v>704</v>
      </c>
      <c r="AU29" s="11">
        <f t="shared" si="23"/>
        <v>702</v>
      </c>
      <c r="AV29" s="11">
        <f t="shared" si="23"/>
        <v>700</v>
      </c>
      <c r="AW29" s="11">
        <f t="shared" si="23"/>
        <v>698</v>
      </c>
      <c r="AX29" s="11">
        <f t="shared" si="23"/>
        <v>696</v>
      </c>
      <c r="AY29" s="11">
        <f t="shared" si="23"/>
        <v>694</v>
      </c>
      <c r="AZ29" s="11">
        <f t="shared" si="23"/>
        <v>692</v>
      </c>
      <c r="BA29" s="41"/>
      <c r="BB29" s="11">
        <v>11108</v>
      </c>
      <c r="BC29" s="11">
        <f t="shared" ref="BC29:BC32" si="24">SUM(Q29:AB29)</f>
        <v>8970</v>
      </c>
      <c r="BD29" s="11">
        <f t="shared" ref="BD29:BD32" si="25">SUM(AC29:AN29)</f>
        <v>8724</v>
      </c>
      <c r="BE29" s="11">
        <f t="shared" ref="BE29:BE32" si="26">SUM(AO29:AZ29)</f>
        <v>8436</v>
      </c>
    </row>
    <row r="30" spans="1:57" ht="14.25" customHeight="1" outlineLevel="1" x14ac:dyDescent="0.25">
      <c r="A30" s="60">
        <v>0.25900000000000001</v>
      </c>
      <c r="B30" s="1"/>
      <c r="C30" s="1"/>
      <c r="D30" s="22" t="s">
        <v>32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>
        <f t="shared" ref="W30:AZ30" si="27">$A30*W26</f>
        <v>93490.047233333331</v>
      </c>
      <c r="X30" s="11">
        <f t="shared" si="27"/>
        <v>153379.56690000003</v>
      </c>
      <c r="Y30" s="11">
        <f t="shared" si="27"/>
        <v>217648.24129999999</v>
      </c>
      <c r="Z30" s="11">
        <f t="shared" si="27"/>
        <v>223725.61586666672</v>
      </c>
      <c r="AA30" s="11">
        <f t="shared" si="27"/>
        <v>287350.82507813425</v>
      </c>
      <c r="AB30" s="11">
        <f t="shared" si="27"/>
        <v>320860.3495161052</v>
      </c>
      <c r="AC30" s="50">
        <f t="shared" si="27"/>
        <v>296999.41782686114</v>
      </c>
      <c r="AD30" s="11">
        <f t="shared" si="27"/>
        <v>329229.52366064367</v>
      </c>
      <c r="AE30" s="11">
        <f t="shared" si="27"/>
        <v>346791.04273031588</v>
      </c>
      <c r="AF30" s="11">
        <f t="shared" si="27"/>
        <v>392206.85150334868</v>
      </c>
      <c r="AG30" s="11">
        <f t="shared" si="27"/>
        <v>503549.26236885262</v>
      </c>
      <c r="AH30" s="11">
        <f t="shared" si="27"/>
        <v>569749.84613474272</v>
      </c>
      <c r="AI30" s="11">
        <f t="shared" si="27"/>
        <v>773957.77965240553</v>
      </c>
      <c r="AJ30" s="11">
        <f t="shared" si="27"/>
        <v>863362.43854648934</v>
      </c>
      <c r="AK30" s="11">
        <f t="shared" si="27"/>
        <v>899764.52528353618</v>
      </c>
      <c r="AL30" s="11">
        <f t="shared" si="27"/>
        <v>1133790.6027142515</v>
      </c>
      <c r="AM30" s="11">
        <f t="shared" si="27"/>
        <v>1231789.1788440477</v>
      </c>
      <c r="AN30" s="11">
        <f t="shared" si="27"/>
        <v>1259492.9734003984</v>
      </c>
      <c r="AO30" s="50">
        <f t="shared" si="27"/>
        <v>1488946.2472660793</v>
      </c>
      <c r="AP30" s="11">
        <f t="shared" si="27"/>
        <v>1527523.1365676916</v>
      </c>
      <c r="AQ30" s="11">
        <f t="shared" si="27"/>
        <v>1721439.9571121568</v>
      </c>
      <c r="AR30" s="11">
        <f t="shared" si="27"/>
        <v>1714757.165778724</v>
      </c>
      <c r="AS30" s="11">
        <f t="shared" si="27"/>
        <v>2013149.3592369219</v>
      </c>
      <c r="AT30" s="11">
        <f t="shared" si="27"/>
        <v>2022952.5971060237</v>
      </c>
      <c r="AU30" s="11">
        <f t="shared" si="27"/>
        <v>1211397.7656165033</v>
      </c>
      <c r="AV30" s="11">
        <f t="shared" si="27"/>
        <v>1368775.734609301</v>
      </c>
      <c r="AW30" s="11">
        <f t="shared" si="27"/>
        <v>1437519.7753224976</v>
      </c>
      <c r="AX30" s="11">
        <f t="shared" si="27"/>
        <v>1497481.7295578963</v>
      </c>
      <c r="AY30" s="11">
        <f t="shared" si="27"/>
        <v>1567472.435492283</v>
      </c>
      <c r="AZ30" s="11">
        <f t="shared" si="27"/>
        <v>1837922.7258015692</v>
      </c>
      <c r="BA30" s="41"/>
      <c r="BB30" s="11"/>
      <c r="BC30" s="11">
        <f t="shared" si="24"/>
        <v>1296454.6458942394</v>
      </c>
      <c r="BD30" s="11">
        <f t="shared" si="25"/>
        <v>8600683.4426658936</v>
      </c>
      <c r="BE30" s="11">
        <f t="shared" si="26"/>
        <v>19409338.629467648</v>
      </c>
    </row>
    <row r="31" spans="1:57" ht="14.25" customHeight="1" outlineLevel="1" x14ac:dyDescent="0.25">
      <c r="A31" s="1"/>
      <c r="B31" s="1"/>
      <c r="C31" s="1"/>
      <c r="D31" s="22" t="s">
        <v>33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>
        <v>100</v>
      </c>
      <c r="R31" s="11">
        <v>100</v>
      </c>
      <c r="S31" s="11">
        <v>100</v>
      </c>
      <c r="T31" s="11">
        <v>100</v>
      </c>
      <c r="U31" s="11">
        <v>100</v>
      </c>
      <c r="V31" s="11">
        <v>100</v>
      </c>
      <c r="W31" s="11">
        <v>100</v>
      </c>
      <c r="X31" s="11">
        <f t="shared" ref="X31:AZ31" si="28">W31</f>
        <v>100</v>
      </c>
      <c r="Y31" s="11">
        <f t="shared" si="28"/>
        <v>100</v>
      </c>
      <c r="Z31" s="11">
        <f t="shared" si="28"/>
        <v>100</v>
      </c>
      <c r="AA31" s="11">
        <f t="shared" si="28"/>
        <v>100</v>
      </c>
      <c r="AB31" s="11">
        <f t="shared" si="28"/>
        <v>100</v>
      </c>
      <c r="AC31" s="50">
        <f t="shared" si="28"/>
        <v>100</v>
      </c>
      <c r="AD31" s="11">
        <f t="shared" si="28"/>
        <v>100</v>
      </c>
      <c r="AE31" s="11">
        <f t="shared" si="28"/>
        <v>100</v>
      </c>
      <c r="AF31" s="11">
        <f t="shared" si="28"/>
        <v>100</v>
      </c>
      <c r="AG31" s="11">
        <f t="shared" si="28"/>
        <v>100</v>
      </c>
      <c r="AH31" s="11">
        <f t="shared" si="28"/>
        <v>100</v>
      </c>
      <c r="AI31" s="11">
        <f t="shared" si="28"/>
        <v>100</v>
      </c>
      <c r="AJ31" s="11">
        <f t="shared" si="28"/>
        <v>100</v>
      </c>
      <c r="AK31" s="11">
        <f t="shared" si="28"/>
        <v>100</v>
      </c>
      <c r="AL31" s="11">
        <f t="shared" si="28"/>
        <v>100</v>
      </c>
      <c r="AM31" s="11">
        <f t="shared" si="28"/>
        <v>100</v>
      </c>
      <c r="AN31" s="11">
        <f t="shared" si="28"/>
        <v>100</v>
      </c>
      <c r="AO31" s="50">
        <f t="shared" si="28"/>
        <v>100</v>
      </c>
      <c r="AP31" s="11">
        <f t="shared" si="28"/>
        <v>100</v>
      </c>
      <c r="AQ31" s="11">
        <f t="shared" si="28"/>
        <v>100</v>
      </c>
      <c r="AR31" s="11">
        <f t="shared" si="28"/>
        <v>100</v>
      </c>
      <c r="AS31" s="11">
        <f t="shared" si="28"/>
        <v>100</v>
      </c>
      <c r="AT31" s="11">
        <f t="shared" si="28"/>
        <v>100</v>
      </c>
      <c r="AU31" s="11">
        <f t="shared" si="28"/>
        <v>100</v>
      </c>
      <c r="AV31" s="11">
        <f t="shared" si="28"/>
        <v>100</v>
      </c>
      <c r="AW31" s="11">
        <f t="shared" si="28"/>
        <v>100</v>
      </c>
      <c r="AX31" s="11">
        <f t="shared" si="28"/>
        <v>100</v>
      </c>
      <c r="AY31" s="11">
        <f t="shared" si="28"/>
        <v>100</v>
      </c>
      <c r="AZ31" s="11">
        <f t="shared" si="28"/>
        <v>100</v>
      </c>
      <c r="BA31" s="41"/>
      <c r="BB31" s="11">
        <v>1200</v>
      </c>
      <c r="BC31" s="11">
        <f t="shared" si="24"/>
        <v>1200</v>
      </c>
      <c r="BD31" s="11">
        <f t="shared" si="25"/>
        <v>1200</v>
      </c>
      <c r="BE31" s="11">
        <f t="shared" si="26"/>
        <v>1200</v>
      </c>
    </row>
    <row r="32" spans="1:57" ht="14.25" customHeight="1" outlineLevel="1" x14ac:dyDescent="0.25">
      <c r="A32" s="1"/>
      <c r="B32" s="1"/>
      <c r="C32" s="1"/>
      <c r="D32" s="22" t="s">
        <v>34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ref="Q32:AZ32" si="29">1500-Q29</f>
        <v>750</v>
      </c>
      <c r="R32" s="11">
        <f t="shared" si="29"/>
        <v>750</v>
      </c>
      <c r="S32" s="11">
        <f t="shared" si="29"/>
        <v>750</v>
      </c>
      <c r="T32" s="11">
        <f t="shared" si="29"/>
        <v>750</v>
      </c>
      <c r="U32" s="11">
        <f t="shared" si="29"/>
        <v>750</v>
      </c>
      <c r="V32" s="11">
        <f t="shared" si="29"/>
        <v>750</v>
      </c>
      <c r="W32" s="11">
        <f t="shared" si="29"/>
        <v>750</v>
      </c>
      <c r="X32" s="11">
        <f t="shared" si="29"/>
        <v>752</v>
      </c>
      <c r="Y32" s="11">
        <f t="shared" si="29"/>
        <v>754</v>
      </c>
      <c r="Z32" s="11">
        <f t="shared" si="29"/>
        <v>756</v>
      </c>
      <c r="AA32" s="11">
        <f t="shared" si="29"/>
        <v>758</v>
      </c>
      <c r="AB32" s="11">
        <f t="shared" si="29"/>
        <v>760</v>
      </c>
      <c r="AC32" s="50">
        <f t="shared" si="29"/>
        <v>762</v>
      </c>
      <c r="AD32" s="11">
        <f t="shared" si="29"/>
        <v>764</v>
      </c>
      <c r="AE32" s="11">
        <f t="shared" si="29"/>
        <v>766</v>
      </c>
      <c r="AF32" s="11">
        <f t="shared" si="29"/>
        <v>768</v>
      </c>
      <c r="AG32" s="11">
        <f t="shared" si="29"/>
        <v>770</v>
      </c>
      <c r="AH32" s="11">
        <f t="shared" si="29"/>
        <v>772</v>
      </c>
      <c r="AI32" s="11">
        <f t="shared" si="29"/>
        <v>774</v>
      </c>
      <c r="AJ32" s="11">
        <f t="shared" si="29"/>
        <v>776</v>
      </c>
      <c r="AK32" s="11">
        <f t="shared" si="29"/>
        <v>778</v>
      </c>
      <c r="AL32" s="11">
        <f t="shared" si="29"/>
        <v>780</v>
      </c>
      <c r="AM32" s="11">
        <f t="shared" si="29"/>
        <v>782</v>
      </c>
      <c r="AN32" s="11">
        <f t="shared" si="29"/>
        <v>784</v>
      </c>
      <c r="AO32" s="50">
        <f t="shared" si="29"/>
        <v>786</v>
      </c>
      <c r="AP32" s="11">
        <f t="shared" si="29"/>
        <v>788</v>
      </c>
      <c r="AQ32" s="11">
        <f t="shared" si="29"/>
        <v>790</v>
      </c>
      <c r="AR32" s="11">
        <f t="shared" si="29"/>
        <v>792</v>
      </c>
      <c r="AS32" s="11">
        <f t="shared" si="29"/>
        <v>794</v>
      </c>
      <c r="AT32" s="11">
        <f t="shared" si="29"/>
        <v>796</v>
      </c>
      <c r="AU32" s="11">
        <f t="shared" si="29"/>
        <v>798</v>
      </c>
      <c r="AV32" s="11">
        <f t="shared" si="29"/>
        <v>800</v>
      </c>
      <c r="AW32" s="11">
        <f t="shared" si="29"/>
        <v>802</v>
      </c>
      <c r="AX32" s="11">
        <f t="shared" si="29"/>
        <v>804</v>
      </c>
      <c r="AY32" s="11">
        <f t="shared" si="29"/>
        <v>806</v>
      </c>
      <c r="AZ32" s="11">
        <f t="shared" si="29"/>
        <v>808</v>
      </c>
      <c r="BA32" s="41"/>
      <c r="BB32" s="11">
        <v>9000</v>
      </c>
      <c r="BC32" s="11">
        <f t="shared" si="24"/>
        <v>9030</v>
      </c>
      <c r="BD32" s="11">
        <f t="shared" si="25"/>
        <v>9276</v>
      </c>
      <c r="BE32" s="11">
        <f t="shared" si="26"/>
        <v>9564</v>
      </c>
    </row>
    <row r="33" spans="1:57" ht="7.5" customHeight="1" outlineLevel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41"/>
      <c r="BB33" s="1"/>
      <c r="BC33" s="1"/>
      <c r="BD33" s="1"/>
      <c r="BE33" s="1"/>
    </row>
    <row r="34" spans="1:57" ht="14.25" customHeight="1" outlineLevel="1" x14ac:dyDescent="0.25">
      <c r="A34" s="46"/>
      <c r="B34" s="46"/>
      <c r="C34" s="30" t="s">
        <v>35</v>
      </c>
      <c r="D34" s="3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 t="shared" ref="Q34:AZ34" si="30">Q26-SUM(Q29:Q32)</f>
        <v>96801.12</v>
      </c>
      <c r="R34" s="7">
        <f t="shared" si="30"/>
        <v>-239293.74000000011</v>
      </c>
      <c r="S34" s="7">
        <f t="shared" si="30"/>
        <v>94925.339999999909</v>
      </c>
      <c r="T34" s="7">
        <f t="shared" si="30"/>
        <v>-67135.800000000047</v>
      </c>
      <c r="U34" s="7">
        <f t="shared" si="30"/>
        <v>452988.15999999992</v>
      </c>
      <c r="V34" s="7">
        <f t="shared" si="30"/>
        <v>166033.17999999993</v>
      </c>
      <c r="W34" s="7">
        <f t="shared" si="30"/>
        <v>265875.38609999995</v>
      </c>
      <c r="X34" s="7">
        <f t="shared" si="30"/>
        <v>437219.53310000006</v>
      </c>
      <c r="Y34" s="7">
        <f t="shared" si="30"/>
        <v>621092.45869999996</v>
      </c>
      <c r="Z34" s="7">
        <f t="shared" si="30"/>
        <v>638479.85080000013</v>
      </c>
      <c r="AA34" s="7">
        <f t="shared" si="30"/>
        <v>820511.82001118711</v>
      </c>
      <c r="AB34" s="47">
        <f t="shared" si="30"/>
        <v>916382.69880862534</v>
      </c>
      <c r="AC34" s="6">
        <f t="shared" si="30"/>
        <v>848116.48111854866</v>
      </c>
      <c r="AD34" s="7">
        <f t="shared" si="30"/>
        <v>940326.9383495634</v>
      </c>
      <c r="AE34" s="7">
        <f t="shared" si="30"/>
        <v>990570.51221298869</v>
      </c>
      <c r="AF34" s="7">
        <f t="shared" si="30"/>
        <v>1120505.3164632486</v>
      </c>
      <c r="AG34" s="7">
        <f t="shared" si="30"/>
        <v>1439056.3838429335</v>
      </c>
      <c r="AH34" s="7">
        <f t="shared" si="30"/>
        <v>1628456.5095978547</v>
      </c>
      <c r="AI34" s="7">
        <f t="shared" si="30"/>
        <v>2212696.1958395075</v>
      </c>
      <c r="AJ34" s="7">
        <f t="shared" si="30"/>
        <v>2468483.2701272145</v>
      </c>
      <c r="AK34" s="7">
        <f t="shared" si="30"/>
        <v>2572629.7808305034</v>
      </c>
      <c r="AL34" s="7">
        <f t="shared" si="30"/>
        <v>3242179.2919353675</v>
      </c>
      <c r="AM34" s="7">
        <f t="shared" si="30"/>
        <v>3522553.5966155957</v>
      </c>
      <c r="AN34" s="7">
        <f t="shared" si="30"/>
        <v>3601814.2598057734</v>
      </c>
      <c r="AO34" s="6">
        <f t="shared" si="30"/>
        <v>4258280.9622554621</v>
      </c>
      <c r="AP34" s="7">
        <f t="shared" si="30"/>
        <v>4368649.5914928941</v>
      </c>
      <c r="AQ34" s="7">
        <f t="shared" si="30"/>
        <v>4923446.3637842014</v>
      </c>
      <c r="AR34" s="7">
        <f t="shared" si="30"/>
        <v>4904326.871976966</v>
      </c>
      <c r="AS34" s="7">
        <f t="shared" si="30"/>
        <v>5758028.0895542819</v>
      </c>
      <c r="AT34" s="7">
        <f t="shared" si="30"/>
        <v>5786075.1909481212</v>
      </c>
      <c r="AU34" s="7">
        <f t="shared" si="30"/>
        <v>3464213.684640266</v>
      </c>
      <c r="AV34" s="7">
        <f t="shared" si="30"/>
        <v>3914472.6615656056</v>
      </c>
      <c r="AW34" s="7">
        <f t="shared" si="30"/>
        <v>4111149.6274670679</v>
      </c>
      <c r="AX34" s="7">
        <f t="shared" si="30"/>
        <v>4282701.0100478809</v>
      </c>
      <c r="AY34" s="7">
        <f t="shared" si="30"/>
        <v>4482944.6899605468</v>
      </c>
      <c r="AZ34" s="47">
        <f t="shared" si="30"/>
        <v>5256704.0147450296</v>
      </c>
      <c r="BA34" s="29"/>
      <c r="BB34" s="7">
        <f t="shared" ref="BB34:BE34" si="31">BB26-SUM(BB29:BB32)</f>
        <v>922933.0700000003</v>
      </c>
      <c r="BC34" s="7">
        <f t="shared" si="31"/>
        <v>4203880.0075198114</v>
      </c>
      <c r="BD34" s="7">
        <f t="shared" si="31"/>
        <v>24587388.536739111</v>
      </c>
      <c r="BE34" s="7">
        <f t="shared" si="31"/>
        <v>55510992.758438334</v>
      </c>
    </row>
    <row r="35" spans="1:57" ht="14.25" customHeight="1" outlineLevel="1" x14ac:dyDescent="0.25">
      <c r="A35" s="57"/>
      <c r="B35" s="57"/>
      <c r="C35" s="57"/>
      <c r="D35" s="57" t="s">
        <v>36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>
        <f t="shared" ref="Q35:AZ35" si="32">Q34/Q$5</f>
        <v>0.13870879085449644</v>
      </c>
      <c r="R35" s="19">
        <f t="shared" si="32"/>
        <v>-0.39532819872328634</v>
      </c>
      <c r="S35" s="19">
        <f t="shared" si="32"/>
        <v>0.10122432744846285</v>
      </c>
      <c r="T35" s="19">
        <f t="shared" si="32"/>
        <v>-7.8935746938314857E-2</v>
      </c>
      <c r="U35" s="19">
        <f t="shared" si="32"/>
        <v>0.45691903445340254</v>
      </c>
      <c r="V35" s="19">
        <f t="shared" si="32"/>
        <v>0.1745439426432866</v>
      </c>
      <c r="W35" s="19">
        <f t="shared" si="32"/>
        <v>0.25689867834216112</v>
      </c>
      <c r="X35" s="19">
        <f t="shared" si="32"/>
        <v>0.34613522539664043</v>
      </c>
      <c r="Y35" s="19">
        <f t="shared" si="32"/>
        <v>0.4040836816003131</v>
      </c>
      <c r="Z35" s="19">
        <f t="shared" si="32"/>
        <v>0.40077906803905455</v>
      </c>
      <c r="AA35" s="19">
        <f t="shared" si="32"/>
        <v>0.41406886313174218</v>
      </c>
      <c r="AB35" s="19">
        <f t="shared" si="32"/>
        <v>0.41128791146560995</v>
      </c>
      <c r="AC35" s="58">
        <f t="shared" si="32"/>
        <v>0.31922501248126928</v>
      </c>
      <c r="AD35" s="19">
        <f t="shared" si="32"/>
        <v>0.30544813769880741</v>
      </c>
      <c r="AE35" s="19">
        <f t="shared" si="32"/>
        <v>0.28340609686659818</v>
      </c>
      <c r="AF35" s="19">
        <f t="shared" si="32"/>
        <v>0.28731262603808305</v>
      </c>
      <c r="AG35" s="19">
        <f t="shared" si="32"/>
        <v>0.33484575652093734</v>
      </c>
      <c r="AH35" s="19">
        <f t="shared" si="32"/>
        <v>0.34501219409636513</v>
      </c>
      <c r="AI35" s="19">
        <f t="shared" si="32"/>
        <v>0.3710929067577895</v>
      </c>
      <c r="AJ35" s="19">
        <f t="shared" si="32"/>
        <v>0.38805953066010013</v>
      </c>
      <c r="AK35" s="19">
        <f t="shared" si="32"/>
        <v>0.38110000950318645</v>
      </c>
      <c r="AL35" s="19">
        <f t="shared" si="32"/>
        <v>0.40703321120588515</v>
      </c>
      <c r="AM35" s="19">
        <f t="shared" si="32"/>
        <v>0.42241746829622384</v>
      </c>
      <c r="AN35" s="19">
        <f t="shared" si="32"/>
        <v>0.41368032138671113</v>
      </c>
      <c r="AO35" s="58">
        <f t="shared" si="32"/>
        <v>0.42926288735919677</v>
      </c>
      <c r="AP35" s="19">
        <f t="shared" si="32"/>
        <v>0.42447625885052637</v>
      </c>
      <c r="AQ35" s="19">
        <f t="shared" si="32"/>
        <v>0.42859458879488954</v>
      </c>
      <c r="AR35" s="19">
        <f t="shared" si="32"/>
        <v>0.41409842004621883</v>
      </c>
      <c r="AS35" s="19">
        <f t="shared" si="32"/>
        <v>0.44194197807286939</v>
      </c>
      <c r="AT35" s="19">
        <f t="shared" si="32"/>
        <v>0.43245381024761326</v>
      </c>
      <c r="AU35" s="19">
        <f t="shared" si="32"/>
        <v>0.25233076526035708</v>
      </c>
      <c r="AV35" s="19">
        <f t="shared" si="32"/>
        <v>0.2310995535451201</v>
      </c>
      <c r="AW35" s="19">
        <f t="shared" si="32"/>
        <v>0.22680633009571313</v>
      </c>
      <c r="AX35" s="19">
        <f t="shared" si="32"/>
        <v>0.23173330679465498</v>
      </c>
      <c r="AY35" s="19">
        <f t="shared" si="32"/>
        <v>0.23799023890636015</v>
      </c>
      <c r="AZ35" s="19">
        <f t="shared" si="32"/>
        <v>0.23838173796660345</v>
      </c>
      <c r="BA35" s="59"/>
      <c r="BB35" s="19">
        <f t="shared" ref="BB35:BE35" si="33">BB34/BB$5</f>
        <v>0.1303801883563018</v>
      </c>
      <c r="BC35" s="19">
        <f t="shared" si="33"/>
        <v>0.28652424566078277</v>
      </c>
      <c r="BD35" s="19">
        <f t="shared" si="33"/>
        <v>0.37122212701854251</v>
      </c>
      <c r="BE35" s="19">
        <f t="shared" si="33"/>
        <v>0.31165946434285569</v>
      </c>
    </row>
    <row r="36" spans="1:57" ht="14.25" customHeight="1" outlineLevel="1" x14ac:dyDescent="0.25">
      <c r="A36" s="27"/>
      <c r="B36" s="27"/>
      <c r="C36" s="27"/>
      <c r="D36" s="27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2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2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26"/>
      <c r="BB36" s="27"/>
      <c r="BC36" s="27"/>
      <c r="BD36" s="27"/>
      <c r="BE36" s="27"/>
    </row>
    <row r="37" spans="1:57" ht="14.25" customHeight="1" x14ac:dyDescent="0.25">
      <c r="A37" s="1"/>
      <c r="B37" s="1"/>
      <c r="C37" s="1"/>
      <c r="D37" s="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50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50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41"/>
      <c r="BB37" s="1"/>
      <c r="BC37" s="1"/>
      <c r="BD37" s="1"/>
      <c r="BE37" s="1"/>
    </row>
    <row r="38" spans="1:57" ht="14.25" customHeight="1" x14ac:dyDescent="0.3">
      <c r="A38" s="1"/>
      <c r="B38" s="34" t="s">
        <v>37</v>
      </c>
      <c r="C38" s="1"/>
      <c r="D38" s="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50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50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41"/>
      <c r="BB38" s="1"/>
      <c r="BC38" s="1"/>
      <c r="BD38" s="1"/>
      <c r="BE38" s="1"/>
    </row>
    <row r="39" spans="1:57" ht="14.25" customHeight="1" outlineLevel="1" x14ac:dyDescent="0.25">
      <c r="A39" s="1"/>
      <c r="B39" s="1"/>
      <c r="C39" s="1"/>
      <c r="D39" s="1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>
        <v>45658</v>
      </c>
      <c r="R39" s="35">
        <v>45689</v>
      </c>
      <c r="S39" s="35">
        <v>45717</v>
      </c>
      <c r="T39" s="35">
        <v>45748</v>
      </c>
      <c r="U39" s="35">
        <v>45778</v>
      </c>
      <c r="V39" s="35">
        <v>45809</v>
      </c>
      <c r="W39" s="35">
        <v>45839</v>
      </c>
      <c r="X39" s="35">
        <v>45870</v>
      </c>
      <c r="Y39" s="36">
        <v>45901</v>
      </c>
      <c r="Z39" s="36">
        <v>45931</v>
      </c>
      <c r="AA39" s="36">
        <v>45962</v>
      </c>
      <c r="AB39" s="37">
        <v>45992</v>
      </c>
      <c r="AC39" s="38">
        <v>46023</v>
      </c>
      <c r="AD39" s="39">
        <v>46054</v>
      </c>
      <c r="AE39" s="39">
        <v>46082</v>
      </c>
      <c r="AF39" s="39">
        <v>46113</v>
      </c>
      <c r="AG39" s="39">
        <v>46143</v>
      </c>
      <c r="AH39" s="39">
        <v>46174</v>
      </c>
      <c r="AI39" s="39">
        <v>46204</v>
      </c>
      <c r="AJ39" s="39">
        <v>46235</v>
      </c>
      <c r="AK39" s="39">
        <v>46266</v>
      </c>
      <c r="AL39" s="39">
        <v>46296</v>
      </c>
      <c r="AM39" s="39">
        <v>46327</v>
      </c>
      <c r="AN39" s="39">
        <v>46357</v>
      </c>
      <c r="AO39" s="40">
        <v>46388</v>
      </c>
      <c r="AP39" s="36">
        <v>46419</v>
      </c>
      <c r="AQ39" s="36">
        <v>46447</v>
      </c>
      <c r="AR39" s="36">
        <v>46478</v>
      </c>
      <c r="AS39" s="36">
        <v>46508</v>
      </c>
      <c r="AT39" s="36">
        <v>46539</v>
      </c>
      <c r="AU39" s="36">
        <v>46569</v>
      </c>
      <c r="AV39" s="36">
        <v>46600</v>
      </c>
      <c r="AW39" s="36">
        <v>46631</v>
      </c>
      <c r="AX39" s="36">
        <v>46661</v>
      </c>
      <c r="AY39" s="36">
        <v>46692</v>
      </c>
      <c r="AZ39" s="37">
        <v>46722</v>
      </c>
      <c r="BA39" s="41"/>
      <c r="BB39" s="42">
        <v>2024</v>
      </c>
      <c r="BC39" s="42">
        <v>2025</v>
      </c>
      <c r="BD39" s="42">
        <v>2026</v>
      </c>
      <c r="BE39" s="42">
        <v>2027</v>
      </c>
    </row>
    <row r="40" spans="1:57" ht="14.25" customHeight="1" outlineLevel="1" x14ac:dyDescent="0.25">
      <c r="A40" s="1"/>
      <c r="B40" s="1"/>
      <c r="C40" s="1"/>
      <c r="D40" s="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50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50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41"/>
      <c r="BB40" s="1"/>
      <c r="BC40" s="1"/>
      <c r="BD40" s="1"/>
      <c r="BE40" s="1"/>
    </row>
    <row r="41" spans="1:57" ht="14.25" customHeight="1" outlineLevel="1" x14ac:dyDescent="0.25">
      <c r="A41" s="46"/>
      <c r="B41" s="46"/>
      <c r="C41" s="30" t="s">
        <v>38</v>
      </c>
      <c r="D41" s="3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>
        <v>1257232</v>
      </c>
      <c r="R41" s="7">
        <f t="shared" ref="R41:AZ41" si="34">Q58</f>
        <v>1337303.1200000001</v>
      </c>
      <c r="S41" s="7">
        <f t="shared" si="34"/>
        <v>1111183.3799999999</v>
      </c>
      <c r="T41" s="7">
        <f t="shared" si="34"/>
        <v>1210604.0741666665</v>
      </c>
      <c r="U41" s="7">
        <f t="shared" si="34"/>
        <v>615697.93041666644</v>
      </c>
      <c r="V41" s="7">
        <f t="shared" si="34"/>
        <v>985758.14249999973</v>
      </c>
      <c r="W41" s="7">
        <f t="shared" si="34"/>
        <v>994792.37458333315</v>
      </c>
      <c r="X41" s="7">
        <f t="shared" si="34"/>
        <v>907889.66449808714</v>
      </c>
      <c r="Y41" s="7">
        <f t="shared" si="34"/>
        <v>1040575.3779627511</v>
      </c>
      <c r="Z41" s="7">
        <f t="shared" si="34"/>
        <v>1383801.4254294704</v>
      </c>
      <c r="AA41" s="7">
        <f t="shared" si="34"/>
        <v>1799322.2587628036</v>
      </c>
      <c r="AB41" s="47">
        <f t="shared" si="34"/>
        <v>2280989.6121854587</v>
      </c>
      <c r="AC41" s="6">
        <f t="shared" si="34"/>
        <v>2602593.568843523</v>
      </c>
      <c r="AD41" s="7">
        <f t="shared" si="34"/>
        <v>2731799.1136222663</v>
      </c>
      <c r="AE41" s="7">
        <f t="shared" si="34"/>
        <v>2681532.7506324728</v>
      </c>
      <c r="AF41" s="7">
        <f t="shared" si="34"/>
        <v>2551489.1909924438</v>
      </c>
      <c r="AG41" s="7">
        <f t="shared" si="34"/>
        <v>1093281.8213981355</v>
      </c>
      <c r="AH41" s="7">
        <f t="shared" si="34"/>
        <v>941770.26760992152</v>
      </c>
      <c r="AI41" s="7">
        <f t="shared" si="34"/>
        <v>979700.45042585232</v>
      </c>
      <c r="AJ41" s="7">
        <f t="shared" si="34"/>
        <v>1629081.4550844317</v>
      </c>
      <c r="AK41" s="7">
        <f t="shared" si="34"/>
        <v>2692093.2502581351</v>
      </c>
      <c r="AL41" s="7">
        <f t="shared" si="34"/>
        <v>3814639.3019021759</v>
      </c>
      <c r="AM41" s="7">
        <f t="shared" si="34"/>
        <v>5851482.8733825609</v>
      </c>
      <c r="AN41" s="7">
        <f t="shared" si="34"/>
        <v>8489562.9049472157</v>
      </c>
      <c r="AO41" s="6">
        <f t="shared" si="34"/>
        <v>11389945.257901916</v>
      </c>
      <c r="AP41" s="7">
        <f t="shared" si="34"/>
        <v>15190343.202686492</v>
      </c>
      <c r="AQ41" s="7">
        <f t="shared" si="34"/>
        <v>19423004.681849401</v>
      </c>
      <c r="AR41" s="7">
        <f t="shared" si="34"/>
        <v>24432162.820696138</v>
      </c>
      <c r="AS41" s="7">
        <f t="shared" si="34"/>
        <v>21164612.986348581</v>
      </c>
      <c r="AT41" s="7">
        <f t="shared" si="34"/>
        <v>27514038.675587576</v>
      </c>
      <c r="AU41" s="7">
        <f t="shared" si="34"/>
        <v>34277634.530774914</v>
      </c>
      <c r="AV41" s="7">
        <f t="shared" si="34"/>
        <v>37988279.800423302</v>
      </c>
      <c r="AW41" s="7">
        <f t="shared" si="34"/>
        <v>42017996.264600612</v>
      </c>
      <c r="AX41" s="7">
        <f t="shared" si="34"/>
        <v>46797014.810661286</v>
      </c>
      <c r="AY41" s="7">
        <f t="shared" si="34"/>
        <v>52089906.815788522</v>
      </c>
      <c r="AZ41" s="47">
        <f t="shared" si="34"/>
        <v>57776986.962238692</v>
      </c>
      <c r="BA41" s="29"/>
      <c r="BB41" s="7">
        <v>299151</v>
      </c>
      <c r="BC41" s="7">
        <f>BB58</f>
        <v>1257232.0700000003</v>
      </c>
      <c r="BD41" s="7">
        <f>AC41</f>
        <v>2602593.568843523</v>
      </c>
      <c r="BE41" s="7">
        <f>AO41</f>
        <v>11389945.257901916</v>
      </c>
    </row>
    <row r="42" spans="1:57" ht="14.25" customHeight="1" outlineLevel="1" x14ac:dyDescent="0.25">
      <c r="A42" s="1"/>
      <c r="B42" s="1"/>
      <c r="C42" s="1"/>
      <c r="D42" s="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50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50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41"/>
      <c r="BB42" s="1"/>
      <c r="BC42" s="1"/>
      <c r="BD42" s="1"/>
      <c r="BE42" s="1"/>
    </row>
    <row r="43" spans="1:57" ht="14.25" customHeight="1" outlineLevel="1" x14ac:dyDescent="0.25">
      <c r="A43" s="1"/>
      <c r="B43" s="1"/>
      <c r="C43" s="22"/>
      <c r="D43" s="22" t="s">
        <v>35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ref="Q43:AZ43" si="35">Q34</f>
        <v>96801.12</v>
      </c>
      <c r="R43" s="11">
        <f t="shared" si="35"/>
        <v>-239293.74000000011</v>
      </c>
      <c r="S43" s="11">
        <f t="shared" si="35"/>
        <v>94925.339999999909</v>
      </c>
      <c r="T43" s="11">
        <f t="shared" si="35"/>
        <v>-67135.800000000047</v>
      </c>
      <c r="U43" s="11">
        <f t="shared" si="35"/>
        <v>452988.15999999992</v>
      </c>
      <c r="V43" s="11">
        <f t="shared" si="35"/>
        <v>166033.17999999993</v>
      </c>
      <c r="W43" s="11">
        <f t="shared" si="35"/>
        <v>265875.38609999995</v>
      </c>
      <c r="X43" s="11">
        <f t="shared" si="35"/>
        <v>437219.53310000006</v>
      </c>
      <c r="Y43" s="11">
        <f t="shared" si="35"/>
        <v>621092.45869999996</v>
      </c>
      <c r="Z43" s="11">
        <f t="shared" si="35"/>
        <v>638479.85080000013</v>
      </c>
      <c r="AA43" s="11">
        <f t="shared" si="35"/>
        <v>820511.82001118711</v>
      </c>
      <c r="AB43" s="11">
        <f t="shared" si="35"/>
        <v>916382.69880862534</v>
      </c>
      <c r="AC43" s="50">
        <f t="shared" si="35"/>
        <v>848116.48111854866</v>
      </c>
      <c r="AD43" s="11">
        <f t="shared" si="35"/>
        <v>940326.9383495634</v>
      </c>
      <c r="AE43" s="11">
        <f t="shared" si="35"/>
        <v>990570.51221298869</v>
      </c>
      <c r="AF43" s="11">
        <f t="shared" si="35"/>
        <v>1120505.3164632486</v>
      </c>
      <c r="AG43" s="11">
        <f t="shared" si="35"/>
        <v>1439056.3838429335</v>
      </c>
      <c r="AH43" s="11">
        <f t="shared" si="35"/>
        <v>1628456.5095978547</v>
      </c>
      <c r="AI43" s="11">
        <f t="shared" si="35"/>
        <v>2212696.1958395075</v>
      </c>
      <c r="AJ43" s="11">
        <f t="shared" si="35"/>
        <v>2468483.2701272145</v>
      </c>
      <c r="AK43" s="11">
        <f t="shared" si="35"/>
        <v>2572629.7808305034</v>
      </c>
      <c r="AL43" s="11">
        <f t="shared" si="35"/>
        <v>3242179.2919353675</v>
      </c>
      <c r="AM43" s="11">
        <f t="shared" si="35"/>
        <v>3522553.5966155957</v>
      </c>
      <c r="AN43" s="11">
        <f t="shared" si="35"/>
        <v>3601814.2598057734</v>
      </c>
      <c r="AO43" s="50">
        <f t="shared" si="35"/>
        <v>4258280.9622554621</v>
      </c>
      <c r="AP43" s="11">
        <f t="shared" si="35"/>
        <v>4368649.5914928941</v>
      </c>
      <c r="AQ43" s="11">
        <f t="shared" si="35"/>
        <v>4923446.3637842014</v>
      </c>
      <c r="AR43" s="11">
        <f t="shared" si="35"/>
        <v>4904326.871976966</v>
      </c>
      <c r="AS43" s="11">
        <f t="shared" si="35"/>
        <v>5758028.0895542819</v>
      </c>
      <c r="AT43" s="11">
        <f t="shared" si="35"/>
        <v>5786075.1909481212</v>
      </c>
      <c r="AU43" s="11">
        <f t="shared" si="35"/>
        <v>3464213.684640266</v>
      </c>
      <c r="AV43" s="11">
        <f t="shared" si="35"/>
        <v>3914472.6615656056</v>
      </c>
      <c r="AW43" s="11">
        <f t="shared" si="35"/>
        <v>4111149.6274670679</v>
      </c>
      <c r="AX43" s="11">
        <f t="shared" si="35"/>
        <v>4282701.0100478809</v>
      </c>
      <c r="AY43" s="11">
        <f t="shared" si="35"/>
        <v>4482944.6899605468</v>
      </c>
      <c r="AZ43" s="11">
        <f t="shared" si="35"/>
        <v>5256704.0147450296</v>
      </c>
      <c r="BA43" s="41"/>
      <c r="BB43" s="11">
        <f>BB34</f>
        <v>922933.0700000003</v>
      </c>
      <c r="BC43" s="11">
        <f t="shared" ref="BC43:BC56" si="36">SUM(Q43:AB43)</f>
        <v>4203880.0075198123</v>
      </c>
      <c r="BD43" s="11">
        <f t="shared" ref="BD43:BD56" si="37">SUM(AC43:AN43)</f>
        <v>24587388.5367391</v>
      </c>
      <c r="BE43" s="11">
        <f t="shared" ref="BE43:BE56" si="38">SUM(AO43:AZ43)</f>
        <v>55510992.758438326</v>
      </c>
    </row>
    <row r="44" spans="1:57" ht="14.25" customHeight="1" outlineLevel="1" x14ac:dyDescent="0.25">
      <c r="A44" s="1"/>
      <c r="B44" s="1"/>
      <c r="C44" s="1"/>
      <c r="D44" s="22" t="s">
        <v>39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1">
        <f t="shared" ref="T44:V44" si="39">-T8</f>
        <v>-12010</v>
      </c>
      <c r="U44" s="11">
        <f t="shared" si="39"/>
        <v>-58305</v>
      </c>
      <c r="V44" s="11">
        <f t="shared" si="39"/>
        <v>-150685</v>
      </c>
      <c r="W44" s="11">
        <f>-Worksheet!M121</f>
        <v>-1012535.278266772</v>
      </c>
      <c r="X44" s="11">
        <f>-Worksheet!N121</f>
        <v>-1263146.6000000001</v>
      </c>
      <c r="Y44" s="11">
        <f>-Worksheet!O121</f>
        <v>-1537039.2</v>
      </c>
      <c r="Z44" s="11">
        <f>-Worksheet!P121</f>
        <v>-1593096.8</v>
      </c>
      <c r="AA44" s="11">
        <f>-Worksheet!Q121</f>
        <v>-1981583</v>
      </c>
      <c r="AB44" s="11">
        <f>-Worksheet!R121</f>
        <v>-2228080.7999999998</v>
      </c>
      <c r="AC44" s="50">
        <f>-Worksheet!S121</f>
        <v>-2656798.333333333</v>
      </c>
      <c r="AD44" s="11">
        <f>-Worksheet!T121</f>
        <v>-3078515.8666666667</v>
      </c>
      <c r="AE44" s="11">
        <f>-Worksheet!U121</f>
        <v>-3495233.6</v>
      </c>
      <c r="AF44" s="11">
        <f>-Worksheet!V121</f>
        <v>-3899951.5333333332</v>
      </c>
      <c r="AG44" s="11">
        <f>-Worksheet!W121</f>
        <v>-4297669.4666666668</v>
      </c>
      <c r="AH44" s="11">
        <f>-Worksheet!X121</f>
        <v>-4685387.8</v>
      </c>
      <c r="AI44" s="11">
        <f>-Worksheet!Y121</f>
        <v>-5891006.5333333332</v>
      </c>
      <c r="AJ44" s="11">
        <f>-Worksheet!Z121</f>
        <v>-6249725.4666666668</v>
      </c>
      <c r="AK44" s="11">
        <f>-Worksheet!AA121</f>
        <v>-6596444.5999999996</v>
      </c>
      <c r="AL44" s="11">
        <f>-Worksheet!AB121</f>
        <v>-7765251.4333333336</v>
      </c>
      <c r="AM44" s="11">
        <f>-Worksheet!AC121</f>
        <v>-8089158.666666666</v>
      </c>
      <c r="AN44" s="11">
        <f>-Worksheet!AD121</f>
        <v>-8403066.3000000007</v>
      </c>
      <c r="AO44" s="50">
        <f>-Worksheet!AE121</f>
        <v>-9559186.2333333343</v>
      </c>
      <c r="AP44" s="11">
        <f>-Worksheet!AF121</f>
        <v>-9864331.5666666683</v>
      </c>
      <c r="AQ44" s="11">
        <f>-Worksheet!AG121</f>
        <v>-10994377.300000001</v>
      </c>
      <c r="AR44" s="11">
        <f>-Worksheet!AH121</f>
        <v>-11280522.833333334</v>
      </c>
      <c r="AS44" s="11">
        <f>-Worksheet!AI121</f>
        <v>-12391568.766666668</v>
      </c>
      <c r="AT44" s="11">
        <f>-Worksheet!AJ121</f>
        <v>-12662714.9</v>
      </c>
      <c r="AU44" s="11">
        <f>-Worksheet!AK121</f>
        <v>-12926861.033333333</v>
      </c>
      <c r="AV44" s="11">
        <f>-Worksheet!AL121</f>
        <v>-16045419.866666667</v>
      </c>
      <c r="AW44" s="11">
        <f>-Worksheet!AM121</f>
        <v>-17135678.899999999</v>
      </c>
      <c r="AX44" s="11">
        <f>-Worksheet!AN121</f>
        <v>-17386038.133333333</v>
      </c>
      <c r="AY44" s="11">
        <f>-Worksheet!AO121</f>
        <v>-17629397.366666667</v>
      </c>
      <c r="AZ44" s="11">
        <f>-Worksheet!AP121</f>
        <v>-20723956.600000001</v>
      </c>
      <c r="BA44" s="41"/>
      <c r="BB44" s="11"/>
      <c r="BC44" s="11">
        <f t="shared" si="36"/>
        <v>-9836481.6782667711</v>
      </c>
      <c r="BD44" s="11">
        <f t="shared" si="37"/>
        <v>-65108209.600000009</v>
      </c>
      <c r="BE44" s="11">
        <f t="shared" si="38"/>
        <v>-168600053.5</v>
      </c>
    </row>
    <row r="45" spans="1:57" ht="14.25" customHeight="1" outlineLevel="1" x14ac:dyDescent="0.25">
      <c r="A45" s="1"/>
      <c r="B45" s="1"/>
      <c r="C45" s="1"/>
      <c r="D45" s="22" t="s">
        <v>40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>
        <f>Worksheet!M143</f>
        <v>512450.73847480334</v>
      </c>
      <c r="X45" s="11">
        <f>Worksheet!N143</f>
        <v>642295</v>
      </c>
      <c r="Y45" s="11">
        <f>Worksheet!O143</f>
        <v>775265</v>
      </c>
      <c r="Z45" s="11">
        <f>Worksheet!P143</f>
        <v>792840</v>
      </c>
      <c r="AA45" s="11">
        <f>Worksheet!Q143</f>
        <v>974540</v>
      </c>
      <c r="AB45" s="11">
        <f>Worksheet!R143</f>
        <v>1088115</v>
      </c>
      <c r="AC45" s="50">
        <f>Worksheet!S143</f>
        <v>1286440</v>
      </c>
      <c r="AD45" s="11">
        <f>Worksheet!T143</f>
        <v>1481765</v>
      </c>
      <c r="AE45" s="11">
        <f>Worksheet!U143</f>
        <v>1674890</v>
      </c>
      <c r="AF45" s="11">
        <f>Worksheet!V143</f>
        <v>1862815</v>
      </c>
      <c r="AG45" s="11">
        <f>Worksheet!W143</f>
        <v>2047740</v>
      </c>
      <c r="AH45" s="11">
        <f>Worksheet!X143</f>
        <v>2228265</v>
      </c>
      <c r="AI45" s="11">
        <f>Worksheet!Y143</f>
        <v>3127390</v>
      </c>
      <c r="AJ45" s="11">
        <f>Worksheet!Z143</f>
        <v>3295315</v>
      </c>
      <c r="AK45" s="11">
        <f>Worksheet!AA143</f>
        <v>3458040</v>
      </c>
      <c r="AL45" s="11">
        <f>Worksheet!AB143</f>
        <v>4342165</v>
      </c>
      <c r="AM45" s="11">
        <f>Worksheet!AC143</f>
        <v>4495890</v>
      </c>
      <c r="AN45" s="11">
        <f>Worksheet!AD143</f>
        <v>4645215</v>
      </c>
      <c r="AO45" s="50">
        <f>Worksheet!AE143</f>
        <v>5527315</v>
      </c>
      <c r="AP45" s="11">
        <f>Worksheet!AF143</f>
        <v>5674830</v>
      </c>
      <c r="AQ45" s="11">
        <f>Worksheet!AG143</f>
        <v>6543945</v>
      </c>
      <c r="AR45" s="11">
        <f>Worksheet!AH143</f>
        <v>6683260</v>
      </c>
      <c r="AS45" s="11">
        <f>Worksheet!AI143</f>
        <v>7544175</v>
      </c>
      <c r="AT45" s="11">
        <f>Worksheet!AJ143</f>
        <v>7676890</v>
      </c>
      <c r="AU45" s="11">
        <f>Worksheet!AK143</f>
        <v>7806605</v>
      </c>
      <c r="AV45" s="11">
        <f>Worksheet!AL143</f>
        <v>10315115</v>
      </c>
      <c r="AW45" s="11">
        <f>Worksheet!AM143</f>
        <v>11168425</v>
      </c>
      <c r="AX45" s="11">
        <f>Worksheet!AN143</f>
        <v>11293535</v>
      </c>
      <c r="AY45" s="11">
        <f>Worksheet!AO143</f>
        <v>11415645</v>
      </c>
      <c r="AZ45" s="11">
        <f>Worksheet!AP143</f>
        <v>13913755</v>
      </c>
      <c r="BA45" s="41"/>
      <c r="BB45" s="11">
        <v>24948</v>
      </c>
      <c r="BC45" s="11">
        <f t="shared" si="36"/>
        <v>4785505.738474803</v>
      </c>
      <c r="BD45" s="11">
        <f t="shared" si="37"/>
        <v>33945930</v>
      </c>
      <c r="BE45" s="11">
        <f t="shared" si="38"/>
        <v>105563495</v>
      </c>
    </row>
    <row r="46" spans="1:57" ht="14.25" customHeight="1" outlineLevel="1" x14ac:dyDescent="0.25">
      <c r="A46" s="1"/>
      <c r="B46" s="1"/>
      <c r="C46" s="1"/>
      <c r="D46" s="22" t="s">
        <v>41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-22412</v>
      </c>
      <c r="R46" s="11">
        <v>2113</v>
      </c>
      <c r="S46" s="11">
        <v>-39368</v>
      </c>
      <c r="T46" s="11">
        <v>3983</v>
      </c>
      <c r="U46" s="11">
        <v>345</v>
      </c>
      <c r="V46" s="11">
        <v>-1269</v>
      </c>
      <c r="W46" s="11">
        <f>Worksheet!M117</f>
        <v>25449.146373389434</v>
      </c>
      <c r="X46" s="11">
        <f>Worksheet!N117</f>
        <v>180381.6301313306</v>
      </c>
      <c r="Y46" s="11">
        <f>Worksheet!O117</f>
        <v>265921.54746671941</v>
      </c>
      <c r="Z46" s="11">
        <f>Worksheet!P117</f>
        <v>352096.70833333337</v>
      </c>
      <c r="AA46" s="11">
        <f>Worksheet!Q117</f>
        <v>378001.70833333337</v>
      </c>
      <c r="AB46" s="11">
        <f>Worksheet!R117</f>
        <v>223976.70833333337</v>
      </c>
      <c r="AC46" s="50">
        <f>Worksheet!S117</f>
        <v>292739.41666666669</v>
      </c>
      <c r="AD46" s="11">
        <f>Worksheet!T117</f>
        <v>270612.125</v>
      </c>
      <c r="AE46" s="11">
        <f>Worksheet!U117</f>
        <v>329702.05833333323</v>
      </c>
      <c r="AF46" s="11">
        <f>Worksheet!V117</f>
        <v>320632.09999999986</v>
      </c>
      <c r="AG46" s="11">
        <f>Worksheet!W117</f>
        <v>223431.43333333323</v>
      </c>
      <c r="AH46" s="11">
        <f>Worksheet!X117</f>
        <v>316590.90833333338</v>
      </c>
      <c r="AI46" s="11">
        <f>Worksheet!Y117</f>
        <v>419060.24999999983</v>
      </c>
      <c r="AJ46" s="11">
        <f>Worksheet!Z117</f>
        <v>704955.90733333316</v>
      </c>
      <c r="AK46" s="11">
        <f>Worksheet!AA117</f>
        <v>808538.47052999993</v>
      </c>
      <c r="AL46" s="11">
        <f>Worksheet!AB117</f>
        <v>1091605.0580807666</v>
      </c>
      <c r="AM46" s="11">
        <f>Worksheet!AC117</f>
        <v>1509116.9227716771</v>
      </c>
      <c r="AN46" s="11">
        <f>Worksheet!AD117</f>
        <v>1796949.3051651935</v>
      </c>
      <c r="AO46" s="50">
        <f>Worksheet!AE117</f>
        <v>2091946.3227630376</v>
      </c>
      <c r="AP46" s="11">
        <f>Worksheet!AF117</f>
        <v>2519869.265685657</v>
      </c>
      <c r="AQ46" s="11">
        <f>Worksheet!AG117</f>
        <v>2839299.1179503808</v>
      </c>
      <c r="AR46" s="11">
        <f>Worksheet!AH117</f>
        <v>3237683.3518126537</v>
      </c>
      <c r="AS46" s="11">
        <f>Worksheet!AI117</f>
        <v>3531312.1841977872</v>
      </c>
      <c r="AT46" s="11">
        <f>Worksheet!AJ117</f>
        <v>3922891.8525498617</v>
      </c>
      <c r="AU46" s="11">
        <f>Worksheet!AK117</f>
        <v>4192936.821474947</v>
      </c>
      <c r="AV46" s="11">
        <f>Worksheet!AL117</f>
        <v>4471271.8930024067</v>
      </c>
      <c r="AW46" s="11">
        <f>Worksheet!AM117</f>
        <v>5218309.9807711132</v>
      </c>
      <c r="AX46" s="11">
        <f>Worksheet!AN117</f>
        <v>5604240.90927146</v>
      </c>
      <c r="AY46" s="11">
        <f>Worksheet!AO117</f>
        <v>5879129.533497341</v>
      </c>
      <c r="AZ46" s="11">
        <f>Worksheet!AP117</f>
        <v>6148968.8086567689</v>
      </c>
      <c r="BA46" s="41"/>
      <c r="BB46" s="11"/>
      <c r="BC46" s="11">
        <f t="shared" si="36"/>
        <v>1369219.4489714396</v>
      </c>
      <c r="BD46" s="11">
        <f t="shared" si="37"/>
        <v>8083933.9555476364</v>
      </c>
      <c r="BE46" s="11">
        <f t="shared" si="38"/>
        <v>49657860.041633412</v>
      </c>
    </row>
    <row r="47" spans="1:57" ht="14.25" customHeight="1" outlineLevel="1" x14ac:dyDescent="0.25">
      <c r="A47" s="63">
        <v>0.25</v>
      </c>
      <c r="B47" s="1"/>
      <c r="C47" s="1"/>
      <c r="D47" s="22" t="s">
        <v>42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>Worksheet!G23*'Monthly Financial Reports'!$A47</f>
        <v>0</v>
      </c>
      <c r="R47" s="11">
        <f>Worksheet!H23*'Monthly Financial Reports'!$A47</f>
        <v>0</v>
      </c>
      <c r="S47" s="11">
        <f>Worksheet!I23*'Monthly Financial Reports'!$A47</f>
        <v>12004.354166666672</v>
      </c>
      <c r="T47" s="11">
        <f>Worksheet!J23*'Monthly Financial Reports'!$A47</f>
        <v>3477.65625</v>
      </c>
      <c r="U47" s="11">
        <f>Worksheet!K23*'Monthly Financial Reports'!$A47</f>
        <v>3220.0520833333285</v>
      </c>
      <c r="V47" s="11">
        <f>Worksheet!L23*'Monthly Financial Reports'!$A47</f>
        <v>3220.052083333343</v>
      </c>
      <c r="W47" s="11">
        <f>Worksheet!M23*'Monthly Financial Reports'!$A47</f>
        <v>23937.249999999989</v>
      </c>
      <c r="X47" s="11">
        <f>Worksheet!N23*'Monthly Financial Reports'!$A47</f>
        <v>1672.583333333343</v>
      </c>
      <c r="Y47" s="11">
        <f>Worksheet!O23*'Monthly Financial Reports'!$A47</f>
        <v>230</v>
      </c>
      <c r="Z47" s="11">
        <f>Worksheet!P23*'Monthly Financial Reports'!$A47</f>
        <v>1363.4583333333358</v>
      </c>
      <c r="AA47" s="11">
        <f>Worksheet!Q23*'Monthly Financial Reports'!$A47</f>
        <v>2730</v>
      </c>
      <c r="AB47" s="11">
        <f>Worksheet!R23*'Monthly Financial Reports'!$A47</f>
        <v>230</v>
      </c>
      <c r="AC47" s="50">
        <f>Worksheet!S23*'Monthly Financial Reports'!$A47</f>
        <v>76584.562499999971</v>
      </c>
      <c r="AD47" s="11">
        <f>Worksheet!T23*'Monthly Financial Reports'!$A47</f>
        <v>21187.916666666628</v>
      </c>
      <c r="AE47" s="11">
        <f>Worksheet!U23*'Monthly Financial Reports'!$A47</f>
        <v>38104.427083333372</v>
      </c>
      <c r="AF47" s="11">
        <f>Worksheet!V23*'Monthly Financial Reports'!$A47</f>
        <v>56903.541666666657</v>
      </c>
      <c r="AG47" s="11">
        <f>Worksheet!W23*'Monthly Financial Reports'!$A47</f>
        <v>-52759.166666666686</v>
      </c>
      <c r="AH47" s="11">
        <f>Worksheet!X23*'Monthly Financial Reports'!$A47</f>
        <v>-4888.28125</v>
      </c>
      <c r="AI47" s="11">
        <f>Worksheet!Y23*'Monthly Financial Reports'!$A47</f>
        <v>22135.312500000058</v>
      </c>
      <c r="AJ47" s="11">
        <f>Worksheet!Z23*'Monthly Financial Reports'!$A47</f>
        <v>-4531.3541666666861</v>
      </c>
      <c r="AK47" s="11">
        <f>Worksheet!AA23*'Monthly Financial Reports'!$A47</f>
        <v>-5138.125</v>
      </c>
      <c r="AL47" s="11">
        <f>Worksheet!AB23*'Monthly Financial Reports'!$A47</f>
        <v>7195.0520833333139</v>
      </c>
      <c r="AM47" s="11">
        <f>Worksheet!AC23*'Monthly Financial Reports'!$A47</f>
        <v>-17275</v>
      </c>
      <c r="AN47" s="11">
        <f>Worksheet!AD23*'Monthly Financial Reports'!$A47</f>
        <v>14809.114583333314</v>
      </c>
      <c r="AO47" s="50">
        <f>Worksheet!AE23*'Monthly Financial Reports'!$A47</f>
        <v>7923.6458333333139</v>
      </c>
      <c r="AP47" s="11">
        <f>Worksheet!AF23*'Monthly Financial Reports'!$A47</f>
        <v>20945.05208333343</v>
      </c>
      <c r="AQ47" s="11">
        <f>Worksheet!AG23*'Monthly Financial Reports'!$A47</f>
        <v>-9775</v>
      </c>
      <c r="AR47" s="11">
        <f>Worksheet!AH23*'Monthly Financial Reports'!$A47</f>
        <v>88445.052083333256</v>
      </c>
      <c r="AS47" s="11">
        <f>Worksheet!AI23*'Monthly Financial Reports'!$A47</f>
        <v>-90858.177083333314</v>
      </c>
      <c r="AT47" s="11">
        <f>Worksheet!AJ23*'Monthly Financial Reports'!$A47</f>
        <v>32309.114583333314</v>
      </c>
      <c r="AU47" s="11">
        <f>Worksheet!AK23*'Monthly Financial Reports'!$A47</f>
        <v>-22842.968749999942</v>
      </c>
      <c r="AV47" s="11">
        <f>Worksheet!AL23*'Monthly Financial Reports'!$A47</f>
        <v>20301.041666666628</v>
      </c>
      <c r="AW47" s="11">
        <f>Worksheet!AM23*'Monthly Financial Reports'!$A47</f>
        <v>-5910.9375</v>
      </c>
      <c r="AX47" s="11">
        <f>Worksheet!AN23*'Monthly Financial Reports'!$A47</f>
        <v>15763.489583333314</v>
      </c>
      <c r="AY47" s="11">
        <f>Worksheet!AO23*'Monthly Financial Reports'!$A47</f>
        <v>-13926.145833333372</v>
      </c>
      <c r="AZ47" s="11">
        <f>Worksheet!AP23*'Monthly Financial Reports'!$A47</f>
        <v>10301.041666666628</v>
      </c>
      <c r="BA47" s="41"/>
      <c r="BB47" s="11"/>
      <c r="BC47" s="11">
        <f t="shared" si="36"/>
        <v>52085.406250000007</v>
      </c>
      <c r="BD47" s="11">
        <f t="shared" si="37"/>
        <v>152327.99999999994</v>
      </c>
      <c r="BE47" s="11">
        <f t="shared" si="38"/>
        <v>52675.208333333256</v>
      </c>
    </row>
    <row r="48" spans="1:57" ht="14.25" customHeight="1" outlineLevel="1" x14ac:dyDescent="0.25">
      <c r="A48" s="1"/>
      <c r="B48" s="1"/>
      <c r="C48" s="1"/>
      <c r="D48" s="22" t="s">
        <v>32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f t="shared" ref="W48:AZ48" si="40">W30</f>
        <v>93490.047233333331</v>
      </c>
      <c r="X48" s="11">
        <f t="shared" si="40"/>
        <v>153379.56690000003</v>
      </c>
      <c r="Y48" s="11">
        <f t="shared" si="40"/>
        <v>217648.24129999999</v>
      </c>
      <c r="Z48" s="11">
        <f t="shared" si="40"/>
        <v>223725.61586666672</v>
      </c>
      <c r="AA48" s="11">
        <f t="shared" si="40"/>
        <v>287350.82507813425</v>
      </c>
      <c r="AB48" s="11">
        <f t="shared" si="40"/>
        <v>320860.3495161052</v>
      </c>
      <c r="AC48" s="50">
        <f t="shared" si="40"/>
        <v>296999.41782686114</v>
      </c>
      <c r="AD48" s="11">
        <f t="shared" si="40"/>
        <v>329229.52366064367</v>
      </c>
      <c r="AE48" s="11">
        <f t="shared" si="40"/>
        <v>346791.04273031588</v>
      </c>
      <c r="AF48" s="11">
        <f t="shared" si="40"/>
        <v>392206.85150334868</v>
      </c>
      <c r="AG48" s="11">
        <f t="shared" si="40"/>
        <v>503549.26236885262</v>
      </c>
      <c r="AH48" s="11">
        <f t="shared" si="40"/>
        <v>569749.84613474272</v>
      </c>
      <c r="AI48" s="11">
        <f t="shared" si="40"/>
        <v>773957.77965240553</v>
      </c>
      <c r="AJ48" s="11">
        <f t="shared" si="40"/>
        <v>863362.43854648934</v>
      </c>
      <c r="AK48" s="11">
        <f t="shared" si="40"/>
        <v>899764.52528353618</v>
      </c>
      <c r="AL48" s="11">
        <f t="shared" si="40"/>
        <v>1133790.6027142515</v>
      </c>
      <c r="AM48" s="11">
        <f t="shared" si="40"/>
        <v>1231789.1788440477</v>
      </c>
      <c r="AN48" s="11">
        <f t="shared" si="40"/>
        <v>1259492.9734003984</v>
      </c>
      <c r="AO48" s="50">
        <f t="shared" si="40"/>
        <v>1488946.2472660793</v>
      </c>
      <c r="AP48" s="11">
        <f t="shared" si="40"/>
        <v>1527523.1365676916</v>
      </c>
      <c r="AQ48" s="11">
        <f t="shared" si="40"/>
        <v>1721439.9571121568</v>
      </c>
      <c r="AR48" s="11">
        <f t="shared" si="40"/>
        <v>1714757.165778724</v>
      </c>
      <c r="AS48" s="11">
        <f t="shared" si="40"/>
        <v>2013149.3592369219</v>
      </c>
      <c r="AT48" s="11">
        <f t="shared" si="40"/>
        <v>2022952.5971060237</v>
      </c>
      <c r="AU48" s="11">
        <f t="shared" si="40"/>
        <v>1211397.7656165033</v>
      </c>
      <c r="AV48" s="11">
        <f t="shared" si="40"/>
        <v>1368775.734609301</v>
      </c>
      <c r="AW48" s="11">
        <f t="shared" si="40"/>
        <v>1437519.7753224976</v>
      </c>
      <c r="AX48" s="11">
        <f t="shared" si="40"/>
        <v>1497481.7295578963</v>
      </c>
      <c r="AY48" s="11">
        <f t="shared" si="40"/>
        <v>1567472.435492283</v>
      </c>
      <c r="AZ48" s="11">
        <f t="shared" si="40"/>
        <v>1837922.7258015692</v>
      </c>
      <c r="BA48" s="41"/>
      <c r="BB48" s="11"/>
      <c r="BC48" s="11">
        <f t="shared" si="36"/>
        <v>1296454.6458942394</v>
      </c>
      <c r="BD48" s="11">
        <f t="shared" si="37"/>
        <v>8600683.4426658936</v>
      </c>
      <c r="BE48" s="11">
        <f t="shared" si="38"/>
        <v>19409338.629467648</v>
      </c>
    </row>
    <row r="49" spans="1:57" ht="14.25" customHeight="1" outlineLevel="1" x14ac:dyDescent="0.25">
      <c r="A49" s="1"/>
      <c r="B49" s="1"/>
      <c r="C49" s="1"/>
      <c r="D49" s="22" t="s">
        <v>43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50"/>
      <c r="AD49" s="11"/>
      <c r="AE49" s="11"/>
      <c r="AF49" s="11">
        <f>-SUM(Q48:AB48)</f>
        <v>-1296454.6458942394</v>
      </c>
      <c r="AG49" s="11"/>
      <c r="AH49" s="11"/>
      <c r="AI49" s="11"/>
      <c r="AJ49" s="11"/>
      <c r="AK49" s="11"/>
      <c r="AL49" s="11"/>
      <c r="AM49" s="11"/>
      <c r="AN49" s="11"/>
      <c r="AO49" s="50"/>
      <c r="AP49" s="11"/>
      <c r="AQ49" s="11"/>
      <c r="AR49" s="11">
        <f>-SUM(AC48:AN48)</f>
        <v>-8600683.4426658936</v>
      </c>
      <c r="AS49" s="11"/>
      <c r="AT49" s="11"/>
      <c r="AU49" s="11"/>
      <c r="AV49" s="11"/>
      <c r="AW49" s="11"/>
      <c r="AX49" s="11"/>
      <c r="AY49" s="11"/>
      <c r="AZ49" s="11"/>
      <c r="BA49" s="41"/>
      <c r="BB49" s="11"/>
      <c r="BC49" s="11">
        <f t="shared" si="36"/>
        <v>0</v>
      </c>
      <c r="BD49" s="11">
        <f t="shared" si="37"/>
        <v>-1296454.6458942394</v>
      </c>
      <c r="BE49" s="11">
        <f t="shared" si="38"/>
        <v>-8600683.4426658936</v>
      </c>
    </row>
    <row r="50" spans="1:57" ht="14.25" customHeight="1" outlineLevel="1" x14ac:dyDescent="0.25">
      <c r="A50" s="1"/>
      <c r="B50" s="1"/>
      <c r="C50" s="1"/>
      <c r="D50" s="22" t="s">
        <v>31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ref="Q50:AZ50" si="41">-Q29</f>
        <v>-750</v>
      </c>
      <c r="R50" s="11">
        <f t="shared" si="41"/>
        <v>-750</v>
      </c>
      <c r="S50" s="11">
        <f t="shared" si="41"/>
        <v>-750</v>
      </c>
      <c r="T50" s="11">
        <f t="shared" si="41"/>
        <v>-750</v>
      </c>
      <c r="U50" s="11">
        <f t="shared" si="41"/>
        <v>-750</v>
      </c>
      <c r="V50" s="11">
        <f t="shared" si="41"/>
        <v>-750</v>
      </c>
      <c r="W50" s="11">
        <f t="shared" si="41"/>
        <v>-750</v>
      </c>
      <c r="X50" s="11">
        <f t="shared" si="41"/>
        <v>-748</v>
      </c>
      <c r="Y50" s="11">
        <f t="shared" si="41"/>
        <v>-746</v>
      </c>
      <c r="Z50" s="11">
        <f t="shared" si="41"/>
        <v>-744</v>
      </c>
      <c r="AA50" s="11">
        <f t="shared" si="41"/>
        <v>-742</v>
      </c>
      <c r="AB50" s="11">
        <f t="shared" si="41"/>
        <v>-740</v>
      </c>
      <c r="AC50" s="50">
        <f t="shared" si="41"/>
        <v>-738</v>
      </c>
      <c r="AD50" s="11">
        <f t="shared" si="41"/>
        <v>-736</v>
      </c>
      <c r="AE50" s="11">
        <f t="shared" si="41"/>
        <v>-734</v>
      </c>
      <c r="AF50" s="11">
        <f t="shared" si="41"/>
        <v>-732</v>
      </c>
      <c r="AG50" s="11">
        <f t="shared" si="41"/>
        <v>-730</v>
      </c>
      <c r="AH50" s="11">
        <f t="shared" si="41"/>
        <v>-728</v>
      </c>
      <c r="AI50" s="11">
        <f t="shared" si="41"/>
        <v>-726</v>
      </c>
      <c r="AJ50" s="11">
        <f t="shared" si="41"/>
        <v>-724</v>
      </c>
      <c r="AK50" s="11">
        <f t="shared" si="41"/>
        <v>-722</v>
      </c>
      <c r="AL50" s="11">
        <f t="shared" si="41"/>
        <v>-720</v>
      </c>
      <c r="AM50" s="11">
        <f t="shared" si="41"/>
        <v>-718</v>
      </c>
      <c r="AN50" s="11">
        <f t="shared" si="41"/>
        <v>-716</v>
      </c>
      <c r="AO50" s="50">
        <f t="shared" si="41"/>
        <v>-714</v>
      </c>
      <c r="AP50" s="11">
        <f t="shared" si="41"/>
        <v>-712</v>
      </c>
      <c r="AQ50" s="11">
        <f t="shared" si="41"/>
        <v>-710</v>
      </c>
      <c r="AR50" s="11">
        <f t="shared" si="41"/>
        <v>-708</v>
      </c>
      <c r="AS50" s="11">
        <f t="shared" si="41"/>
        <v>-706</v>
      </c>
      <c r="AT50" s="11">
        <f t="shared" si="41"/>
        <v>-704</v>
      </c>
      <c r="AU50" s="11">
        <f t="shared" si="41"/>
        <v>-702</v>
      </c>
      <c r="AV50" s="11">
        <f t="shared" si="41"/>
        <v>-700</v>
      </c>
      <c r="AW50" s="11">
        <f t="shared" si="41"/>
        <v>-698</v>
      </c>
      <c r="AX50" s="11">
        <f t="shared" si="41"/>
        <v>-696</v>
      </c>
      <c r="AY50" s="11">
        <f t="shared" si="41"/>
        <v>-694</v>
      </c>
      <c r="AZ50" s="11">
        <f t="shared" si="41"/>
        <v>-692</v>
      </c>
      <c r="BA50" s="41"/>
      <c r="BB50" s="11"/>
      <c r="BC50" s="11">
        <f t="shared" si="36"/>
        <v>-8970</v>
      </c>
      <c r="BD50" s="11">
        <f t="shared" si="37"/>
        <v>-8724</v>
      </c>
      <c r="BE50" s="11">
        <f t="shared" si="38"/>
        <v>-8436</v>
      </c>
    </row>
    <row r="51" spans="1:57" ht="14.25" customHeight="1" outlineLevel="1" x14ac:dyDescent="0.25">
      <c r="A51" s="1"/>
      <c r="B51" s="1"/>
      <c r="C51" s="1"/>
      <c r="D51" s="22" t="s">
        <v>33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ref="Q51:AZ51" si="42">Q31</f>
        <v>100</v>
      </c>
      <c r="R51" s="11">
        <f t="shared" si="42"/>
        <v>100</v>
      </c>
      <c r="S51" s="11">
        <f t="shared" si="42"/>
        <v>100</v>
      </c>
      <c r="T51" s="11">
        <f t="shared" si="42"/>
        <v>100</v>
      </c>
      <c r="U51" s="11">
        <f t="shared" si="42"/>
        <v>100</v>
      </c>
      <c r="V51" s="11">
        <f t="shared" si="42"/>
        <v>100</v>
      </c>
      <c r="W51" s="11">
        <f t="shared" si="42"/>
        <v>100</v>
      </c>
      <c r="X51" s="11">
        <f t="shared" si="42"/>
        <v>100</v>
      </c>
      <c r="Y51" s="11">
        <f t="shared" si="42"/>
        <v>100</v>
      </c>
      <c r="Z51" s="11">
        <f t="shared" si="42"/>
        <v>100</v>
      </c>
      <c r="AA51" s="11">
        <f t="shared" si="42"/>
        <v>100</v>
      </c>
      <c r="AB51" s="11">
        <f t="shared" si="42"/>
        <v>100</v>
      </c>
      <c r="AC51" s="50">
        <f t="shared" si="42"/>
        <v>100</v>
      </c>
      <c r="AD51" s="11">
        <f t="shared" si="42"/>
        <v>100</v>
      </c>
      <c r="AE51" s="11">
        <f t="shared" si="42"/>
        <v>100</v>
      </c>
      <c r="AF51" s="11">
        <f t="shared" si="42"/>
        <v>100</v>
      </c>
      <c r="AG51" s="11">
        <f t="shared" si="42"/>
        <v>100</v>
      </c>
      <c r="AH51" s="11">
        <f t="shared" si="42"/>
        <v>100</v>
      </c>
      <c r="AI51" s="11">
        <f t="shared" si="42"/>
        <v>100</v>
      </c>
      <c r="AJ51" s="11">
        <f t="shared" si="42"/>
        <v>100</v>
      </c>
      <c r="AK51" s="11">
        <f t="shared" si="42"/>
        <v>100</v>
      </c>
      <c r="AL51" s="11">
        <f t="shared" si="42"/>
        <v>100</v>
      </c>
      <c r="AM51" s="11">
        <f t="shared" si="42"/>
        <v>100</v>
      </c>
      <c r="AN51" s="11">
        <f t="shared" si="42"/>
        <v>100</v>
      </c>
      <c r="AO51" s="50">
        <f t="shared" si="42"/>
        <v>100</v>
      </c>
      <c r="AP51" s="11">
        <f t="shared" si="42"/>
        <v>100</v>
      </c>
      <c r="AQ51" s="11">
        <f t="shared" si="42"/>
        <v>100</v>
      </c>
      <c r="AR51" s="11">
        <f t="shared" si="42"/>
        <v>100</v>
      </c>
      <c r="AS51" s="11">
        <f t="shared" si="42"/>
        <v>100</v>
      </c>
      <c r="AT51" s="11">
        <f t="shared" si="42"/>
        <v>100</v>
      </c>
      <c r="AU51" s="11">
        <f t="shared" si="42"/>
        <v>100</v>
      </c>
      <c r="AV51" s="11">
        <f t="shared" si="42"/>
        <v>100</v>
      </c>
      <c r="AW51" s="11">
        <f t="shared" si="42"/>
        <v>100</v>
      </c>
      <c r="AX51" s="11">
        <f t="shared" si="42"/>
        <v>100</v>
      </c>
      <c r="AY51" s="11">
        <f t="shared" si="42"/>
        <v>100</v>
      </c>
      <c r="AZ51" s="11">
        <f t="shared" si="42"/>
        <v>100</v>
      </c>
      <c r="BA51" s="41"/>
      <c r="BB51" s="11">
        <f t="shared" ref="BB51:BB52" si="43">BB31</f>
        <v>1200</v>
      </c>
      <c r="BC51" s="11">
        <f t="shared" si="36"/>
        <v>1200</v>
      </c>
      <c r="BD51" s="11">
        <f t="shared" si="37"/>
        <v>1200</v>
      </c>
      <c r="BE51" s="11">
        <f t="shared" si="38"/>
        <v>1200</v>
      </c>
    </row>
    <row r="52" spans="1:57" ht="14.25" customHeight="1" outlineLevel="1" x14ac:dyDescent="0.25">
      <c r="A52" s="1"/>
      <c r="B52" s="1"/>
      <c r="C52" s="1"/>
      <c r="D52" s="22" t="s">
        <v>34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ref="Q52:AZ52" si="44">Q32</f>
        <v>750</v>
      </c>
      <c r="R52" s="11">
        <f t="shared" si="44"/>
        <v>750</v>
      </c>
      <c r="S52" s="11">
        <f t="shared" si="44"/>
        <v>750</v>
      </c>
      <c r="T52" s="11">
        <f t="shared" si="44"/>
        <v>750</v>
      </c>
      <c r="U52" s="11">
        <f t="shared" si="44"/>
        <v>750</v>
      </c>
      <c r="V52" s="11">
        <f t="shared" si="44"/>
        <v>750</v>
      </c>
      <c r="W52" s="11">
        <f t="shared" si="44"/>
        <v>750</v>
      </c>
      <c r="X52" s="11">
        <f t="shared" si="44"/>
        <v>752</v>
      </c>
      <c r="Y52" s="11">
        <f t="shared" si="44"/>
        <v>754</v>
      </c>
      <c r="Z52" s="11">
        <f t="shared" si="44"/>
        <v>756</v>
      </c>
      <c r="AA52" s="11">
        <f t="shared" si="44"/>
        <v>758</v>
      </c>
      <c r="AB52" s="11">
        <f t="shared" si="44"/>
        <v>760</v>
      </c>
      <c r="AC52" s="50">
        <f t="shared" si="44"/>
        <v>762</v>
      </c>
      <c r="AD52" s="11">
        <f t="shared" si="44"/>
        <v>764</v>
      </c>
      <c r="AE52" s="11">
        <f t="shared" si="44"/>
        <v>766</v>
      </c>
      <c r="AF52" s="11">
        <f t="shared" si="44"/>
        <v>768</v>
      </c>
      <c r="AG52" s="11">
        <f t="shared" si="44"/>
        <v>770</v>
      </c>
      <c r="AH52" s="11">
        <f t="shared" si="44"/>
        <v>772</v>
      </c>
      <c r="AI52" s="11">
        <f t="shared" si="44"/>
        <v>774</v>
      </c>
      <c r="AJ52" s="11">
        <f t="shared" si="44"/>
        <v>776</v>
      </c>
      <c r="AK52" s="11">
        <f t="shared" si="44"/>
        <v>778</v>
      </c>
      <c r="AL52" s="11">
        <f t="shared" si="44"/>
        <v>780</v>
      </c>
      <c r="AM52" s="11">
        <f t="shared" si="44"/>
        <v>782</v>
      </c>
      <c r="AN52" s="11">
        <f t="shared" si="44"/>
        <v>784</v>
      </c>
      <c r="AO52" s="50">
        <f t="shared" si="44"/>
        <v>786</v>
      </c>
      <c r="AP52" s="11">
        <f t="shared" si="44"/>
        <v>788</v>
      </c>
      <c r="AQ52" s="11">
        <f t="shared" si="44"/>
        <v>790</v>
      </c>
      <c r="AR52" s="11">
        <f t="shared" si="44"/>
        <v>792</v>
      </c>
      <c r="AS52" s="11">
        <f t="shared" si="44"/>
        <v>794</v>
      </c>
      <c r="AT52" s="11">
        <f t="shared" si="44"/>
        <v>796</v>
      </c>
      <c r="AU52" s="11">
        <f t="shared" si="44"/>
        <v>798</v>
      </c>
      <c r="AV52" s="11">
        <f t="shared" si="44"/>
        <v>800</v>
      </c>
      <c r="AW52" s="11">
        <f t="shared" si="44"/>
        <v>802</v>
      </c>
      <c r="AX52" s="11">
        <f t="shared" si="44"/>
        <v>804</v>
      </c>
      <c r="AY52" s="11">
        <f t="shared" si="44"/>
        <v>806</v>
      </c>
      <c r="AZ52" s="11">
        <f t="shared" si="44"/>
        <v>808</v>
      </c>
      <c r="BA52" s="41"/>
      <c r="BB52" s="11">
        <f t="shared" si="43"/>
        <v>9000</v>
      </c>
      <c r="BC52" s="11">
        <f t="shared" si="36"/>
        <v>9030</v>
      </c>
      <c r="BD52" s="11">
        <f t="shared" si="37"/>
        <v>9276</v>
      </c>
      <c r="BE52" s="11">
        <f t="shared" si="38"/>
        <v>9564</v>
      </c>
    </row>
    <row r="53" spans="1:57" ht="14.25" customHeight="1" outlineLevel="1" x14ac:dyDescent="0.25">
      <c r="A53" s="1"/>
      <c r="B53" s="1"/>
      <c r="C53" s="1"/>
      <c r="D53" s="22" t="s">
        <v>44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f>82466-74030</f>
        <v>8436</v>
      </c>
      <c r="R53" s="11">
        <f t="shared" ref="R53:V53" si="45">R72-Q72</f>
        <v>12372</v>
      </c>
      <c r="S53" s="11">
        <f t="shared" si="45"/>
        <v>38526</v>
      </c>
      <c r="T53" s="11">
        <f t="shared" si="45"/>
        <v>-39613</v>
      </c>
      <c r="U53" s="11">
        <f t="shared" si="45"/>
        <v>-24952</v>
      </c>
      <c r="V53" s="11">
        <f t="shared" si="45"/>
        <v>4894</v>
      </c>
      <c r="W53" s="11">
        <v>15000</v>
      </c>
      <c r="X53" s="11">
        <v>-18000</v>
      </c>
      <c r="Y53" s="11"/>
      <c r="Z53" s="11">
        <v>0</v>
      </c>
      <c r="AA53" s="11"/>
      <c r="AB53" s="11"/>
      <c r="AC53" s="50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50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41"/>
      <c r="BB53" s="11"/>
      <c r="BC53" s="11">
        <f t="shared" si="36"/>
        <v>-3337</v>
      </c>
      <c r="BD53" s="11">
        <f t="shared" si="37"/>
        <v>0</v>
      </c>
      <c r="BE53" s="11">
        <f t="shared" si="38"/>
        <v>0</v>
      </c>
    </row>
    <row r="54" spans="1:57" ht="14.25" customHeight="1" outlineLevel="1" x14ac:dyDescent="0.25">
      <c r="A54" s="1"/>
      <c r="B54" s="1"/>
      <c r="C54" s="1"/>
      <c r="D54" s="22" t="s">
        <v>45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v>-2854</v>
      </c>
      <c r="R54" s="11">
        <v>-1411</v>
      </c>
      <c r="S54" s="11">
        <v>-6767</v>
      </c>
      <c r="T54" s="11">
        <f>-3708-450000</f>
        <v>-453708</v>
      </c>
      <c r="U54" s="11">
        <v>-3336</v>
      </c>
      <c r="V54" s="11">
        <v>-13259</v>
      </c>
      <c r="W54" s="11">
        <v>-10670</v>
      </c>
      <c r="X54" s="11">
        <v>-1220</v>
      </c>
      <c r="Y54" s="11">
        <f>-Staffing!S4</f>
        <v>0</v>
      </c>
      <c r="Z54" s="11">
        <f>-Staffing!T4</f>
        <v>0</v>
      </c>
      <c r="AA54" s="11">
        <f>-Staffing!U4</f>
        <v>0</v>
      </c>
      <c r="AB54" s="11">
        <f>-Staffing!V4</f>
        <v>0</v>
      </c>
      <c r="AC54" s="50">
        <f>-Staffing!W4</f>
        <v>-15000</v>
      </c>
      <c r="AD54" s="11">
        <f>-Staffing!X4</f>
        <v>-15000</v>
      </c>
      <c r="AE54" s="11">
        <f>-Staffing!Y4</f>
        <v>-15000</v>
      </c>
      <c r="AF54" s="11">
        <f>-Staffing!Z4</f>
        <v>-15000</v>
      </c>
      <c r="AG54" s="11">
        <f>-Staffing!AA4</f>
        <v>-15000</v>
      </c>
      <c r="AH54" s="11">
        <f>-Staffing!AB4</f>
        <v>-15000</v>
      </c>
      <c r="AI54" s="11">
        <f>-Staffing!AC4</f>
        <v>-15000</v>
      </c>
      <c r="AJ54" s="11">
        <f>-Staffing!AD4</f>
        <v>-15000</v>
      </c>
      <c r="AK54" s="11">
        <f>-Staffing!AE4</f>
        <v>-15000</v>
      </c>
      <c r="AL54" s="11">
        <f>-Staffing!AF4</f>
        <v>-15000</v>
      </c>
      <c r="AM54" s="11">
        <f>-Staffing!AG4</f>
        <v>-15000</v>
      </c>
      <c r="AN54" s="11">
        <f>-Staffing!AH4</f>
        <v>-15000</v>
      </c>
      <c r="AO54" s="50">
        <f>-Staffing!AI4</f>
        <v>-15000</v>
      </c>
      <c r="AP54" s="11">
        <f>-Staffing!AJ4</f>
        <v>-15000</v>
      </c>
      <c r="AQ54" s="11">
        <f>-Staffing!AK4</f>
        <v>-15000</v>
      </c>
      <c r="AR54" s="11">
        <f>-Staffing!AL4</f>
        <v>-15000</v>
      </c>
      <c r="AS54" s="11">
        <f>-Staffing!AM4</f>
        <v>-15000</v>
      </c>
      <c r="AT54" s="11">
        <f>-Staffing!AN4</f>
        <v>-15000</v>
      </c>
      <c r="AU54" s="11">
        <f>-Staffing!AO4</f>
        <v>-15000</v>
      </c>
      <c r="AV54" s="11">
        <f>-Staffing!AP4</f>
        <v>-15000</v>
      </c>
      <c r="AW54" s="11">
        <f>-Staffing!AQ4</f>
        <v>-15000</v>
      </c>
      <c r="AX54" s="11">
        <f>-Staffing!AR4</f>
        <v>-15000</v>
      </c>
      <c r="AY54" s="11">
        <f>-Staffing!AS4</f>
        <v>-15000</v>
      </c>
      <c r="AZ54" s="11">
        <f>-Staffing!AT4</f>
        <v>-15000</v>
      </c>
      <c r="BA54" s="41"/>
      <c r="BB54" s="11"/>
      <c r="BC54" s="11">
        <f t="shared" si="36"/>
        <v>-493225</v>
      </c>
      <c r="BD54" s="11">
        <f t="shared" si="37"/>
        <v>-180000</v>
      </c>
      <c r="BE54" s="11">
        <f t="shared" si="38"/>
        <v>-180000</v>
      </c>
    </row>
    <row r="55" spans="1:57" ht="14.25" customHeight="1" outlineLevel="1" x14ac:dyDescent="0.25">
      <c r="A55" s="1"/>
      <c r="B55" s="1"/>
      <c r="C55" s="1"/>
      <c r="D55" s="22" t="s">
        <v>46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64"/>
      <c r="AA55" s="64"/>
      <c r="AB55" s="64"/>
      <c r="AC55" s="50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50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41"/>
      <c r="BB55" s="11"/>
      <c r="BC55" s="11">
        <f t="shared" si="36"/>
        <v>0</v>
      </c>
      <c r="BD55" s="11">
        <f t="shared" si="37"/>
        <v>0</v>
      </c>
      <c r="BE55" s="11">
        <f t="shared" si="38"/>
        <v>0</v>
      </c>
    </row>
    <row r="56" spans="1:57" ht="14.25" customHeight="1" outlineLevel="1" x14ac:dyDescent="0.25">
      <c r="A56" s="1"/>
      <c r="B56" s="1"/>
      <c r="C56" s="1"/>
      <c r="D56" s="22" t="s">
        <v>47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>
        <v>-30000</v>
      </c>
      <c r="U56" s="11"/>
      <c r="V56" s="11"/>
      <c r="W56" s="11"/>
      <c r="X56" s="11"/>
      <c r="Y56" s="11"/>
      <c r="Z56" s="11"/>
      <c r="AA56" s="11"/>
      <c r="AB56" s="11"/>
      <c r="AC56" s="50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50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41"/>
      <c r="BB56" s="11"/>
      <c r="BC56" s="11">
        <f t="shared" si="36"/>
        <v>-30000</v>
      </c>
      <c r="BD56" s="11">
        <f t="shared" si="37"/>
        <v>0</v>
      </c>
      <c r="BE56" s="11">
        <f t="shared" si="38"/>
        <v>0</v>
      </c>
    </row>
    <row r="57" spans="1:57" ht="14.25" customHeight="1" outlineLevel="1" x14ac:dyDescent="0.25">
      <c r="A57" s="1"/>
      <c r="B57" s="1"/>
      <c r="C57" s="1"/>
      <c r="D57" s="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50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50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41"/>
      <c r="BB57" s="1"/>
      <c r="BC57" s="1"/>
      <c r="BD57" s="1"/>
      <c r="BE57" s="1"/>
    </row>
    <row r="58" spans="1:57" ht="14.25" customHeight="1" outlineLevel="1" x14ac:dyDescent="0.25">
      <c r="A58" s="46"/>
      <c r="B58" s="46"/>
      <c r="C58" s="30" t="s">
        <v>48</v>
      </c>
      <c r="D58" s="3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f t="shared" ref="Q58:AZ58" si="46">SUM(Q41:Q57)</f>
        <v>1337303.1200000001</v>
      </c>
      <c r="R58" s="7">
        <f t="shared" si="46"/>
        <v>1111183.3799999999</v>
      </c>
      <c r="S58" s="7">
        <f t="shared" si="46"/>
        <v>1210604.0741666665</v>
      </c>
      <c r="T58" s="7">
        <f t="shared" si="46"/>
        <v>615697.93041666644</v>
      </c>
      <c r="U58" s="7">
        <f t="shared" si="46"/>
        <v>985758.14249999973</v>
      </c>
      <c r="V58" s="7">
        <f t="shared" si="46"/>
        <v>994792.37458333315</v>
      </c>
      <c r="W58" s="7">
        <f t="shared" si="46"/>
        <v>907889.66449808714</v>
      </c>
      <c r="X58" s="7">
        <f t="shared" si="46"/>
        <v>1040575.3779627511</v>
      </c>
      <c r="Y58" s="7">
        <f t="shared" si="46"/>
        <v>1383801.4254294704</v>
      </c>
      <c r="Z58" s="7">
        <f t="shared" si="46"/>
        <v>1799322.2587628036</v>
      </c>
      <c r="AA58" s="7">
        <f t="shared" si="46"/>
        <v>2280989.6121854587</v>
      </c>
      <c r="AB58" s="47">
        <f t="shared" si="46"/>
        <v>2602593.568843523</v>
      </c>
      <c r="AC58" s="6">
        <f t="shared" si="46"/>
        <v>2731799.1136222663</v>
      </c>
      <c r="AD58" s="7">
        <f t="shared" si="46"/>
        <v>2681532.7506324728</v>
      </c>
      <c r="AE58" s="7">
        <f t="shared" si="46"/>
        <v>2551489.1909924438</v>
      </c>
      <c r="AF58" s="7">
        <f t="shared" si="46"/>
        <v>1093281.8213981355</v>
      </c>
      <c r="AG58" s="7">
        <f t="shared" si="46"/>
        <v>941770.26760992152</v>
      </c>
      <c r="AH58" s="7">
        <f t="shared" si="46"/>
        <v>979700.45042585232</v>
      </c>
      <c r="AI58" s="7">
        <f t="shared" si="46"/>
        <v>1629081.4550844317</v>
      </c>
      <c r="AJ58" s="7">
        <f t="shared" si="46"/>
        <v>2692093.2502581351</v>
      </c>
      <c r="AK58" s="7">
        <f t="shared" si="46"/>
        <v>3814639.3019021759</v>
      </c>
      <c r="AL58" s="7">
        <f t="shared" si="46"/>
        <v>5851482.8733825609</v>
      </c>
      <c r="AM58" s="7">
        <f t="shared" si="46"/>
        <v>8489562.9049472157</v>
      </c>
      <c r="AN58" s="7">
        <f t="shared" si="46"/>
        <v>11389945.257901916</v>
      </c>
      <c r="AO58" s="6">
        <f t="shared" si="46"/>
        <v>15190343.202686492</v>
      </c>
      <c r="AP58" s="7">
        <f t="shared" si="46"/>
        <v>19423004.681849401</v>
      </c>
      <c r="AQ58" s="7">
        <f t="shared" si="46"/>
        <v>24432162.820696138</v>
      </c>
      <c r="AR58" s="7">
        <f t="shared" si="46"/>
        <v>21164612.986348581</v>
      </c>
      <c r="AS58" s="7">
        <f t="shared" si="46"/>
        <v>27514038.675587576</v>
      </c>
      <c r="AT58" s="7">
        <f t="shared" si="46"/>
        <v>34277634.530774914</v>
      </c>
      <c r="AU58" s="7">
        <f t="shared" si="46"/>
        <v>37988279.800423302</v>
      </c>
      <c r="AV58" s="7">
        <f t="shared" si="46"/>
        <v>42017996.264600612</v>
      </c>
      <c r="AW58" s="7">
        <f t="shared" si="46"/>
        <v>46797014.810661286</v>
      </c>
      <c r="AX58" s="7">
        <f t="shared" si="46"/>
        <v>52089906.815788522</v>
      </c>
      <c r="AY58" s="7">
        <f t="shared" si="46"/>
        <v>57776986.962238692</v>
      </c>
      <c r="AZ58" s="47">
        <f t="shared" si="46"/>
        <v>64205897.95310872</v>
      </c>
      <c r="BA58" s="29"/>
      <c r="BB58" s="7">
        <f t="shared" ref="BB58:BE58" si="47">SUM(BB41:BB57)</f>
        <v>1257232.0700000003</v>
      </c>
      <c r="BC58" s="7">
        <f t="shared" si="47"/>
        <v>2602593.6388435233</v>
      </c>
      <c r="BD58" s="7">
        <f t="shared" si="47"/>
        <v>11389945.257901907</v>
      </c>
      <c r="BE58" s="7">
        <f t="shared" si="47"/>
        <v>64205897.953108743</v>
      </c>
    </row>
    <row r="59" spans="1:57" ht="14.25" customHeight="1" outlineLevel="1" x14ac:dyDescent="0.25">
      <c r="A59" s="27"/>
      <c r="B59" s="27"/>
      <c r="C59" s="27"/>
      <c r="D59" s="27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2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2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26"/>
      <c r="BB59" s="61"/>
      <c r="BC59" s="61"/>
      <c r="BD59" s="27"/>
      <c r="BE59" s="27"/>
    </row>
    <row r="60" spans="1:57" ht="14.25" customHeight="1" x14ac:dyDescent="0.25">
      <c r="A60" s="1"/>
      <c r="B60" s="1"/>
      <c r="C60" s="1"/>
      <c r="D60" s="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50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50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41"/>
      <c r="BB60" s="11"/>
      <c r="BC60" s="1"/>
      <c r="BD60" s="1"/>
      <c r="BE60" s="1"/>
    </row>
    <row r="61" spans="1:57" ht="14.25" customHeight="1" x14ac:dyDescent="0.3">
      <c r="A61" s="1"/>
      <c r="B61" s="34" t="s">
        <v>49</v>
      </c>
      <c r="C61" s="1"/>
      <c r="D61" s="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50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50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41"/>
      <c r="BB61" s="1"/>
      <c r="BC61" s="1"/>
      <c r="BD61" s="1"/>
      <c r="BE61" s="1"/>
    </row>
    <row r="62" spans="1:57" ht="14.25" customHeight="1" outlineLevel="1" x14ac:dyDescent="0.25">
      <c r="A62" s="1"/>
      <c r="B62" s="1"/>
      <c r="C62" s="1"/>
      <c r="D62" s="1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>
        <v>45658</v>
      </c>
      <c r="R62" s="35">
        <v>45689</v>
      </c>
      <c r="S62" s="35">
        <v>45717</v>
      </c>
      <c r="T62" s="35">
        <v>45748</v>
      </c>
      <c r="U62" s="35">
        <v>45778</v>
      </c>
      <c r="V62" s="35">
        <v>45809</v>
      </c>
      <c r="W62" s="35">
        <v>45839</v>
      </c>
      <c r="X62" s="35">
        <v>45870</v>
      </c>
      <c r="Y62" s="36">
        <v>45901</v>
      </c>
      <c r="Z62" s="36">
        <v>45931</v>
      </c>
      <c r="AA62" s="36">
        <v>45962</v>
      </c>
      <c r="AB62" s="37">
        <v>45992</v>
      </c>
      <c r="AC62" s="38">
        <v>46023</v>
      </c>
      <c r="AD62" s="39">
        <v>46054</v>
      </c>
      <c r="AE62" s="39">
        <v>46082</v>
      </c>
      <c r="AF62" s="39">
        <v>46113</v>
      </c>
      <c r="AG62" s="39">
        <v>46143</v>
      </c>
      <c r="AH62" s="39">
        <v>46174</v>
      </c>
      <c r="AI62" s="39">
        <v>46204</v>
      </c>
      <c r="AJ62" s="39">
        <v>46235</v>
      </c>
      <c r="AK62" s="39">
        <v>46266</v>
      </c>
      <c r="AL62" s="39">
        <v>46296</v>
      </c>
      <c r="AM62" s="39">
        <v>46327</v>
      </c>
      <c r="AN62" s="65">
        <v>46357</v>
      </c>
      <c r="AO62" s="40">
        <v>46388</v>
      </c>
      <c r="AP62" s="36">
        <v>46419</v>
      </c>
      <c r="AQ62" s="36">
        <v>46447</v>
      </c>
      <c r="AR62" s="36">
        <v>46478</v>
      </c>
      <c r="AS62" s="36">
        <v>46508</v>
      </c>
      <c r="AT62" s="36">
        <v>46539</v>
      </c>
      <c r="AU62" s="36">
        <v>46569</v>
      </c>
      <c r="AV62" s="36">
        <v>46600</v>
      </c>
      <c r="AW62" s="36">
        <v>46631</v>
      </c>
      <c r="AX62" s="36">
        <v>46661</v>
      </c>
      <c r="AY62" s="36">
        <v>46692</v>
      </c>
      <c r="AZ62" s="37">
        <v>46722</v>
      </c>
      <c r="BA62" s="41"/>
      <c r="BB62" s="42">
        <v>2024</v>
      </c>
      <c r="BC62" s="42">
        <v>2025</v>
      </c>
      <c r="BD62" s="42">
        <v>2026</v>
      </c>
      <c r="BE62" s="42">
        <v>2027</v>
      </c>
    </row>
    <row r="63" spans="1:57" ht="14.25" customHeight="1" outlineLevel="1" x14ac:dyDescent="0.25">
      <c r="A63" s="1"/>
      <c r="B63" s="1"/>
      <c r="C63" s="1"/>
      <c r="D63" s="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50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50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41"/>
      <c r="BB63" s="1"/>
      <c r="BC63" s="1"/>
      <c r="BD63" s="1"/>
      <c r="BE63" s="1"/>
    </row>
    <row r="64" spans="1:57" ht="14.25" customHeight="1" outlineLevel="1" x14ac:dyDescent="0.25">
      <c r="A64" s="46"/>
      <c r="B64" s="46"/>
      <c r="C64" s="30" t="s">
        <v>50</v>
      </c>
      <c r="D64" s="3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f t="shared" ref="Q64:AZ64" si="48">Q65+Q68</f>
        <v>1341775.1200000001</v>
      </c>
      <c r="R64" s="7">
        <f t="shared" si="48"/>
        <v>1115655.3799999999</v>
      </c>
      <c r="S64" s="7">
        <f t="shared" si="48"/>
        <v>1215076.0741666665</v>
      </c>
      <c r="T64" s="7">
        <f t="shared" si="48"/>
        <v>632179.93041666644</v>
      </c>
      <c r="U64" s="7">
        <f t="shared" si="48"/>
        <v>1060545.1424999996</v>
      </c>
      <c r="V64" s="7">
        <f t="shared" si="48"/>
        <v>1220264.3745833333</v>
      </c>
      <c r="W64" s="7">
        <f t="shared" si="48"/>
        <v>2588244.3639042736</v>
      </c>
      <c r="X64" s="7">
        <f t="shared" si="48"/>
        <v>3208641.0170961376</v>
      </c>
      <c r="Y64" s="7">
        <f t="shared" si="48"/>
        <v>4132881.4254294704</v>
      </c>
      <c r="Z64" s="7">
        <f t="shared" si="48"/>
        <v>4966329.0587628037</v>
      </c>
      <c r="AA64" s="7">
        <f t="shared" si="48"/>
        <v>6210929.4121854585</v>
      </c>
      <c r="AB64" s="47">
        <f t="shared" si="48"/>
        <v>7514289.1688435227</v>
      </c>
      <c r="AC64" s="6">
        <f t="shared" si="48"/>
        <v>8865963.0469556004</v>
      </c>
      <c r="AD64" s="7">
        <f t="shared" si="48"/>
        <v>10278017.550632473</v>
      </c>
      <c r="AE64" s="7">
        <f t="shared" si="48"/>
        <v>11772597.65765911</v>
      </c>
      <c r="AF64" s="7">
        <f t="shared" si="48"/>
        <v>12154009.55473147</v>
      </c>
      <c r="AG64" s="7">
        <f t="shared" si="48"/>
        <v>14149110.867609922</v>
      </c>
      <c r="AH64" s="7">
        <f t="shared" si="48"/>
        <v>16454651.317092517</v>
      </c>
      <c r="AI64" s="7">
        <f t="shared" si="48"/>
        <v>19482640.388417762</v>
      </c>
      <c r="AJ64" s="7">
        <f t="shared" si="48"/>
        <v>23795159.650258135</v>
      </c>
      <c r="AK64" s="7">
        <f t="shared" si="48"/>
        <v>27431311.168568846</v>
      </c>
      <c r="AL64" s="7">
        <f t="shared" si="48"/>
        <v>32721849.506715897</v>
      </c>
      <c r="AM64" s="7">
        <f t="shared" si="48"/>
        <v>37674726.504947215</v>
      </c>
      <c r="AN64" s="47">
        <f t="shared" si="48"/>
        <v>42780908.224568583</v>
      </c>
      <c r="AO64" s="6">
        <f t="shared" si="48"/>
        <v>49532320.036019832</v>
      </c>
      <c r="AP64" s="7">
        <f t="shared" si="48"/>
        <v>55766022.781849399</v>
      </c>
      <c r="AQ64" s="7">
        <f t="shared" si="48"/>
        <v>63502124.587362804</v>
      </c>
      <c r="AR64" s="7">
        <f t="shared" si="48"/>
        <v>62025620.219681919</v>
      </c>
      <c r="AS64" s="7">
        <f t="shared" si="48"/>
        <v>70901993.375587583</v>
      </c>
      <c r="AT64" s="7">
        <f t="shared" si="48"/>
        <v>79265638.697441578</v>
      </c>
      <c r="AU64" s="7">
        <f t="shared" si="48"/>
        <v>84496335.233756632</v>
      </c>
      <c r="AV64" s="7">
        <f t="shared" si="48"/>
        <v>92830517.064600617</v>
      </c>
      <c r="AW64" s="7">
        <f t="shared" si="48"/>
        <v>99820702.377327949</v>
      </c>
      <c r="AX64" s="7">
        <f t="shared" si="48"/>
        <v>106416862.94912186</v>
      </c>
      <c r="AY64" s="7">
        <f t="shared" si="48"/>
        <v>113337213.06223869</v>
      </c>
      <c r="AZ64" s="47">
        <f t="shared" si="48"/>
        <v>123790595.01977539</v>
      </c>
      <c r="BA64" s="29"/>
      <c r="BB64" s="7">
        <f>BB65+BB68</f>
        <v>1258371</v>
      </c>
      <c r="BC64" s="7">
        <f t="shared" ref="BC64:BC80" si="49">AB64</f>
        <v>7514289.1688435227</v>
      </c>
      <c r="BD64" s="7">
        <f t="shared" ref="BD64:BD83" si="50">AN64</f>
        <v>42780908.224568583</v>
      </c>
      <c r="BE64" s="7">
        <f t="shared" ref="BE64:BE83" si="51">AZ64</f>
        <v>123790595.01977539</v>
      </c>
    </row>
    <row r="65" spans="1:57" ht="14.25" customHeight="1" outlineLevel="1" x14ac:dyDescent="0.25">
      <c r="A65" s="46"/>
      <c r="B65" s="46"/>
      <c r="C65" s="46" t="s">
        <v>51</v>
      </c>
      <c r="D65" s="46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>
        <f t="shared" ref="Q65:AZ65" si="52">Q66+Q67</f>
        <v>1337303.1200000001</v>
      </c>
      <c r="R65" s="9">
        <f t="shared" si="52"/>
        <v>1111183.3799999999</v>
      </c>
      <c r="S65" s="9">
        <f t="shared" si="52"/>
        <v>1210604.0741666665</v>
      </c>
      <c r="T65" s="9">
        <f t="shared" si="52"/>
        <v>627707.93041666644</v>
      </c>
      <c r="U65" s="9">
        <f t="shared" si="52"/>
        <v>1056073.1424999996</v>
      </c>
      <c r="V65" s="9">
        <f t="shared" si="52"/>
        <v>1215792.3745833333</v>
      </c>
      <c r="W65" s="9">
        <f t="shared" si="52"/>
        <v>2583772.3639042736</v>
      </c>
      <c r="X65" s="9">
        <f t="shared" si="52"/>
        <v>3204269.0170961376</v>
      </c>
      <c r="Y65" s="9">
        <f t="shared" si="52"/>
        <v>4128609.4254294704</v>
      </c>
      <c r="Z65" s="9">
        <f t="shared" si="52"/>
        <v>4962157.0587628037</v>
      </c>
      <c r="AA65" s="9">
        <f t="shared" si="52"/>
        <v>6206857.4121854585</v>
      </c>
      <c r="AB65" s="9">
        <f t="shared" si="52"/>
        <v>7510317.1688435227</v>
      </c>
      <c r="AC65" s="10">
        <f t="shared" si="52"/>
        <v>8862091.0469556004</v>
      </c>
      <c r="AD65" s="9">
        <f t="shared" si="52"/>
        <v>10274245.550632473</v>
      </c>
      <c r="AE65" s="9">
        <f t="shared" si="52"/>
        <v>11768925.65765911</v>
      </c>
      <c r="AF65" s="9">
        <f t="shared" si="52"/>
        <v>12150437.55473147</v>
      </c>
      <c r="AG65" s="9">
        <f t="shared" si="52"/>
        <v>14145638.867609922</v>
      </c>
      <c r="AH65" s="9">
        <f t="shared" si="52"/>
        <v>16451279.317092517</v>
      </c>
      <c r="AI65" s="9">
        <f t="shared" si="52"/>
        <v>19479368.388417762</v>
      </c>
      <c r="AJ65" s="9">
        <f t="shared" si="52"/>
        <v>23791987.650258135</v>
      </c>
      <c r="AK65" s="9">
        <f t="shared" si="52"/>
        <v>27428239.168568846</v>
      </c>
      <c r="AL65" s="9">
        <f t="shared" si="52"/>
        <v>32718877.506715897</v>
      </c>
      <c r="AM65" s="9">
        <f t="shared" si="52"/>
        <v>37671854.504947215</v>
      </c>
      <c r="AN65" s="9">
        <f t="shared" si="52"/>
        <v>42778136.224568583</v>
      </c>
      <c r="AO65" s="10">
        <f t="shared" si="52"/>
        <v>49529648.036019832</v>
      </c>
      <c r="AP65" s="9">
        <f t="shared" si="52"/>
        <v>55763450.781849399</v>
      </c>
      <c r="AQ65" s="9">
        <f t="shared" si="52"/>
        <v>63499652.587362804</v>
      </c>
      <c r="AR65" s="9">
        <f t="shared" si="52"/>
        <v>62023248.219681919</v>
      </c>
      <c r="AS65" s="9">
        <f t="shared" si="52"/>
        <v>70899721.375587583</v>
      </c>
      <c r="AT65" s="9">
        <f t="shared" si="52"/>
        <v>79263466.697441578</v>
      </c>
      <c r="AU65" s="9">
        <f t="shared" si="52"/>
        <v>84494263.233756632</v>
      </c>
      <c r="AV65" s="9">
        <f t="shared" si="52"/>
        <v>92828545.064600617</v>
      </c>
      <c r="AW65" s="9">
        <f t="shared" si="52"/>
        <v>99818830.377327949</v>
      </c>
      <c r="AX65" s="9">
        <f t="shared" si="52"/>
        <v>106415090.94912186</v>
      </c>
      <c r="AY65" s="9">
        <f t="shared" si="52"/>
        <v>113335541.06223869</v>
      </c>
      <c r="AZ65" s="9">
        <f t="shared" si="52"/>
        <v>123789023.01977539</v>
      </c>
      <c r="BA65" s="29"/>
      <c r="BB65" s="9">
        <f>BB66+BB67</f>
        <v>1257232</v>
      </c>
      <c r="BC65" s="9">
        <f t="shared" si="49"/>
        <v>7510317.1688435227</v>
      </c>
      <c r="BD65" s="9">
        <f t="shared" si="50"/>
        <v>42778136.224568583</v>
      </c>
      <c r="BE65" s="9">
        <f t="shared" si="51"/>
        <v>123789023.01977539</v>
      </c>
    </row>
    <row r="66" spans="1:57" ht="14.25" customHeight="1" outlineLevel="1" x14ac:dyDescent="0.25">
      <c r="A66" s="22"/>
      <c r="B66" s="22"/>
      <c r="C66" s="22"/>
      <c r="D66" s="22" t="s">
        <v>52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f t="shared" ref="Q66:AZ66" si="53">Q58</f>
        <v>1337303.1200000001</v>
      </c>
      <c r="R66" s="11">
        <f t="shared" si="53"/>
        <v>1111183.3799999999</v>
      </c>
      <c r="S66" s="11">
        <f t="shared" si="53"/>
        <v>1210604.0741666665</v>
      </c>
      <c r="T66" s="11">
        <f t="shared" si="53"/>
        <v>615697.93041666644</v>
      </c>
      <c r="U66" s="11">
        <f t="shared" si="53"/>
        <v>985758.14249999973</v>
      </c>
      <c r="V66" s="11">
        <f t="shared" si="53"/>
        <v>994792.37458333315</v>
      </c>
      <c r="W66" s="11">
        <f t="shared" si="53"/>
        <v>907889.66449808714</v>
      </c>
      <c r="X66" s="11">
        <f t="shared" si="53"/>
        <v>1040575.3779627511</v>
      </c>
      <c r="Y66" s="11">
        <f t="shared" si="53"/>
        <v>1383801.4254294704</v>
      </c>
      <c r="Z66" s="11">
        <f t="shared" si="53"/>
        <v>1799322.2587628036</v>
      </c>
      <c r="AA66" s="11">
        <f t="shared" si="53"/>
        <v>2280989.6121854587</v>
      </c>
      <c r="AB66" s="11">
        <f t="shared" si="53"/>
        <v>2602593.568843523</v>
      </c>
      <c r="AC66" s="50">
        <f t="shared" si="53"/>
        <v>2731799.1136222663</v>
      </c>
      <c r="AD66" s="11">
        <f t="shared" si="53"/>
        <v>2681532.7506324728</v>
      </c>
      <c r="AE66" s="11">
        <f t="shared" si="53"/>
        <v>2551489.1909924438</v>
      </c>
      <c r="AF66" s="11">
        <f t="shared" si="53"/>
        <v>1093281.8213981355</v>
      </c>
      <c r="AG66" s="11">
        <f t="shared" si="53"/>
        <v>941770.26760992152</v>
      </c>
      <c r="AH66" s="11">
        <f t="shared" si="53"/>
        <v>979700.45042585232</v>
      </c>
      <c r="AI66" s="11">
        <f t="shared" si="53"/>
        <v>1629081.4550844317</v>
      </c>
      <c r="AJ66" s="11">
        <f t="shared" si="53"/>
        <v>2692093.2502581351</v>
      </c>
      <c r="AK66" s="11">
        <f t="shared" si="53"/>
        <v>3814639.3019021759</v>
      </c>
      <c r="AL66" s="11">
        <f t="shared" si="53"/>
        <v>5851482.8733825609</v>
      </c>
      <c r="AM66" s="11">
        <f t="shared" si="53"/>
        <v>8489562.9049472157</v>
      </c>
      <c r="AN66" s="11">
        <f t="shared" si="53"/>
        <v>11389945.257901916</v>
      </c>
      <c r="AO66" s="50">
        <f t="shared" si="53"/>
        <v>15190343.202686492</v>
      </c>
      <c r="AP66" s="11">
        <f t="shared" si="53"/>
        <v>19423004.681849401</v>
      </c>
      <c r="AQ66" s="11">
        <f t="shared" si="53"/>
        <v>24432162.820696138</v>
      </c>
      <c r="AR66" s="11">
        <f t="shared" si="53"/>
        <v>21164612.986348581</v>
      </c>
      <c r="AS66" s="11">
        <f t="shared" si="53"/>
        <v>27514038.675587576</v>
      </c>
      <c r="AT66" s="11">
        <f t="shared" si="53"/>
        <v>34277634.530774914</v>
      </c>
      <c r="AU66" s="11">
        <f t="shared" si="53"/>
        <v>37988279.800423302</v>
      </c>
      <c r="AV66" s="11">
        <f t="shared" si="53"/>
        <v>42017996.264600612</v>
      </c>
      <c r="AW66" s="11">
        <f t="shared" si="53"/>
        <v>46797014.810661286</v>
      </c>
      <c r="AX66" s="11">
        <f t="shared" si="53"/>
        <v>52089906.815788522</v>
      </c>
      <c r="AY66" s="11">
        <f t="shared" si="53"/>
        <v>57776986.962238692</v>
      </c>
      <c r="AZ66" s="11">
        <f t="shared" si="53"/>
        <v>64205897.95310872</v>
      </c>
      <c r="BA66" s="31"/>
      <c r="BB66" s="11">
        <v>1257232</v>
      </c>
      <c r="BC66" s="11">
        <f t="shared" si="49"/>
        <v>2602593.568843523</v>
      </c>
      <c r="BD66" s="11">
        <f t="shared" si="50"/>
        <v>11389945.257901916</v>
      </c>
      <c r="BE66" s="11">
        <f t="shared" si="51"/>
        <v>64205897.95310872</v>
      </c>
    </row>
    <row r="67" spans="1:57" ht="14.25" customHeight="1" outlineLevel="1" x14ac:dyDescent="0.25">
      <c r="A67" s="22"/>
      <c r="B67" s="22"/>
      <c r="C67" s="22"/>
      <c r="D67" s="22" t="s">
        <v>53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11">
        <f>-T44</f>
        <v>12010</v>
      </c>
      <c r="U67" s="11">
        <f t="shared" ref="U67:V67" si="54">T67-U44</f>
        <v>70315</v>
      </c>
      <c r="V67" s="11">
        <f t="shared" si="54"/>
        <v>221000</v>
      </c>
      <c r="W67" s="11">
        <f>Worksheet!M131</f>
        <v>1675882.6994061866</v>
      </c>
      <c r="X67" s="11">
        <f>Worksheet!N131</f>
        <v>2163693.6391333863</v>
      </c>
      <c r="Y67" s="11">
        <f>Worksheet!O131</f>
        <v>2744808</v>
      </c>
      <c r="Z67" s="11">
        <f>Worksheet!P131</f>
        <v>3162834.8</v>
      </c>
      <c r="AA67" s="11">
        <f>Worksheet!Q131</f>
        <v>3925867.8</v>
      </c>
      <c r="AB67" s="11">
        <f>Worksheet!R131</f>
        <v>4907723.5999999996</v>
      </c>
      <c r="AC67" s="50">
        <f>Worksheet!S131</f>
        <v>6130291.9333333336</v>
      </c>
      <c r="AD67" s="11">
        <f>Worksheet!T131</f>
        <v>7592712.8000000007</v>
      </c>
      <c r="AE67" s="11">
        <f>Worksheet!U131</f>
        <v>9217436.4666666668</v>
      </c>
      <c r="AF67" s="11">
        <f>Worksheet!V131</f>
        <v>11057155.733333334</v>
      </c>
      <c r="AG67" s="11">
        <f>Worksheet!W131</f>
        <v>13203868.6</v>
      </c>
      <c r="AH67" s="11">
        <f>Worksheet!X131</f>
        <v>15471578.866666665</v>
      </c>
      <c r="AI67" s="11">
        <f>Worksheet!Y131</f>
        <v>17850286.93333333</v>
      </c>
      <c r="AJ67" s="11">
        <f>Worksheet!Z131</f>
        <v>21099894.399999999</v>
      </c>
      <c r="AK67" s="11">
        <f>Worksheet!AA131</f>
        <v>23613599.866666671</v>
      </c>
      <c r="AL67" s="11">
        <f>Worksheet!AB131</f>
        <v>26867394.633333337</v>
      </c>
      <c r="AM67" s="11">
        <f>Worksheet!AC131</f>
        <v>29182291.600000001</v>
      </c>
      <c r="AN67" s="11">
        <f>Worksheet!AD131</f>
        <v>31388190.966666669</v>
      </c>
      <c r="AO67" s="50">
        <f>Worksheet!AE131</f>
        <v>34339304.833333336</v>
      </c>
      <c r="AP67" s="11">
        <f>Worksheet!AF131</f>
        <v>36340446.100000001</v>
      </c>
      <c r="AQ67" s="11">
        <f>Worksheet!AG131</f>
        <v>39067489.766666666</v>
      </c>
      <c r="AR67" s="11">
        <f>Worksheet!AH131</f>
        <v>40858635.233333334</v>
      </c>
      <c r="AS67" s="11">
        <f>Worksheet!AI131</f>
        <v>43385682.700000003</v>
      </c>
      <c r="AT67" s="11">
        <f>Worksheet!AJ131</f>
        <v>44985832.166666664</v>
      </c>
      <c r="AU67" s="11">
        <f>Worksheet!AK131</f>
        <v>46505983.433333337</v>
      </c>
      <c r="AV67" s="11">
        <f>Worksheet!AL131</f>
        <v>50810548.800000004</v>
      </c>
      <c r="AW67" s="11">
        <f>Worksheet!AM131</f>
        <v>53021815.566666663</v>
      </c>
      <c r="AX67" s="11">
        <f>Worksheet!AN131</f>
        <v>54325184.133333333</v>
      </c>
      <c r="AY67" s="11">
        <f>Worksheet!AO131</f>
        <v>55558554.100000009</v>
      </c>
      <c r="AZ67" s="11">
        <f>Worksheet!AP131</f>
        <v>59583125.066666663</v>
      </c>
      <c r="BA67" s="31"/>
      <c r="BB67" s="11">
        <f>Worksheet!AR131</f>
        <v>0</v>
      </c>
      <c r="BC67" s="11">
        <f t="shared" si="49"/>
        <v>4907723.5999999996</v>
      </c>
      <c r="BD67" s="11">
        <f t="shared" si="50"/>
        <v>31388190.966666669</v>
      </c>
      <c r="BE67" s="11">
        <f t="shared" si="51"/>
        <v>59583125.066666663</v>
      </c>
    </row>
    <row r="68" spans="1:57" ht="14.25" customHeight="1" outlineLevel="1" x14ac:dyDescent="0.25">
      <c r="A68" s="46"/>
      <c r="B68" s="46"/>
      <c r="C68" s="46" t="s">
        <v>54</v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9">
        <f t="shared" ref="Q68:W68" si="55">4572-Q51</f>
        <v>4472</v>
      </c>
      <c r="R68" s="9">
        <f t="shared" si="55"/>
        <v>4472</v>
      </c>
      <c r="S68" s="9">
        <f t="shared" si="55"/>
        <v>4472</v>
      </c>
      <c r="T68" s="9">
        <f t="shared" si="55"/>
        <v>4472</v>
      </c>
      <c r="U68" s="9">
        <f t="shared" si="55"/>
        <v>4472</v>
      </c>
      <c r="V68" s="9">
        <f t="shared" si="55"/>
        <v>4472</v>
      </c>
      <c r="W68" s="9">
        <f t="shared" si="55"/>
        <v>4472</v>
      </c>
      <c r="X68" s="9">
        <f t="shared" ref="X68:AZ68" si="56">W68-X51</f>
        <v>4372</v>
      </c>
      <c r="Y68" s="9">
        <f t="shared" si="56"/>
        <v>4272</v>
      </c>
      <c r="Z68" s="9">
        <f t="shared" si="56"/>
        <v>4172</v>
      </c>
      <c r="AA68" s="9">
        <f t="shared" si="56"/>
        <v>4072</v>
      </c>
      <c r="AB68" s="9">
        <f t="shared" si="56"/>
        <v>3972</v>
      </c>
      <c r="AC68" s="10">
        <f t="shared" si="56"/>
        <v>3872</v>
      </c>
      <c r="AD68" s="9">
        <f t="shared" si="56"/>
        <v>3772</v>
      </c>
      <c r="AE68" s="9">
        <f t="shared" si="56"/>
        <v>3672</v>
      </c>
      <c r="AF68" s="9">
        <f t="shared" si="56"/>
        <v>3572</v>
      </c>
      <c r="AG68" s="9">
        <f t="shared" si="56"/>
        <v>3472</v>
      </c>
      <c r="AH68" s="9">
        <f t="shared" si="56"/>
        <v>3372</v>
      </c>
      <c r="AI68" s="9">
        <f t="shared" si="56"/>
        <v>3272</v>
      </c>
      <c r="AJ68" s="9">
        <f t="shared" si="56"/>
        <v>3172</v>
      </c>
      <c r="AK68" s="9">
        <f t="shared" si="56"/>
        <v>3072</v>
      </c>
      <c r="AL68" s="9">
        <f t="shared" si="56"/>
        <v>2972</v>
      </c>
      <c r="AM68" s="9">
        <f t="shared" si="56"/>
        <v>2872</v>
      </c>
      <c r="AN68" s="9">
        <f t="shared" si="56"/>
        <v>2772</v>
      </c>
      <c r="AO68" s="10">
        <f t="shared" si="56"/>
        <v>2672</v>
      </c>
      <c r="AP68" s="9">
        <f t="shared" si="56"/>
        <v>2572</v>
      </c>
      <c r="AQ68" s="9">
        <f t="shared" si="56"/>
        <v>2472</v>
      </c>
      <c r="AR68" s="9">
        <f t="shared" si="56"/>
        <v>2372</v>
      </c>
      <c r="AS68" s="9">
        <f t="shared" si="56"/>
        <v>2272</v>
      </c>
      <c r="AT68" s="9">
        <f t="shared" si="56"/>
        <v>2172</v>
      </c>
      <c r="AU68" s="9">
        <f t="shared" si="56"/>
        <v>2072</v>
      </c>
      <c r="AV68" s="9">
        <f t="shared" si="56"/>
        <v>1972</v>
      </c>
      <c r="AW68" s="9">
        <f t="shared" si="56"/>
        <v>1872</v>
      </c>
      <c r="AX68" s="9">
        <f t="shared" si="56"/>
        <v>1772</v>
      </c>
      <c r="AY68" s="9">
        <f t="shared" si="56"/>
        <v>1672</v>
      </c>
      <c r="AZ68" s="9">
        <f t="shared" si="56"/>
        <v>1572</v>
      </c>
      <c r="BA68" s="29"/>
      <c r="BB68" s="9">
        <v>1139</v>
      </c>
      <c r="BC68" s="9">
        <f t="shared" si="49"/>
        <v>3972</v>
      </c>
      <c r="BD68" s="9">
        <f t="shared" si="50"/>
        <v>2772</v>
      </c>
      <c r="BE68" s="9">
        <f t="shared" si="51"/>
        <v>1572</v>
      </c>
    </row>
    <row r="69" spans="1:57" ht="5.25" customHeight="1" outlineLevel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11"/>
      <c r="X69" s="22"/>
      <c r="Y69" s="22"/>
      <c r="Z69" s="22"/>
      <c r="AA69" s="22"/>
      <c r="AB69" s="22"/>
      <c r="AC69" s="31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31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31"/>
      <c r="BB69" s="22"/>
      <c r="BC69" s="22">
        <f t="shared" si="49"/>
        <v>0</v>
      </c>
      <c r="BD69" s="22">
        <f t="shared" si="50"/>
        <v>0</v>
      </c>
      <c r="BE69" s="22">
        <f t="shared" si="51"/>
        <v>0</v>
      </c>
    </row>
    <row r="70" spans="1:57" ht="14.25" customHeight="1" outlineLevel="1" x14ac:dyDescent="0.25">
      <c r="A70" s="46"/>
      <c r="B70" s="46"/>
      <c r="C70" s="30" t="s">
        <v>55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7">
        <f t="shared" ref="Q70:AZ70" si="57">Q71+Q75</f>
        <v>188717</v>
      </c>
      <c r="R70" s="7">
        <f t="shared" si="57"/>
        <v>199089</v>
      </c>
      <c r="S70" s="7">
        <f t="shared" si="57"/>
        <v>206614</v>
      </c>
      <c r="T70" s="7">
        <f t="shared" si="57"/>
        <v>136002</v>
      </c>
      <c r="U70" s="7">
        <f t="shared" si="57"/>
        <v>111050</v>
      </c>
      <c r="V70" s="7">
        <f t="shared" si="57"/>
        <v>115944</v>
      </c>
      <c r="W70" s="7">
        <f t="shared" si="57"/>
        <v>736135.78570813662</v>
      </c>
      <c r="X70" s="7">
        <f t="shared" si="57"/>
        <v>1000607.6141333333</v>
      </c>
      <c r="Y70" s="7">
        <f t="shared" si="57"/>
        <v>1350471.8554333334</v>
      </c>
      <c r="Z70" s="7">
        <f t="shared" si="57"/>
        <v>1591016.4713000001</v>
      </c>
      <c r="AA70" s="7">
        <f t="shared" si="57"/>
        <v>2059309.2963781343</v>
      </c>
      <c r="AB70" s="47">
        <f t="shared" si="57"/>
        <v>2492984.6458942397</v>
      </c>
      <c r="AC70" s="6">
        <f t="shared" si="57"/>
        <v>2987547.0637211008</v>
      </c>
      <c r="AD70" s="7">
        <f t="shared" si="57"/>
        <v>3511337.5873817443</v>
      </c>
      <c r="AE70" s="7">
        <f t="shared" si="57"/>
        <v>4050487.6301120603</v>
      </c>
      <c r="AF70" s="7">
        <f t="shared" si="57"/>
        <v>3333396.8357211696</v>
      </c>
      <c r="AG70" s="7">
        <f t="shared" si="57"/>
        <v>4021101.0980900223</v>
      </c>
      <c r="AH70" s="7">
        <f t="shared" si="57"/>
        <v>4770603.9442247655</v>
      </c>
      <c r="AI70" s="7">
        <f t="shared" si="57"/>
        <v>5716912.7238771711</v>
      </c>
      <c r="AJ70" s="7">
        <f t="shared" si="57"/>
        <v>7473424.16242366</v>
      </c>
      <c r="AK70" s="7">
        <f t="shared" si="57"/>
        <v>8535135.6877071969</v>
      </c>
      <c r="AL70" s="7">
        <f t="shared" si="57"/>
        <v>10552271.290421449</v>
      </c>
      <c r="AM70" s="7">
        <f t="shared" si="57"/>
        <v>11937003.469265494</v>
      </c>
      <c r="AN70" s="47">
        <f t="shared" si="57"/>
        <v>13345037.442665894</v>
      </c>
      <c r="AO70" s="6">
        <f t="shared" si="57"/>
        <v>15715297.689931974</v>
      </c>
      <c r="AP70" s="7">
        <f t="shared" si="57"/>
        <v>17389547.826499663</v>
      </c>
      <c r="AQ70" s="7">
        <f t="shared" si="57"/>
        <v>19979312.783611823</v>
      </c>
      <c r="AR70" s="7">
        <f t="shared" si="57"/>
        <v>13231909.506724654</v>
      </c>
      <c r="AS70" s="7">
        <f t="shared" si="57"/>
        <v>16105179.865961576</v>
      </c>
      <c r="AT70" s="7">
        <f t="shared" si="57"/>
        <v>18260051.463067599</v>
      </c>
      <c r="AU70" s="7">
        <f t="shared" si="57"/>
        <v>19600366.228684101</v>
      </c>
      <c r="AV70" s="7">
        <f t="shared" si="57"/>
        <v>23476851.963293403</v>
      </c>
      <c r="AW70" s="7">
        <f t="shared" si="57"/>
        <v>25766879.7386159</v>
      </c>
      <c r="AX70" s="7">
        <f t="shared" si="57"/>
        <v>27388667.468173794</v>
      </c>
      <c r="AY70" s="7">
        <f t="shared" si="57"/>
        <v>29077443.903666079</v>
      </c>
      <c r="AZ70" s="47">
        <f t="shared" si="57"/>
        <v>33412668.629467648</v>
      </c>
      <c r="BA70" s="29"/>
      <c r="BB70" s="7">
        <f>BB71+BB75</f>
        <v>198133</v>
      </c>
      <c r="BC70" s="7">
        <f t="shared" si="49"/>
        <v>2492984.6458942397</v>
      </c>
      <c r="BD70" s="7">
        <f t="shared" si="50"/>
        <v>13345037.442665894</v>
      </c>
      <c r="BE70" s="7">
        <f t="shared" si="51"/>
        <v>33412668.629467648</v>
      </c>
    </row>
    <row r="71" spans="1:57" ht="14.25" customHeight="1" outlineLevel="1" x14ac:dyDescent="0.25">
      <c r="A71" s="46"/>
      <c r="B71" s="46"/>
      <c r="C71" s="46" t="s">
        <v>56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9">
        <f t="shared" ref="Q71:AZ71" si="58">Q72+Q73+Q74</f>
        <v>74030</v>
      </c>
      <c r="R71" s="9">
        <f t="shared" si="58"/>
        <v>86402</v>
      </c>
      <c r="S71" s="9">
        <f t="shared" si="58"/>
        <v>124928</v>
      </c>
      <c r="T71" s="9">
        <f t="shared" si="58"/>
        <v>85315</v>
      </c>
      <c r="U71" s="9">
        <f t="shared" si="58"/>
        <v>60363</v>
      </c>
      <c r="V71" s="9">
        <f t="shared" si="58"/>
        <v>65257</v>
      </c>
      <c r="W71" s="9">
        <f t="shared" si="58"/>
        <v>686198.78570813662</v>
      </c>
      <c r="X71" s="9">
        <f t="shared" si="58"/>
        <v>951422.61413333332</v>
      </c>
      <c r="Y71" s="9">
        <f t="shared" si="58"/>
        <v>1302040.8554333334</v>
      </c>
      <c r="Z71" s="9">
        <f t="shared" si="58"/>
        <v>1543341.4713000001</v>
      </c>
      <c r="AA71" s="9">
        <f t="shared" si="58"/>
        <v>2012392.2963781343</v>
      </c>
      <c r="AB71" s="9">
        <f t="shared" si="58"/>
        <v>2446827.6458942397</v>
      </c>
      <c r="AC71" s="10">
        <f t="shared" si="58"/>
        <v>2942152.0637211008</v>
      </c>
      <c r="AD71" s="9">
        <f t="shared" si="58"/>
        <v>3466706.5873817443</v>
      </c>
      <c r="AE71" s="9">
        <f t="shared" si="58"/>
        <v>4006622.6301120603</v>
      </c>
      <c r="AF71" s="9">
        <f t="shared" si="58"/>
        <v>3290299.8357211696</v>
      </c>
      <c r="AG71" s="9">
        <f t="shared" si="58"/>
        <v>3978774.0980900223</v>
      </c>
      <c r="AH71" s="9">
        <f t="shared" si="58"/>
        <v>4729048.9442247655</v>
      </c>
      <c r="AI71" s="9">
        <f t="shared" si="58"/>
        <v>5676131.7238771711</v>
      </c>
      <c r="AJ71" s="9">
        <f t="shared" si="58"/>
        <v>7433419.16242366</v>
      </c>
      <c r="AK71" s="9">
        <f t="shared" si="58"/>
        <v>8495908.6877071969</v>
      </c>
      <c r="AL71" s="9">
        <f t="shared" si="58"/>
        <v>10513824.290421449</v>
      </c>
      <c r="AM71" s="9">
        <f t="shared" si="58"/>
        <v>11899338.469265494</v>
      </c>
      <c r="AN71" s="9">
        <f t="shared" si="58"/>
        <v>13308156.442665894</v>
      </c>
      <c r="AO71" s="10">
        <f t="shared" si="58"/>
        <v>15679202.689931974</v>
      </c>
      <c r="AP71" s="9">
        <f t="shared" si="58"/>
        <v>17354240.826499663</v>
      </c>
      <c r="AQ71" s="9">
        <f t="shared" si="58"/>
        <v>19944795.783611823</v>
      </c>
      <c r="AR71" s="9">
        <f t="shared" si="58"/>
        <v>13198184.506724654</v>
      </c>
      <c r="AS71" s="9">
        <f t="shared" si="58"/>
        <v>16072248.865961576</v>
      </c>
      <c r="AT71" s="9">
        <f t="shared" si="58"/>
        <v>18227916.463067599</v>
      </c>
      <c r="AU71" s="9">
        <f t="shared" si="58"/>
        <v>19569029.228684101</v>
      </c>
      <c r="AV71" s="9">
        <f t="shared" si="58"/>
        <v>23446314.963293403</v>
      </c>
      <c r="AW71" s="9">
        <f t="shared" si="58"/>
        <v>25737144.7386159</v>
      </c>
      <c r="AX71" s="9">
        <f t="shared" si="58"/>
        <v>27359736.468173794</v>
      </c>
      <c r="AY71" s="9">
        <f t="shared" si="58"/>
        <v>29049318.903666079</v>
      </c>
      <c r="AZ71" s="9">
        <f t="shared" si="58"/>
        <v>33385351.629467648</v>
      </c>
      <c r="BA71" s="29"/>
      <c r="BB71" s="9">
        <f>BB72+BB73+BB74</f>
        <v>82446</v>
      </c>
      <c r="BC71" s="9">
        <f t="shared" si="49"/>
        <v>2446827.6458942397</v>
      </c>
      <c r="BD71" s="9">
        <f t="shared" si="50"/>
        <v>13308156.442665894</v>
      </c>
      <c r="BE71" s="9">
        <f t="shared" si="51"/>
        <v>33385351.629467648</v>
      </c>
    </row>
    <row r="72" spans="1:57" ht="14.25" customHeight="1" outlineLevel="1" x14ac:dyDescent="0.25">
      <c r="A72" s="22"/>
      <c r="B72" s="22"/>
      <c r="C72" s="22"/>
      <c r="D72" s="22" t="s">
        <v>57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11">
        <v>74030</v>
      </c>
      <c r="R72" s="11">
        <v>86402</v>
      </c>
      <c r="S72" s="11">
        <v>124928</v>
      </c>
      <c r="T72" s="11">
        <v>85315</v>
      </c>
      <c r="U72" s="11">
        <v>60363</v>
      </c>
      <c r="V72" s="11">
        <v>65257</v>
      </c>
      <c r="W72" s="11">
        <f>65258+W53</f>
        <v>80258</v>
      </c>
      <c r="X72" s="11">
        <f t="shared" ref="X72:AZ72" si="59">W72+X53</f>
        <v>62258</v>
      </c>
      <c r="Y72" s="11">
        <f t="shared" si="59"/>
        <v>62258</v>
      </c>
      <c r="Z72" s="11">
        <f t="shared" si="59"/>
        <v>62258</v>
      </c>
      <c r="AA72" s="11">
        <f t="shared" si="59"/>
        <v>62258</v>
      </c>
      <c r="AB72" s="11">
        <f t="shared" si="59"/>
        <v>62258</v>
      </c>
      <c r="AC72" s="50">
        <f t="shared" si="59"/>
        <v>62258</v>
      </c>
      <c r="AD72" s="11">
        <f t="shared" si="59"/>
        <v>62258</v>
      </c>
      <c r="AE72" s="11">
        <f t="shared" si="59"/>
        <v>62258</v>
      </c>
      <c r="AF72" s="11">
        <f t="shared" si="59"/>
        <v>62258</v>
      </c>
      <c r="AG72" s="11">
        <f t="shared" si="59"/>
        <v>62258</v>
      </c>
      <c r="AH72" s="11">
        <f t="shared" si="59"/>
        <v>62258</v>
      </c>
      <c r="AI72" s="11">
        <f t="shared" si="59"/>
        <v>62258</v>
      </c>
      <c r="AJ72" s="11">
        <f t="shared" si="59"/>
        <v>62258</v>
      </c>
      <c r="AK72" s="11">
        <f t="shared" si="59"/>
        <v>62258</v>
      </c>
      <c r="AL72" s="11">
        <f t="shared" si="59"/>
        <v>62258</v>
      </c>
      <c r="AM72" s="11">
        <f t="shared" si="59"/>
        <v>62258</v>
      </c>
      <c r="AN72" s="11">
        <f t="shared" si="59"/>
        <v>62258</v>
      </c>
      <c r="AO72" s="50">
        <f t="shared" si="59"/>
        <v>62258</v>
      </c>
      <c r="AP72" s="11">
        <f t="shared" si="59"/>
        <v>62258</v>
      </c>
      <c r="AQ72" s="11">
        <f t="shared" si="59"/>
        <v>62258</v>
      </c>
      <c r="AR72" s="11">
        <f t="shared" si="59"/>
        <v>62258</v>
      </c>
      <c r="AS72" s="11">
        <f t="shared" si="59"/>
        <v>62258</v>
      </c>
      <c r="AT72" s="11">
        <f t="shared" si="59"/>
        <v>62258</v>
      </c>
      <c r="AU72" s="11">
        <f t="shared" si="59"/>
        <v>62258</v>
      </c>
      <c r="AV72" s="11">
        <f t="shared" si="59"/>
        <v>62258</v>
      </c>
      <c r="AW72" s="11">
        <f t="shared" si="59"/>
        <v>62258</v>
      </c>
      <c r="AX72" s="11">
        <f t="shared" si="59"/>
        <v>62258</v>
      </c>
      <c r="AY72" s="11">
        <f t="shared" si="59"/>
        <v>62258</v>
      </c>
      <c r="AZ72" s="11">
        <f t="shared" si="59"/>
        <v>62258</v>
      </c>
      <c r="BA72" s="31"/>
      <c r="BB72" s="11">
        <v>82446</v>
      </c>
      <c r="BC72" s="11">
        <f t="shared" si="49"/>
        <v>62258</v>
      </c>
      <c r="BD72" s="11">
        <f t="shared" si="50"/>
        <v>62258</v>
      </c>
      <c r="BE72" s="11">
        <f t="shared" si="51"/>
        <v>62258</v>
      </c>
    </row>
    <row r="73" spans="1:57" ht="14.25" customHeight="1" outlineLevel="1" x14ac:dyDescent="0.25">
      <c r="A73" s="22"/>
      <c r="B73" s="22"/>
      <c r="C73" s="22"/>
      <c r="D73" s="22" t="s">
        <v>58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11">
        <f t="shared" ref="T73:V73" si="60">T45+S73</f>
        <v>0</v>
      </c>
      <c r="U73" s="11">
        <f t="shared" si="60"/>
        <v>0</v>
      </c>
      <c r="V73" s="11">
        <f t="shared" si="60"/>
        <v>0</v>
      </c>
      <c r="W73" s="11">
        <f>Worksheet!M153</f>
        <v>512450.73847480334</v>
      </c>
      <c r="X73" s="11">
        <f>Worksheet!N153</f>
        <v>642295</v>
      </c>
      <c r="Y73" s="11">
        <f>Worksheet!O153</f>
        <v>775265</v>
      </c>
      <c r="Z73" s="11">
        <f>Worksheet!P153</f>
        <v>792840</v>
      </c>
      <c r="AA73" s="11">
        <f>Worksheet!Q153</f>
        <v>974540</v>
      </c>
      <c r="AB73" s="11">
        <f>Worksheet!R153</f>
        <v>1088115</v>
      </c>
      <c r="AC73" s="50">
        <f>Worksheet!S153</f>
        <v>1286440</v>
      </c>
      <c r="AD73" s="11">
        <f>Worksheet!T153</f>
        <v>1481765</v>
      </c>
      <c r="AE73" s="11">
        <f>Worksheet!U153</f>
        <v>1674890</v>
      </c>
      <c r="AF73" s="11">
        <f>Worksheet!V153</f>
        <v>1862815</v>
      </c>
      <c r="AG73" s="11">
        <f>Worksheet!W153</f>
        <v>2047740</v>
      </c>
      <c r="AH73" s="11">
        <f>Worksheet!X153</f>
        <v>2228265</v>
      </c>
      <c r="AI73" s="11">
        <f>Worksheet!Y153</f>
        <v>2401390</v>
      </c>
      <c r="AJ73" s="11">
        <f>Worksheet!Z153</f>
        <v>3295315</v>
      </c>
      <c r="AK73" s="11">
        <f>Worksheet!AA153</f>
        <v>3458040</v>
      </c>
      <c r="AL73" s="11">
        <f>Worksheet!AB153</f>
        <v>4342165</v>
      </c>
      <c r="AM73" s="11">
        <f>Worksheet!AC153</f>
        <v>4495890</v>
      </c>
      <c r="AN73" s="11">
        <f>Worksheet!AD153</f>
        <v>4645215</v>
      </c>
      <c r="AO73" s="50">
        <f>Worksheet!AE153</f>
        <v>5527315</v>
      </c>
      <c r="AP73" s="11">
        <f>Worksheet!AF153</f>
        <v>5674830</v>
      </c>
      <c r="AQ73" s="11">
        <f>Worksheet!AG153</f>
        <v>6543945</v>
      </c>
      <c r="AR73" s="11">
        <f>Worksheet!AH153</f>
        <v>6683260</v>
      </c>
      <c r="AS73" s="11">
        <f>Worksheet!AI153</f>
        <v>7544175</v>
      </c>
      <c r="AT73" s="11">
        <f>Worksheet!AJ153</f>
        <v>7676890</v>
      </c>
      <c r="AU73" s="11">
        <f>Worksheet!AK153</f>
        <v>7806605</v>
      </c>
      <c r="AV73" s="11">
        <f>Worksheet!AL153</f>
        <v>10315115</v>
      </c>
      <c r="AW73" s="11">
        <f>Worksheet!AM153</f>
        <v>11168425</v>
      </c>
      <c r="AX73" s="11">
        <f>Worksheet!AN153</f>
        <v>11293535</v>
      </c>
      <c r="AY73" s="11">
        <f>Worksheet!AO153</f>
        <v>11415645</v>
      </c>
      <c r="AZ73" s="11">
        <f>Worksheet!AP153</f>
        <v>13913755</v>
      </c>
      <c r="BA73" s="31"/>
      <c r="BB73" s="11"/>
      <c r="BC73" s="11">
        <f t="shared" si="49"/>
        <v>1088115</v>
      </c>
      <c r="BD73" s="11">
        <f t="shared" si="50"/>
        <v>4645215</v>
      </c>
      <c r="BE73" s="11">
        <f t="shared" si="51"/>
        <v>13913755</v>
      </c>
    </row>
    <row r="74" spans="1:57" ht="14.25" customHeight="1" outlineLevel="1" x14ac:dyDescent="0.25">
      <c r="A74" s="22"/>
      <c r="B74" s="22"/>
      <c r="C74" s="22"/>
      <c r="D74" s="22" t="s">
        <v>59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11">
        <f t="shared" ref="W74:AZ74" si="61">V74+W48+W49</f>
        <v>93490.047233333331</v>
      </c>
      <c r="X74" s="11">
        <f t="shared" si="61"/>
        <v>246869.61413333338</v>
      </c>
      <c r="Y74" s="11">
        <f t="shared" si="61"/>
        <v>464517.85543333337</v>
      </c>
      <c r="Z74" s="11">
        <f t="shared" si="61"/>
        <v>688243.47130000009</v>
      </c>
      <c r="AA74" s="11">
        <f t="shared" si="61"/>
        <v>975594.29637813428</v>
      </c>
      <c r="AB74" s="11">
        <f t="shared" si="61"/>
        <v>1296454.6458942394</v>
      </c>
      <c r="AC74" s="50">
        <f t="shared" si="61"/>
        <v>1593454.0637211006</v>
      </c>
      <c r="AD74" s="11">
        <f t="shared" si="61"/>
        <v>1922683.5873817443</v>
      </c>
      <c r="AE74" s="11">
        <f t="shared" si="61"/>
        <v>2269474.6301120603</v>
      </c>
      <c r="AF74" s="11">
        <f t="shared" si="61"/>
        <v>1365226.8357211698</v>
      </c>
      <c r="AG74" s="11">
        <f t="shared" si="61"/>
        <v>1868776.0980900223</v>
      </c>
      <c r="AH74" s="11">
        <f t="shared" si="61"/>
        <v>2438525.9442247651</v>
      </c>
      <c r="AI74" s="11">
        <f t="shared" si="61"/>
        <v>3212483.7238771706</v>
      </c>
      <c r="AJ74" s="11">
        <f t="shared" si="61"/>
        <v>4075846.16242366</v>
      </c>
      <c r="AK74" s="11">
        <f t="shared" si="61"/>
        <v>4975610.687707196</v>
      </c>
      <c r="AL74" s="11">
        <f t="shared" si="61"/>
        <v>6109401.2904214477</v>
      </c>
      <c r="AM74" s="11">
        <f t="shared" si="61"/>
        <v>7341190.4692654954</v>
      </c>
      <c r="AN74" s="11">
        <f t="shared" si="61"/>
        <v>8600683.4426658936</v>
      </c>
      <c r="AO74" s="50">
        <f t="shared" si="61"/>
        <v>10089629.689931974</v>
      </c>
      <c r="AP74" s="11">
        <f t="shared" si="61"/>
        <v>11617152.826499665</v>
      </c>
      <c r="AQ74" s="11">
        <f t="shared" si="61"/>
        <v>13338592.783611823</v>
      </c>
      <c r="AR74" s="11">
        <f t="shared" si="61"/>
        <v>6452666.5067246538</v>
      </c>
      <c r="AS74" s="11">
        <f t="shared" si="61"/>
        <v>8465815.8659615759</v>
      </c>
      <c r="AT74" s="11">
        <f t="shared" si="61"/>
        <v>10488768.463067599</v>
      </c>
      <c r="AU74" s="11">
        <f t="shared" si="61"/>
        <v>11700166.228684101</v>
      </c>
      <c r="AV74" s="11">
        <f t="shared" si="61"/>
        <v>13068941.963293402</v>
      </c>
      <c r="AW74" s="11">
        <f t="shared" si="61"/>
        <v>14506461.738615898</v>
      </c>
      <c r="AX74" s="11">
        <f t="shared" si="61"/>
        <v>16003943.468173794</v>
      </c>
      <c r="AY74" s="11">
        <f t="shared" si="61"/>
        <v>17571415.903666079</v>
      </c>
      <c r="AZ74" s="11">
        <f t="shared" si="61"/>
        <v>19409338.629467648</v>
      </c>
      <c r="BA74" s="31"/>
      <c r="BB74" s="11">
        <f>BA74+BB48+BB49</f>
        <v>0</v>
      </c>
      <c r="BC74" s="11">
        <f t="shared" si="49"/>
        <v>1296454.6458942394</v>
      </c>
      <c r="BD74" s="11">
        <f t="shared" si="50"/>
        <v>8600683.4426658936</v>
      </c>
      <c r="BE74" s="11">
        <f t="shared" si="51"/>
        <v>19409338.629467648</v>
      </c>
    </row>
    <row r="75" spans="1:57" ht="14.25" customHeight="1" outlineLevel="1" x14ac:dyDescent="0.25">
      <c r="A75" s="46"/>
      <c r="B75" s="46"/>
      <c r="C75" s="46" t="s">
        <v>60</v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9">
        <v>114687</v>
      </c>
      <c r="R75" s="9">
        <v>112687</v>
      </c>
      <c r="S75" s="9">
        <v>81686</v>
      </c>
      <c r="T75" s="9">
        <f>80687+T56</f>
        <v>50687</v>
      </c>
      <c r="U75" s="9">
        <f t="shared" ref="U75:V75" si="62">80687-30000</f>
        <v>50687</v>
      </c>
      <c r="V75" s="9">
        <f t="shared" si="62"/>
        <v>50687</v>
      </c>
      <c r="W75" s="9">
        <f t="shared" ref="W75:AZ75" si="63">V75-W52</f>
        <v>49937</v>
      </c>
      <c r="X75" s="9">
        <f t="shared" si="63"/>
        <v>49185</v>
      </c>
      <c r="Y75" s="9">
        <f t="shared" si="63"/>
        <v>48431</v>
      </c>
      <c r="Z75" s="9">
        <f t="shared" si="63"/>
        <v>47675</v>
      </c>
      <c r="AA75" s="9">
        <f t="shared" si="63"/>
        <v>46917</v>
      </c>
      <c r="AB75" s="9">
        <f t="shared" si="63"/>
        <v>46157</v>
      </c>
      <c r="AC75" s="10">
        <f t="shared" si="63"/>
        <v>45395</v>
      </c>
      <c r="AD75" s="9">
        <f t="shared" si="63"/>
        <v>44631</v>
      </c>
      <c r="AE75" s="9">
        <f t="shared" si="63"/>
        <v>43865</v>
      </c>
      <c r="AF75" s="9">
        <f t="shared" si="63"/>
        <v>43097</v>
      </c>
      <c r="AG75" s="9">
        <f t="shared" si="63"/>
        <v>42327</v>
      </c>
      <c r="AH75" s="9">
        <f t="shared" si="63"/>
        <v>41555</v>
      </c>
      <c r="AI75" s="9">
        <f t="shared" si="63"/>
        <v>40781</v>
      </c>
      <c r="AJ75" s="9">
        <f t="shared" si="63"/>
        <v>40005</v>
      </c>
      <c r="AK75" s="9">
        <f t="shared" si="63"/>
        <v>39227</v>
      </c>
      <c r="AL75" s="9">
        <f t="shared" si="63"/>
        <v>38447</v>
      </c>
      <c r="AM75" s="9">
        <f t="shared" si="63"/>
        <v>37665</v>
      </c>
      <c r="AN75" s="9">
        <f t="shared" si="63"/>
        <v>36881</v>
      </c>
      <c r="AO75" s="10">
        <f t="shared" si="63"/>
        <v>36095</v>
      </c>
      <c r="AP75" s="9">
        <f t="shared" si="63"/>
        <v>35307</v>
      </c>
      <c r="AQ75" s="9">
        <f t="shared" si="63"/>
        <v>34517</v>
      </c>
      <c r="AR75" s="9">
        <f t="shared" si="63"/>
        <v>33725</v>
      </c>
      <c r="AS75" s="9">
        <f t="shared" si="63"/>
        <v>32931</v>
      </c>
      <c r="AT75" s="9">
        <f t="shared" si="63"/>
        <v>32135</v>
      </c>
      <c r="AU75" s="9">
        <f t="shared" si="63"/>
        <v>31337</v>
      </c>
      <c r="AV75" s="9">
        <f t="shared" si="63"/>
        <v>30537</v>
      </c>
      <c r="AW75" s="9">
        <f t="shared" si="63"/>
        <v>29735</v>
      </c>
      <c r="AX75" s="9">
        <f t="shared" si="63"/>
        <v>28931</v>
      </c>
      <c r="AY75" s="9">
        <f t="shared" si="63"/>
        <v>28125</v>
      </c>
      <c r="AZ75" s="9">
        <f t="shared" si="63"/>
        <v>27317</v>
      </c>
      <c r="BA75" s="29"/>
      <c r="BB75" s="9">
        <v>115687</v>
      </c>
      <c r="BC75" s="9">
        <f t="shared" si="49"/>
        <v>46157</v>
      </c>
      <c r="BD75" s="9">
        <f t="shared" si="50"/>
        <v>36881</v>
      </c>
      <c r="BE75" s="9">
        <f t="shared" si="51"/>
        <v>27317</v>
      </c>
    </row>
    <row r="76" spans="1:57" ht="6" customHeight="1" outlineLevel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11"/>
      <c r="X76" s="22"/>
      <c r="Y76" s="22"/>
      <c r="Z76" s="22"/>
      <c r="AA76" s="22"/>
      <c r="AB76" s="22"/>
      <c r="AC76" s="31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31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31"/>
      <c r="BB76" s="22"/>
      <c r="BC76" s="22">
        <f t="shared" si="49"/>
        <v>0</v>
      </c>
      <c r="BD76" s="22">
        <f t="shared" si="50"/>
        <v>0</v>
      </c>
      <c r="BE76" s="22">
        <f t="shared" si="51"/>
        <v>0</v>
      </c>
    </row>
    <row r="77" spans="1:57" ht="14.25" customHeight="1" outlineLevel="1" x14ac:dyDescent="0.25">
      <c r="A77" s="46"/>
      <c r="B77" s="46"/>
      <c r="C77" s="30" t="s">
        <v>61</v>
      </c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7">
        <f t="shared" ref="Q77:AZ77" si="64">SUM(Q78:Q83)</f>
        <v>1153058.1200000001</v>
      </c>
      <c r="R77" s="7">
        <f t="shared" si="64"/>
        <v>916566.38</v>
      </c>
      <c r="S77" s="7">
        <f t="shared" si="64"/>
        <v>1008462.0741666665</v>
      </c>
      <c r="T77" s="7">
        <f t="shared" si="64"/>
        <v>496177.93041666644</v>
      </c>
      <c r="U77" s="7">
        <f t="shared" si="64"/>
        <v>949495.14249999961</v>
      </c>
      <c r="V77" s="7">
        <f t="shared" si="64"/>
        <v>1104320.3745833333</v>
      </c>
      <c r="W77" s="7">
        <f t="shared" si="64"/>
        <v>1852108.578196137</v>
      </c>
      <c r="X77" s="7">
        <f t="shared" si="64"/>
        <v>2208033.4029628043</v>
      </c>
      <c r="Y77" s="7">
        <f t="shared" si="64"/>
        <v>2782409.5699961372</v>
      </c>
      <c r="Z77" s="7">
        <f t="shared" si="64"/>
        <v>3375312.5874628033</v>
      </c>
      <c r="AA77" s="7">
        <f t="shared" si="64"/>
        <v>4151620.1158073246</v>
      </c>
      <c r="AB77" s="47">
        <f t="shared" si="64"/>
        <v>5021304.522949283</v>
      </c>
      <c r="AC77" s="6">
        <f t="shared" si="64"/>
        <v>5878415.9832344996</v>
      </c>
      <c r="AD77" s="7">
        <f t="shared" si="64"/>
        <v>6766679.9632507283</v>
      </c>
      <c r="AE77" s="7">
        <f t="shared" si="64"/>
        <v>7722110.0275470493</v>
      </c>
      <c r="AF77" s="7">
        <f t="shared" si="64"/>
        <v>8820612.7190103009</v>
      </c>
      <c r="AG77" s="7">
        <f t="shared" si="64"/>
        <v>10128009.769519899</v>
      </c>
      <c r="AH77" s="7">
        <f t="shared" si="64"/>
        <v>11684047.372867752</v>
      </c>
      <c r="AI77" s="7">
        <f t="shared" si="64"/>
        <v>13765727.664540591</v>
      </c>
      <c r="AJ77" s="7">
        <f t="shared" si="64"/>
        <v>16321735.487834478</v>
      </c>
      <c r="AK77" s="7">
        <f t="shared" si="64"/>
        <v>18896175.480861649</v>
      </c>
      <c r="AL77" s="7">
        <f t="shared" si="64"/>
        <v>22169578.216294453</v>
      </c>
      <c r="AM77" s="7">
        <f t="shared" si="64"/>
        <v>25737723.035681717</v>
      </c>
      <c r="AN77" s="47">
        <f t="shared" si="64"/>
        <v>29435870.781902689</v>
      </c>
      <c r="AO77" s="6">
        <f t="shared" si="64"/>
        <v>33817022.346087858</v>
      </c>
      <c r="AP77" s="7">
        <f t="shared" si="64"/>
        <v>38376474.955349736</v>
      </c>
      <c r="AQ77" s="7">
        <f t="shared" si="64"/>
        <v>43522811.803750977</v>
      </c>
      <c r="AR77" s="7">
        <f t="shared" si="64"/>
        <v>48793710.712957263</v>
      </c>
      <c r="AS77" s="7">
        <f t="shared" si="64"/>
        <v>54796813.509626009</v>
      </c>
      <c r="AT77" s="7">
        <f t="shared" si="64"/>
        <v>61005587.234373979</v>
      </c>
      <c r="AU77" s="7">
        <f t="shared" si="64"/>
        <v>64895969.005072534</v>
      </c>
      <c r="AV77" s="7">
        <f t="shared" si="64"/>
        <v>69353665.101307213</v>
      </c>
      <c r="AW77" s="7">
        <f t="shared" si="64"/>
        <v>74053822.638712049</v>
      </c>
      <c r="AX77" s="7">
        <f t="shared" si="64"/>
        <v>79028195.480948061</v>
      </c>
      <c r="AY77" s="7">
        <f t="shared" si="64"/>
        <v>84259769.158572614</v>
      </c>
      <c r="AZ77" s="47">
        <f t="shared" si="64"/>
        <v>90377926.390307739</v>
      </c>
      <c r="BA77" s="29"/>
      <c r="BB77" s="7">
        <f>SUM(BB78:BB83)</f>
        <v>1060238</v>
      </c>
      <c r="BC77" s="7">
        <f t="shared" si="49"/>
        <v>5021304.522949283</v>
      </c>
      <c r="BD77" s="7">
        <f t="shared" si="50"/>
        <v>29435870.781902689</v>
      </c>
      <c r="BE77" s="7">
        <f t="shared" si="51"/>
        <v>90377926.390307739</v>
      </c>
    </row>
    <row r="78" spans="1:57" ht="14.25" customHeight="1" outlineLevel="1" x14ac:dyDescent="0.25">
      <c r="A78" s="22"/>
      <c r="B78" s="22"/>
      <c r="C78" s="22"/>
      <c r="D78" s="22" t="s">
        <v>62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11">
        <v>82500</v>
      </c>
      <c r="R78" s="11">
        <v>82500</v>
      </c>
      <c r="S78" s="11">
        <v>82500</v>
      </c>
      <c r="T78" s="11">
        <v>82500</v>
      </c>
      <c r="U78" s="11">
        <v>82500</v>
      </c>
      <c r="V78" s="11">
        <v>82500</v>
      </c>
      <c r="W78" s="11">
        <v>82500</v>
      </c>
      <c r="X78" s="11">
        <v>82500</v>
      </c>
      <c r="Y78" s="11">
        <v>82500</v>
      </c>
      <c r="Z78" s="11">
        <v>82500</v>
      </c>
      <c r="AA78" s="11">
        <v>82500</v>
      </c>
      <c r="AB78" s="11">
        <v>82500</v>
      </c>
      <c r="AC78" s="50">
        <v>82500</v>
      </c>
      <c r="AD78" s="11">
        <v>82500</v>
      </c>
      <c r="AE78" s="11">
        <v>82500</v>
      </c>
      <c r="AF78" s="11">
        <v>82500</v>
      </c>
      <c r="AG78" s="11">
        <v>82500</v>
      </c>
      <c r="AH78" s="11">
        <v>82500</v>
      </c>
      <c r="AI78" s="11">
        <v>82500</v>
      </c>
      <c r="AJ78" s="11">
        <v>82500</v>
      </c>
      <c r="AK78" s="11">
        <v>82500</v>
      </c>
      <c r="AL78" s="11">
        <v>82500</v>
      </c>
      <c r="AM78" s="11">
        <v>82500</v>
      </c>
      <c r="AN78" s="11">
        <v>82500</v>
      </c>
      <c r="AO78" s="50">
        <v>82500</v>
      </c>
      <c r="AP78" s="11">
        <v>82500</v>
      </c>
      <c r="AQ78" s="11">
        <v>82500</v>
      </c>
      <c r="AR78" s="11">
        <v>82500</v>
      </c>
      <c r="AS78" s="11">
        <v>82500</v>
      </c>
      <c r="AT78" s="11">
        <v>82500</v>
      </c>
      <c r="AU78" s="11">
        <v>82500</v>
      </c>
      <c r="AV78" s="11">
        <v>82500</v>
      </c>
      <c r="AW78" s="11">
        <v>82500</v>
      </c>
      <c r="AX78" s="11">
        <v>82500</v>
      </c>
      <c r="AY78" s="11">
        <v>82500</v>
      </c>
      <c r="AZ78" s="11">
        <v>82500</v>
      </c>
      <c r="BA78" s="31"/>
      <c r="BB78" s="11">
        <v>82500</v>
      </c>
      <c r="BC78" s="11">
        <f t="shared" si="49"/>
        <v>82500</v>
      </c>
      <c r="BD78" s="11">
        <f t="shared" si="50"/>
        <v>82500</v>
      </c>
      <c r="BE78" s="11">
        <f t="shared" si="51"/>
        <v>82500</v>
      </c>
    </row>
    <row r="79" spans="1:57" ht="14.25" customHeight="1" outlineLevel="1" x14ac:dyDescent="0.25">
      <c r="A79" s="46"/>
      <c r="B79" s="46"/>
      <c r="C79" s="46"/>
      <c r="D79" s="46" t="s">
        <v>63</v>
      </c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9"/>
      <c r="X79" s="9">
        <f>W79+X55</f>
        <v>0</v>
      </c>
      <c r="Y79" s="9"/>
      <c r="Z79" s="9">
        <f t="shared" ref="Z79:AZ79" si="65">Y79+Z55</f>
        <v>0</v>
      </c>
      <c r="AA79" s="9">
        <f t="shared" si="65"/>
        <v>0</v>
      </c>
      <c r="AB79" s="9">
        <f t="shared" si="65"/>
        <v>0</v>
      </c>
      <c r="AC79" s="10">
        <f t="shared" si="65"/>
        <v>0</v>
      </c>
      <c r="AD79" s="9">
        <f t="shared" si="65"/>
        <v>0</v>
      </c>
      <c r="AE79" s="9">
        <f t="shared" si="65"/>
        <v>0</v>
      </c>
      <c r="AF79" s="9">
        <f t="shared" si="65"/>
        <v>0</v>
      </c>
      <c r="AG79" s="9">
        <f t="shared" si="65"/>
        <v>0</v>
      </c>
      <c r="AH79" s="9">
        <f t="shared" si="65"/>
        <v>0</v>
      </c>
      <c r="AI79" s="9">
        <f t="shared" si="65"/>
        <v>0</v>
      </c>
      <c r="AJ79" s="9">
        <f t="shared" si="65"/>
        <v>0</v>
      </c>
      <c r="AK79" s="9">
        <f t="shared" si="65"/>
        <v>0</v>
      </c>
      <c r="AL79" s="9">
        <f t="shared" si="65"/>
        <v>0</v>
      </c>
      <c r="AM79" s="9">
        <f t="shared" si="65"/>
        <v>0</v>
      </c>
      <c r="AN79" s="9">
        <f t="shared" si="65"/>
        <v>0</v>
      </c>
      <c r="AO79" s="10">
        <f t="shared" si="65"/>
        <v>0</v>
      </c>
      <c r="AP79" s="9">
        <f t="shared" si="65"/>
        <v>0</v>
      </c>
      <c r="AQ79" s="9">
        <f t="shared" si="65"/>
        <v>0</v>
      </c>
      <c r="AR79" s="9">
        <f t="shared" si="65"/>
        <v>0</v>
      </c>
      <c r="AS79" s="9">
        <f t="shared" si="65"/>
        <v>0</v>
      </c>
      <c r="AT79" s="9">
        <f t="shared" si="65"/>
        <v>0</v>
      </c>
      <c r="AU79" s="9">
        <f t="shared" si="65"/>
        <v>0</v>
      </c>
      <c r="AV79" s="9">
        <f t="shared" si="65"/>
        <v>0</v>
      </c>
      <c r="AW79" s="9">
        <f t="shared" si="65"/>
        <v>0</v>
      </c>
      <c r="AX79" s="9">
        <f t="shared" si="65"/>
        <v>0</v>
      </c>
      <c r="AY79" s="9">
        <f t="shared" si="65"/>
        <v>0</v>
      </c>
      <c r="AZ79" s="9">
        <f t="shared" si="65"/>
        <v>0</v>
      </c>
      <c r="BA79" s="29"/>
      <c r="BB79" s="9">
        <f>BA79+BB55</f>
        <v>0</v>
      </c>
      <c r="BC79" s="9">
        <f t="shared" si="49"/>
        <v>0</v>
      </c>
      <c r="BD79" s="9">
        <f t="shared" si="50"/>
        <v>0</v>
      </c>
      <c r="BE79" s="9">
        <f t="shared" si="51"/>
        <v>0</v>
      </c>
    </row>
    <row r="80" spans="1:57" ht="14.25" customHeight="1" outlineLevel="1" x14ac:dyDescent="0.25">
      <c r="A80" s="1"/>
      <c r="B80" s="1"/>
      <c r="C80" s="1"/>
      <c r="D80" s="22" t="s">
        <v>64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1">
        <f t="shared" ref="Q80:V80" si="66">R80+Q54</f>
        <v>58326</v>
      </c>
      <c r="R80" s="11">
        <f t="shared" si="66"/>
        <v>61180</v>
      </c>
      <c r="S80" s="11">
        <f t="shared" si="66"/>
        <v>62591</v>
      </c>
      <c r="T80" s="11">
        <f t="shared" si="66"/>
        <v>69358</v>
      </c>
      <c r="U80" s="11">
        <f t="shared" si="66"/>
        <v>523066</v>
      </c>
      <c r="V80" s="11">
        <f t="shared" si="66"/>
        <v>526402</v>
      </c>
      <c r="W80" s="11">
        <f>539661</f>
        <v>539661</v>
      </c>
      <c r="X80" s="11">
        <f t="shared" ref="X80:AZ80" si="67">W80-X54</f>
        <v>540881</v>
      </c>
      <c r="Y80" s="11">
        <f t="shared" si="67"/>
        <v>540881</v>
      </c>
      <c r="Z80" s="11">
        <f t="shared" si="67"/>
        <v>540881</v>
      </c>
      <c r="AA80" s="11">
        <f t="shared" si="67"/>
        <v>540881</v>
      </c>
      <c r="AB80" s="11">
        <f t="shared" si="67"/>
        <v>540881</v>
      </c>
      <c r="AC80" s="50">
        <f t="shared" si="67"/>
        <v>555881</v>
      </c>
      <c r="AD80" s="11">
        <f t="shared" si="67"/>
        <v>570881</v>
      </c>
      <c r="AE80" s="11">
        <f t="shared" si="67"/>
        <v>585881</v>
      </c>
      <c r="AF80" s="11">
        <f t="shared" si="67"/>
        <v>600881</v>
      </c>
      <c r="AG80" s="11">
        <f t="shared" si="67"/>
        <v>615881</v>
      </c>
      <c r="AH80" s="11">
        <f t="shared" si="67"/>
        <v>630881</v>
      </c>
      <c r="AI80" s="11">
        <f t="shared" si="67"/>
        <v>645881</v>
      </c>
      <c r="AJ80" s="11">
        <f t="shared" si="67"/>
        <v>660881</v>
      </c>
      <c r="AK80" s="11">
        <f t="shared" si="67"/>
        <v>675881</v>
      </c>
      <c r="AL80" s="11">
        <f t="shared" si="67"/>
        <v>690881</v>
      </c>
      <c r="AM80" s="11">
        <f t="shared" si="67"/>
        <v>705881</v>
      </c>
      <c r="AN80" s="11">
        <f t="shared" si="67"/>
        <v>720881</v>
      </c>
      <c r="AO80" s="50">
        <f t="shared" si="67"/>
        <v>735881</v>
      </c>
      <c r="AP80" s="11">
        <f t="shared" si="67"/>
        <v>750881</v>
      </c>
      <c r="AQ80" s="11">
        <f t="shared" si="67"/>
        <v>765881</v>
      </c>
      <c r="AR80" s="11">
        <f t="shared" si="67"/>
        <v>780881</v>
      </c>
      <c r="AS80" s="11">
        <f t="shared" si="67"/>
        <v>795881</v>
      </c>
      <c r="AT80" s="11">
        <f t="shared" si="67"/>
        <v>810881</v>
      </c>
      <c r="AU80" s="11">
        <f t="shared" si="67"/>
        <v>825881</v>
      </c>
      <c r="AV80" s="11">
        <f t="shared" si="67"/>
        <v>840881</v>
      </c>
      <c r="AW80" s="11">
        <f t="shared" si="67"/>
        <v>855881</v>
      </c>
      <c r="AX80" s="11">
        <f t="shared" si="67"/>
        <v>870881</v>
      </c>
      <c r="AY80" s="11">
        <f t="shared" si="67"/>
        <v>885881</v>
      </c>
      <c r="AZ80" s="11">
        <f t="shared" si="67"/>
        <v>900881</v>
      </c>
      <c r="BA80" s="41"/>
      <c r="BB80" s="11">
        <f>55098+164643</f>
        <v>219741</v>
      </c>
      <c r="BC80" s="11">
        <f t="shared" si="49"/>
        <v>540881</v>
      </c>
      <c r="BD80" s="11">
        <f t="shared" si="50"/>
        <v>720881</v>
      </c>
      <c r="BE80" s="11">
        <f t="shared" si="51"/>
        <v>900881</v>
      </c>
    </row>
    <row r="81" spans="1:57" ht="14.25" customHeight="1" outlineLevel="1" x14ac:dyDescent="0.25">
      <c r="A81" s="43"/>
      <c r="B81" s="43"/>
      <c r="C81" s="43"/>
      <c r="D81" s="43" t="s">
        <v>65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4">
        <f t="shared" ref="Q81:AZ81" si="68">Q64-Q70-SUM(Q78:Q80,Q83,Q82)</f>
        <v>118810.07999999973</v>
      </c>
      <c r="R81" s="44">
        <f t="shared" si="68"/>
        <v>118758.07999999961</v>
      </c>
      <c r="S81" s="44">
        <f t="shared" si="68"/>
        <v>114317.43416666635</v>
      </c>
      <c r="T81" s="44">
        <f t="shared" si="68"/>
        <v>-337597.90958333365</v>
      </c>
      <c r="U81" s="44">
        <f t="shared" si="68"/>
        <v>-790976.85750000039</v>
      </c>
      <c r="V81" s="44">
        <f t="shared" si="68"/>
        <v>-805520.80541666667</v>
      </c>
      <c r="W81" s="44">
        <f t="shared" si="68"/>
        <v>-336866.98790386296</v>
      </c>
      <c r="X81" s="44">
        <f t="shared" si="68"/>
        <v>-419381.69623719575</v>
      </c>
      <c r="Y81" s="44">
        <f t="shared" si="68"/>
        <v>-466097.98790386273</v>
      </c>
      <c r="Z81" s="44">
        <f t="shared" si="68"/>
        <v>-511674.82123719668</v>
      </c>
      <c r="AA81" s="44">
        <f t="shared" si="68"/>
        <v>-555879.11290386273</v>
      </c>
      <c r="AB81" s="44">
        <f t="shared" si="68"/>
        <v>-602577.40457052924</v>
      </c>
      <c r="AC81" s="66">
        <f t="shared" si="68"/>
        <v>-608582.42540386133</v>
      </c>
      <c r="AD81" s="44">
        <f t="shared" si="68"/>
        <v>-675645.38373719621</v>
      </c>
      <c r="AE81" s="44">
        <f t="shared" si="68"/>
        <v>-725785.83165386412</v>
      </c>
      <c r="AF81" s="44">
        <f t="shared" si="68"/>
        <v>-762788.45665386133</v>
      </c>
      <c r="AG81" s="44">
        <f t="shared" si="68"/>
        <v>-909447.78998719715</v>
      </c>
      <c r="AH81" s="44">
        <f t="shared" si="68"/>
        <v>-996866.69623719901</v>
      </c>
      <c r="AI81" s="44">
        <f t="shared" si="68"/>
        <v>-1142882.6004038677</v>
      </c>
      <c r="AJ81" s="44">
        <f t="shared" si="68"/>
        <v>-1070358.0472371951</v>
      </c>
      <c r="AK81" s="44">
        <f t="shared" si="68"/>
        <v>-1083547.8350405283</v>
      </c>
      <c r="AL81" s="44">
        <f t="shared" si="68"/>
        <v>-1067324.3915430941</v>
      </c>
      <c r="AM81" s="44">
        <f t="shared" si="68"/>
        <v>-1036733.1687714197</v>
      </c>
      <c r="AN81" s="44">
        <f t="shared" si="68"/>
        <v>-955399.68235622346</v>
      </c>
      <c r="AO81" s="66">
        <f t="shared" si="68"/>
        <v>-847529.08042651415</v>
      </c>
      <c r="AP81" s="44">
        <f t="shared" si="68"/>
        <v>-671726.06265752763</v>
      </c>
      <c r="AQ81" s="44">
        <f t="shared" si="68"/>
        <v>-463835.57804048806</v>
      </c>
      <c r="AR81" s="44">
        <f t="shared" si="68"/>
        <v>-112263.54081116617</v>
      </c>
      <c r="AS81" s="44">
        <f t="shared" si="68"/>
        <v>117811.16630329937</v>
      </c>
      <c r="AT81" s="44">
        <f t="shared" si="68"/>
        <v>525509.70010314882</v>
      </c>
      <c r="AU81" s="44">
        <f t="shared" si="68"/>
        <v>936677.78616143763</v>
      </c>
      <c r="AV81" s="44">
        <f t="shared" si="68"/>
        <v>1464901.220830515</v>
      </c>
      <c r="AW81" s="44">
        <f t="shared" si="68"/>
        <v>2038909.1307682842</v>
      </c>
      <c r="AX81" s="44">
        <f t="shared" si="68"/>
        <v>2715580.9629564136</v>
      </c>
      <c r="AY81" s="44">
        <f t="shared" si="68"/>
        <v>3449209.9506204128</v>
      </c>
      <c r="AZ81" s="44">
        <f t="shared" si="68"/>
        <v>4295663.1676105112</v>
      </c>
      <c r="BA81" s="45"/>
      <c r="BB81" s="44">
        <v>-336158</v>
      </c>
      <c r="BC81" s="44"/>
      <c r="BD81" s="44">
        <f t="shared" si="50"/>
        <v>-955399.68235622346</v>
      </c>
      <c r="BE81" s="44">
        <f t="shared" si="51"/>
        <v>4295663.1676105112</v>
      </c>
    </row>
    <row r="82" spans="1:57" ht="14.25" customHeight="1" outlineLevel="1" x14ac:dyDescent="0.25">
      <c r="A82" s="1"/>
      <c r="B82" s="1"/>
      <c r="C82" s="1"/>
      <c r="D82" s="1" t="s">
        <v>66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1">
        <f t="shared" ref="Q82:U82" si="69">R82-Q83</f>
        <v>796620.92000000039</v>
      </c>
      <c r="R82" s="11">
        <f t="shared" si="69"/>
        <v>893422.04000000039</v>
      </c>
      <c r="S82" s="11">
        <f t="shared" si="69"/>
        <v>654128.30000000028</v>
      </c>
      <c r="T82" s="11">
        <f t="shared" si="69"/>
        <v>749053.64000000013</v>
      </c>
      <c r="U82" s="11">
        <f t="shared" si="69"/>
        <v>681917.84000000008</v>
      </c>
      <c r="V82" s="11">
        <f>1134906</f>
        <v>1134906</v>
      </c>
      <c r="W82" s="11">
        <f t="shared" ref="W82:AZ82" si="70">V82+V83</f>
        <v>1300939.18</v>
      </c>
      <c r="X82" s="11">
        <f t="shared" si="70"/>
        <v>1566814.5660999999</v>
      </c>
      <c r="Y82" s="11">
        <f t="shared" si="70"/>
        <v>2004034.0992000001</v>
      </c>
      <c r="Z82" s="11">
        <f t="shared" si="70"/>
        <v>2625126.5578999999</v>
      </c>
      <c r="AA82" s="11">
        <f t="shared" si="70"/>
        <v>3263606.4087</v>
      </c>
      <c r="AB82" s="11">
        <f t="shared" si="70"/>
        <v>4084118.2287111869</v>
      </c>
      <c r="AC82" s="50">
        <f t="shared" si="70"/>
        <v>5000500.9275198122</v>
      </c>
      <c r="AD82" s="11">
        <f t="shared" si="70"/>
        <v>5848617.4086383609</v>
      </c>
      <c r="AE82" s="11">
        <f t="shared" si="70"/>
        <v>6788944.3469879245</v>
      </c>
      <c r="AF82" s="11">
        <f t="shared" si="70"/>
        <v>7779514.8592009135</v>
      </c>
      <c r="AG82" s="11">
        <f t="shared" si="70"/>
        <v>8900020.1756641623</v>
      </c>
      <c r="AH82" s="11">
        <f t="shared" si="70"/>
        <v>10339076.559507096</v>
      </c>
      <c r="AI82" s="11">
        <f t="shared" si="70"/>
        <v>11967533.069104951</v>
      </c>
      <c r="AJ82" s="11">
        <f t="shared" si="70"/>
        <v>14180229.264944458</v>
      </c>
      <c r="AK82" s="11">
        <f t="shared" si="70"/>
        <v>16648712.535071673</v>
      </c>
      <c r="AL82" s="11">
        <f t="shared" si="70"/>
        <v>19221342.315902177</v>
      </c>
      <c r="AM82" s="11">
        <f t="shared" si="70"/>
        <v>22463521.607837543</v>
      </c>
      <c r="AN82" s="11">
        <f t="shared" si="70"/>
        <v>25986075.20445314</v>
      </c>
      <c r="AO82" s="50">
        <f t="shared" si="70"/>
        <v>29587889.464258913</v>
      </c>
      <c r="AP82" s="11">
        <f t="shared" si="70"/>
        <v>33846170.426514372</v>
      </c>
      <c r="AQ82" s="11">
        <f t="shared" si="70"/>
        <v>38214820.018007264</v>
      </c>
      <c r="AR82" s="11">
        <f t="shared" si="70"/>
        <v>43138266.381791465</v>
      </c>
      <c r="AS82" s="11">
        <f t="shared" si="70"/>
        <v>48042593.253768429</v>
      </c>
      <c r="AT82" s="11">
        <f t="shared" si="70"/>
        <v>53800621.343322709</v>
      </c>
      <c r="AU82" s="11">
        <f t="shared" si="70"/>
        <v>59586696.53427083</v>
      </c>
      <c r="AV82" s="11">
        <f t="shared" si="70"/>
        <v>63050910.218911096</v>
      </c>
      <c r="AW82" s="11">
        <f t="shared" si="70"/>
        <v>66965382.880476698</v>
      </c>
      <c r="AX82" s="11">
        <f t="shared" si="70"/>
        <v>71076532.507943764</v>
      </c>
      <c r="AY82" s="11">
        <f t="shared" si="70"/>
        <v>75359233.517991647</v>
      </c>
      <c r="AZ82" s="11">
        <f t="shared" si="70"/>
        <v>79842178.207952201</v>
      </c>
      <c r="BA82" s="41"/>
      <c r="BB82" s="11">
        <v>171158</v>
      </c>
      <c r="BC82" s="11">
        <f>Q82</f>
        <v>796620.92000000039</v>
      </c>
      <c r="BD82" s="11">
        <f t="shared" si="50"/>
        <v>25986075.20445314</v>
      </c>
      <c r="BE82" s="11">
        <f t="shared" si="51"/>
        <v>79842178.207952201</v>
      </c>
    </row>
    <row r="83" spans="1:57" ht="14.25" customHeight="1" outlineLevel="1" x14ac:dyDescent="0.25">
      <c r="A83" s="1"/>
      <c r="B83" s="1"/>
      <c r="C83" s="1"/>
      <c r="D83" s="1" t="s">
        <v>35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1">
        <f t="shared" ref="Q83:AZ83" si="71">Q43</f>
        <v>96801.12</v>
      </c>
      <c r="R83" s="11">
        <f t="shared" si="71"/>
        <v>-239293.74000000011</v>
      </c>
      <c r="S83" s="11">
        <f t="shared" si="71"/>
        <v>94925.339999999909</v>
      </c>
      <c r="T83" s="11">
        <f t="shared" si="71"/>
        <v>-67135.800000000047</v>
      </c>
      <c r="U83" s="11">
        <f t="shared" si="71"/>
        <v>452988.15999999992</v>
      </c>
      <c r="V83" s="11">
        <f t="shared" si="71"/>
        <v>166033.17999999993</v>
      </c>
      <c r="W83" s="11">
        <f t="shared" si="71"/>
        <v>265875.38609999995</v>
      </c>
      <c r="X83" s="11">
        <f t="shared" si="71"/>
        <v>437219.53310000006</v>
      </c>
      <c r="Y83" s="11">
        <f t="shared" si="71"/>
        <v>621092.45869999996</v>
      </c>
      <c r="Z83" s="11">
        <f t="shared" si="71"/>
        <v>638479.85080000013</v>
      </c>
      <c r="AA83" s="11">
        <f t="shared" si="71"/>
        <v>820511.82001118711</v>
      </c>
      <c r="AB83" s="11">
        <f t="shared" si="71"/>
        <v>916382.69880862534</v>
      </c>
      <c r="AC83" s="50">
        <f t="shared" si="71"/>
        <v>848116.48111854866</v>
      </c>
      <c r="AD83" s="11">
        <f t="shared" si="71"/>
        <v>940326.9383495634</v>
      </c>
      <c r="AE83" s="11">
        <f t="shared" si="71"/>
        <v>990570.51221298869</v>
      </c>
      <c r="AF83" s="11">
        <f t="shared" si="71"/>
        <v>1120505.3164632486</v>
      </c>
      <c r="AG83" s="11">
        <f t="shared" si="71"/>
        <v>1439056.3838429335</v>
      </c>
      <c r="AH83" s="11">
        <f t="shared" si="71"/>
        <v>1628456.5095978547</v>
      </c>
      <c r="AI83" s="11">
        <f t="shared" si="71"/>
        <v>2212696.1958395075</v>
      </c>
      <c r="AJ83" s="11">
        <f t="shared" si="71"/>
        <v>2468483.2701272145</v>
      </c>
      <c r="AK83" s="11">
        <f t="shared" si="71"/>
        <v>2572629.7808305034</v>
      </c>
      <c r="AL83" s="11">
        <f t="shared" si="71"/>
        <v>3242179.2919353675</v>
      </c>
      <c r="AM83" s="11">
        <f t="shared" si="71"/>
        <v>3522553.5966155957</v>
      </c>
      <c r="AN83" s="11">
        <f t="shared" si="71"/>
        <v>3601814.2598057734</v>
      </c>
      <c r="AO83" s="50">
        <f t="shared" si="71"/>
        <v>4258280.9622554621</v>
      </c>
      <c r="AP83" s="11">
        <f t="shared" si="71"/>
        <v>4368649.5914928941</v>
      </c>
      <c r="AQ83" s="11">
        <f t="shared" si="71"/>
        <v>4923446.3637842014</v>
      </c>
      <c r="AR83" s="11">
        <f t="shared" si="71"/>
        <v>4904326.871976966</v>
      </c>
      <c r="AS83" s="11">
        <f t="shared" si="71"/>
        <v>5758028.0895542819</v>
      </c>
      <c r="AT83" s="11">
        <f t="shared" si="71"/>
        <v>5786075.1909481212</v>
      </c>
      <c r="AU83" s="11">
        <f t="shared" si="71"/>
        <v>3464213.684640266</v>
      </c>
      <c r="AV83" s="11">
        <f t="shared" si="71"/>
        <v>3914472.6615656056</v>
      </c>
      <c r="AW83" s="11">
        <f t="shared" si="71"/>
        <v>4111149.6274670679</v>
      </c>
      <c r="AX83" s="11">
        <f t="shared" si="71"/>
        <v>4282701.0100478809</v>
      </c>
      <c r="AY83" s="11">
        <f t="shared" si="71"/>
        <v>4482944.6899605468</v>
      </c>
      <c r="AZ83" s="11">
        <f t="shared" si="71"/>
        <v>5256704.0147450296</v>
      </c>
      <c r="BA83" s="41"/>
      <c r="BB83" s="11">
        <v>922997</v>
      </c>
      <c r="BC83" s="11">
        <f>BC34</f>
        <v>4203880.0075198114</v>
      </c>
      <c r="BD83" s="11">
        <f t="shared" si="50"/>
        <v>3601814.2598057734</v>
      </c>
      <c r="BE83" s="11">
        <f t="shared" si="51"/>
        <v>5256704.0147450296</v>
      </c>
    </row>
    <row r="84" spans="1:57" ht="6" customHeight="1" outlineLevel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1"/>
      <c r="X84" s="1"/>
      <c r="Y84" s="1"/>
      <c r="Z84" s="1"/>
      <c r="AA84" s="1"/>
      <c r="AB84" s="1"/>
      <c r="AC84" s="4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41"/>
      <c r="BB84" s="1"/>
      <c r="BC84" s="1"/>
      <c r="BD84" s="1"/>
      <c r="BE84" s="1"/>
    </row>
    <row r="85" spans="1:57" ht="14.25" customHeight="1" outlineLevel="1" x14ac:dyDescent="0.25">
      <c r="A85" s="46"/>
      <c r="B85" s="46"/>
      <c r="C85" s="30" t="s">
        <v>67</v>
      </c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7">
        <f t="shared" ref="Q85:AZ85" si="72">Q77+Q70</f>
        <v>1341775.1200000001</v>
      </c>
      <c r="R85" s="7">
        <f t="shared" si="72"/>
        <v>1115655.3799999999</v>
      </c>
      <c r="S85" s="7">
        <f t="shared" si="72"/>
        <v>1215076.0741666665</v>
      </c>
      <c r="T85" s="7">
        <f t="shared" si="72"/>
        <v>632179.93041666644</v>
      </c>
      <c r="U85" s="7">
        <f t="shared" si="72"/>
        <v>1060545.1424999996</v>
      </c>
      <c r="V85" s="7">
        <f t="shared" si="72"/>
        <v>1220264.3745833333</v>
      </c>
      <c r="W85" s="7">
        <f t="shared" si="72"/>
        <v>2588244.3639042736</v>
      </c>
      <c r="X85" s="7">
        <f t="shared" si="72"/>
        <v>3208641.0170961376</v>
      </c>
      <c r="Y85" s="7">
        <f t="shared" si="72"/>
        <v>4132881.4254294708</v>
      </c>
      <c r="Z85" s="7">
        <f t="shared" si="72"/>
        <v>4966329.0587628037</v>
      </c>
      <c r="AA85" s="7">
        <f t="shared" si="72"/>
        <v>6210929.4121854585</v>
      </c>
      <c r="AB85" s="47">
        <f t="shared" si="72"/>
        <v>7514289.1688435227</v>
      </c>
      <c r="AC85" s="6">
        <f t="shared" si="72"/>
        <v>8865963.0469556004</v>
      </c>
      <c r="AD85" s="7">
        <f t="shared" si="72"/>
        <v>10278017.550632473</v>
      </c>
      <c r="AE85" s="7">
        <f t="shared" si="72"/>
        <v>11772597.65765911</v>
      </c>
      <c r="AF85" s="7">
        <f t="shared" si="72"/>
        <v>12154009.55473147</v>
      </c>
      <c r="AG85" s="7">
        <f t="shared" si="72"/>
        <v>14149110.867609922</v>
      </c>
      <c r="AH85" s="7">
        <f t="shared" si="72"/>
        <v>16454651.317092517</v>
      </c>
      <c r="AI85" s="7">
        <f t="shared" si="72"/>
        <v>19482640.388417762</v>
      </c>
      <c r="AJ85" s="7">
        <f t="shared" si="72"/>
        <v>23795159.650258139</v>
      </c>
      <c r="AK85" s="7">
        <f t="shared" si="72"/>
        <v>27431311.168568846</v>
      </c>
      <c r="AL85" s="7">
        <f t="shared" si="72"/>
        <v>32721849.506715901</v>
      </c>
      <c r="AM85" s="7">
        <f t="shared" si="72"/>
        <v>37674726.504947215</v>
      </c>
      <c r="AN85" s="47">
        <f t="shared" si="72"/>
        <v>42780908.224568583</v>
      </c>
      <c r="AO85" s="6">
        <f t="shared" si="72"/>
        <v>49532320.036019832</v>
      </c>
      <c r="AP85" s="7">
        <f t="shared" si="72"/>
        <v>55766022.781849399</v>
      </c>
      <c r="AQ85" s="7">
        <f t="shared" si="72"/>
        <v>63502124.587362796</v>
      </c>
      <c r="AR85" s="7">
        <f t="shared" si="72"/>
        <v>62025620.219681919</v>
      </c>
      <c r="AS85" s="7">
        <f t="shared" si="72"/>
        <v>70901993.375587583</v>
      </c>
      <c r="AT85" s="7">
        <f t="shared" si="72"/>
        <v>79265638.697441578</v>
      </c>
      <c r="AU85" s="7">
        <f t="shared" si="72"/>
        <v>84496335.233756632</v>
      </c>
      <c r="AV85" s="7">
        <f t="shared" si="72"/>
        <v>92830517.064600617</v>
      </c>
      <c r="AW85" s="7">
        <f t="shared" si="72"/>
        <v>99820702.377327949</v>
      </c>
      <c r="AX85" s="7">
        <f t="shared" si="72"/>
        <v>106416862.94912186</v>
      </c>
      <c r="AY85" s="7">
        <f t="shared" si="72"/>
        <v>113337213.06223869</v>
      </c>
      <c r="AZ85" s="47">
        <f t="shared" si="72"/>
        <v>123790595.01977539</v>
      </c>
      <c r="BA85" s="29"/>
      <c r="BB85" s="7">
        <f>BB77+BB70</f>
        <v>1258371</v>
      </c>
      <c r="BC85" s="7">
        <f>AB85</f>
        <v>7514289.1688435227</v>
      </c>
      <c r="BD85" s="7">
        <f>AN85</f>
        <v>42780908.224568583</v>
      </c>
      <c r="BE85" s="7">
        <f>AZ85</f>
        <v>123790595.01977539</v>
      </c>
    </row>
    <row r="86" spans="1:57" ht="14.25" customHeight="1" outlineLevel="1" x14ac:dyDescent="0.25">
      <c r="A86" s="67"/>
      <c r="B86" s="67"/>
      <c r="C86" s="67"/>
      <c r="D86" s="2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1"/>
      <c r="X86" s="61"/>
      <c r="Y86" s="61"/>
      <c r="Z86" s="61"/>
      <c r="AA86" s="61"/>
      <c r="AB86" s="61"/>
      <c r="AC86" s="62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2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8"/>
      <c r="BB86" s="61"/>
      <c r="BC86" s="61"/>
      <c r="BD86" s="67"/>
      <c r="BE86" s="67"/>
    </row>
    <row r="87" spans="1:57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1"/>
      <c r="BC87" s="11"/>
      <c r="BD87" s="1"/>
      <c r="BE87" s="1"/>
    </row>
    <row r="88" spans="1:57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1"/>
      <c r="BC88" s="11"/>
      <c r="BD88" s="1"/>
      <c r="BE88" s="1"/>
    </row>
    <row r="89" spans="1:57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1"/>
      <c r="BC89" s="11"/>
      <c r="BD89" s="1"/>
      <c r="BE89" s="1"/>
    </row>
    <row r="90" spans="1:57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1:57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1:57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1:57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1:57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1:57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1:57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1:57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1:57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1:57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1:57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1:57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1:57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1:57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1:57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1:57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1:57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1:57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1:57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1:57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1:57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1:57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1:57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1:57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1:57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1:57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1:57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1:57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1:57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1:57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1:57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1:57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1:57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1:57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1:57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1:57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1:57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1:57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1:57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1:57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1:57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1:57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1:57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1:57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1:57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1:57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1:57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1:57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1:57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1:57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1:57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1:57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1:57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1:57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1:57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1:57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1:57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1:57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1:57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1:57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1:57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1:57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1:57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1:57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1:57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1:57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1:57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1:57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1:57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1:57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1:57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1:57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1:57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1:57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1:57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1:57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1:57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1:57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1:57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1:57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1:57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1:57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1:57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1:57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1:57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1:57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1:57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1:57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1:57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1:57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1:57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1:57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1:57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1:57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1:57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1:57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1:57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1:57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1:57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1:57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1:57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1:57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1:57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1:57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1:57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1:57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1:57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1:57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1:57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1:57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1:57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1:57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1:57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1:57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1:57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1:57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1:57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1:57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1:57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1:57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1:57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1:57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1:57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1:57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1:57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1:57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1:57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1:57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1:57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1:57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1:57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1:57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1:57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1:57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1:57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1:57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1:57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1:57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1:57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1:57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1:57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1:57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1:57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1:57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1:57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1:57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1:57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1:57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1:57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1:57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1:57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1:57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1:57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1:57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1:57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1:57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1:57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1:57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1:57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1:57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1:57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1:57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1:57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1:57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1:57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1:57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1:57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1:57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1:57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1:57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1:57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1:57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1:57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1:57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1:57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1:57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1:57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1:57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1:57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1:57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1:57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1:57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1:57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1:57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1:57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1:57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1:57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1:57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1:57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1:57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1:57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1:57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1:57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1:57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1:57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1:57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1:57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1:57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1:57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1:57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1:57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1:57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1:57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1:57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1:57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1:57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1:57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1:57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1:57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1:57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1:57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1:57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1:57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1:57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1:57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1:57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1:57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1:57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1:57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1:57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1:57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1:57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1:57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1:57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1:57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1:57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1:57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1:57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1:57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1:57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1:57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1:57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1:57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1:57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1:57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1:57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1:57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1:57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1:57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1:57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1:57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1:57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1:57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1:57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1:57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1:57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1:57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1:57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1:57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1:57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1:57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1:57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1:57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1:57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1:57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1:57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1:57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1:57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1:57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1:57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1:57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1:57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1:57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1:57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1:57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1:57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1:57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1:57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1:57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1:57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1:57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1:57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1:57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1:57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1:57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1:57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1:57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1:57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1:57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1:57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1:57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1:57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1:57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1:57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1:57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1:57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1:57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1:57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1:57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1:57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1:57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1:57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1:57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1:57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1:57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1:57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1:57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1:57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1:57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1:57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1:57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1:57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1:57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1:57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1:57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1:57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1:57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1:57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1:57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1:57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1:57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1:57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1:57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1:57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1:57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1:57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1:57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1:57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1:57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1:57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1:57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1:57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1:57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1:57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1:57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1:57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1:57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1:57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1:57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1:57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1:57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1:57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1:57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1:57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1:57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1:57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1:57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1:57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1:57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1:57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1:57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1:57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1:57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1:57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1:57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1:57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1:57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1:57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1:57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1:57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1:57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1:57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1:57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1:57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1:57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1:57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1:57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1:57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1:57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1:57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1:57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1:57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1:57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1:57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1:57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1:57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1:57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1:57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1:57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1:57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1:57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1:57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1:57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1:57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1:57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1:57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1:57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</sheetData>
  <conditionalFormatting sqref="Q41">
    <cfRule type="cellIs" dxfId="13" priority="1" operator="lessThan">
      <formula>0</formula>
    </cfRule>
  </conditionalFormatting>
  <conditionalFormatting sqref="Q58:AZ58">
    <cfRule type="cellIs" dxfId="12" priority="2" operator="lessThan">
      <formula>0</formula>
    </cfRule>
  </conditionalFormatting>
  <conditionalFormatting sqref="BB58:BE58">
    <cfRule type="cellIs" dxfId="11" priority="3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outlinePr summaryBelow="0" summaryRight="0"/>
  </sheetPr>
  <dimension ref="A1:Z1012"/>
  <sheetViews>
    <sheetView topLeftCell="A19" workbookViewId="0">
      <selection activeCell="C50" sqref="C50"/>
    </sheetView>
  </sheetViews>
  <sheetFormatPr defaultColWidth="12.7109375" defaultRowHeight="15" customHeight="1" x14ac:dyDescent="0.25"/>
  <cols>
    <col min="1" max="1" width="2.28515625" customWidth="1"/>
    <col min="2" max="2" width="5.85546875" customWidth="1"/>
    <col min="3" max="3" width="103.42578125" customWidth="1"/>
  </cols>
  <sheetData>
    <row r="1" spans="1:26" ht="15" customHeight="1" x14ac:dyDescent="0.25">
      <c r="A1" s="69"/>
      <c r="B1" s="70" t="s">
        <v>68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5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15" customHeight="1" x14ac:dyDescent="0.25">
      <c r="A3" s="72"/>
      <c r="B3" s="73" t="s">
        <v>69</v>
      </c>
      <c r="C3" s="74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15" customHeight="1" x14ac:dyDescent="0.25">
      <c r="A4" s="72"/>
      <c r="B4" s="75" t="s">
        <v>70</v>
      </c>
      <c r="C4" s="76" t="s">
        <v>71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15" customHeight="1" x14ac:dyDescent="0.25">
      <c r="A5" s="72"/>
      <c r="B5" s="75" t="s">
        <v>72</v>
      </c>
      <c r="C5" s="76" t="s">
        <v>73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15" customHeight="1" x14ac:dyDescent="0.25">
      <c r="A6" s="72"/>
      <c r="B6" s="75" t="s">
        <v>74</v>
      </c>
      <c r="C6" s="76" t="s">
        <v>75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15" customHeight="1" x14ac:dyDescent="0.25">
      <c r="A7" s="72"/>
      <c r="B7" s="75" t="s">
        <v>76</v>
      </c>
      <c r="C7" s="76" t="s">
        <v>77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15" customHeight="1" x14ac:dyDescent="0.25">
      <c r="A8" s="72"/>
      <c r="B8" s="75" t="s">
        <v>78</v>
      </c>
      <c r="C8" s="76" t="s">
        <v>79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15" customHeight="1" x14ac:dyDescent="0.25">
      <c r="A9" s="72"/>
      <c r="B9" s="75"/>
      <c r="C9" s="76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15" customHeight="1" x14ac:dyDescent="0.25">
      <c r="A10" s="77"/>
      <c r="B10" s="73" t="s">
        <v>80</v>
      </c>
      <c r="C10" s="78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5" customHeight="1" x14ac:dyDescent="0.25">
      <c r="A11" s="72"/>
      <c r="B11" s="75" t="s">
        <v>81</v>
      </c>
      <c r="C11" s="76" t="s">
        <v>82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15" customHeight="1" x14ac:dyDescent="0.25">
      <c r="A12" s="72"/>
      <c r="B12" s="74"/>
      <c r="C12" s="74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15" customHeight="1" x14ac:dyDescent="0.25">
      <c r="A13" s="72"/>
      <c r="B13" s="73" t="s">
        <v>83</v>
      </c>
      <c r="C13" s="79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15" customHeight="1" x14ac:dyDescent="0.25">
      <c r="A14" s="72"/>
      <c r="B14" s="75" t="s">
        <v>84</v>
      </c>
      <c r="C14" s="76" t="s">
        <v>85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15" customHeight="1" x14ac:dyDescent="0.25">
      <c r="A15" s="72"/>
      <c r="B15" s="75" t="s">
        <v>86</v>
      </c>
      <c r="C15" s="76" t="s">
        <v>87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15" customHeight="1" x14ac:dyDescent="0.25">
      <c r="A16" s="72"/>
      <c r="B16" s="75" t="s">
        <v>88</v>
      </c>
      <c r="C16" s="76" t="s">
        <v>89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15" customHeight="1" x14ac:dyDescent="0.25">
      <c r="A17" s="72"/>
      <c r="B17" s="75" t="s">
        <v>90</v>
      </c>
      <c r="C17" s="76" t="s">
        <v>91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15" customHeight="1" x14ac:dyDescent="0.25">
      <c r="A18" s="72"/>
      <c r="B18" s="74"/>
      <c r="C18" s="74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15" customHeight="1" x14ac:dyDescent="0.25">
      <c r="A19" s="72"/>
      <c r="B19" s="73" t="s">
        <v>92</v>
      </c>
      <c r="C19" s="74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15" customHeight="1" x14ac:dyDescent="0.25">
      <c r="A20" s="72"/>
      <c r="B20" s="75" t="s">
        <v>93</v>
      </c>
      <c r="C20" s="76" t="s">
        <v>94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15" customHeight="1" x14ac:dyDescent="0.25">
      <c r="A21" s="72"/>
      <c r="B21" s="75" t="s">
        <v>95</v>
      </c>
      <c r="C21" s="76" t="s">
        <v>96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15" customHeight="1" x14ac:dyDescent="0.25">
      <c r="A22" s="72"/>
      <c r="B22" s="74"/>
      <c r="C22" s="74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15" customHeight="1" x14ac:dyDescent="0.25">
      <c r="A23" s="72"/>
      <c r="B23" s="73" t="s">
        <v>97</v>
      </c>
      <c r="C23" s="74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15" customHeight="1" x14ac:dyDescent="0.25">
      <c r="A24" s="72"/>
      <c r="B24" s="75" t="s">
        <v>98</v>
      </c>
      <c r="C24" s="76" t="s">
        <v>99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15" customHeight="1" x14ac:dyDescent="0.25">
      <c r="A25" s="72"/>
      <c r="B25" s="75" t="s">
        <v>100</v>
      </c>
      <c r="C25" s="76" t="s">
        <v>101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15" customHeight="1" x14ac:dyDescent="0.25">
      <c r="A26" s="72"/>
      <c r="B26" s="74"/>
      <c r="C26" s="74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15" customHeight="1" x14ac:dyDescent="0.25">
      <c r="A27" s="72"/>
      <c r="B27" s="73" t="s">
        <v>102</v>
      </c>
      <c r="C27" s="74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15" customHeight="1" x14ac:dyDescent="0.25">
      <c r="A28" s="72"/>
      <c r="B28" s="75" t="s">
        <v>103</v>
      </c>
      <c r="C28" s="76" t="s">
        <v>104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15" customHeight="1" x14ac:dyDescent="0.25">
      <c r="A29" s="72"/>
      <c r="B29" s="75" t="s">
        <v>105</v>
      </c>
      <c r="C29" s="76" t="s">
        <v>106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15" customHeight="1" x14ac:dyDescent="0.25">
      <c r="A30" s="72"/>
      <c r="B30" s="75" t="s">
        <v>107</v>
      </c>
      <c r="C30" s="76" t="s">
        <v>108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15" customHeight="1" x14ac:dyDescent="0.25">
      <c r="A31" s="72"/>
      <c r="B31" s="75" t="s">
        <v>109</v>
      </c>
      <c r="C31" s="76" t="s">
        <v>110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15" customHeight="1" x14ac:dyDescent="0.25">
      <c r="A32" s="72"/>
      <c r="B32" s="74"/>
      <c r="C32" s="74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15" customHeight="1" x14ac:dyDescent="0.25">
      <c r="A33" s="72"/>
      <c r="B33" s="73" t="s">
        <v>111</v>
      </c>
      <c r="C33" s="74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15" customHeight="1" x14ac:dyDescent="0.25">
      <c r="A34" s="72"/>
      <c r="B34" s="75" t="s">
        <v>112</v>
      </c>
      <c r="C34" s="76" t="s">
        <v>113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15" customHeight="1" x14ac:dyDescent="0.25">
      <c r="A35" s="72"/>
      <c r="B35" s="75" t="s">
        <v>114</v>
      </c>
      <c r="C35" s="76" t="s">
        <v>115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15" customHeight="1" x14ac:dyDescent="0.25">
      <c r="A36" s="72"/>
      <c r="B36" s="75" t="s">
        <v>116</v>
      </c>
      <c r="C36" s="76" t="s">
        <v>117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15" customHeight="1" x14ac:dyDescent="0.25">
      <c r="A37" s="72"/>
      <c r="B37" s="75" t="s">
        <v>118</v>
      </c>
      <c r="C37" s="76" t="s">
        <v>119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x14ac:dyDescent="0.25">
      <c r="A38" s="72"/>
      <c r="B38" s="75" t="s">
        <v>120</v>
      </c>
      <c r="C38" s="76" t="s">
        <v>121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x14ac:dyDescent="0.25">
      <c r="A39" s="72"/>
      <c r="B39" s="75" t="s">
        <v>122</v>
      </c>
      <c r="C39" s="76" t="s">
        <v>123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30" x14ac:dyDescent="0.25">
      <c r="A40" s="72"/>
      <c r="B40" s="75" t="s">
        <v>124</v>
      </c>
      <c r="C40" s="76" t="s">
        <v>125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x14ac:dyDescent="0.25">
      <c r="A41" s="72"/>
      <c r="B41" s="75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x14ac:dyDescent="0.25">
      <c r="A42" s="77"/>
      <c r="B42" s="73" t="s">
        <v>126</v>
      </c>
      <c r="C42" s="78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x14ac:dyDescent="0.25">
      <c r="A43" s="72"/>
      <c r="B43" s="75"/>
      <c r="C43" s="22" t="s">
        <v>127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x14ac:dyDescent="0.25">
      <c r="A44" s="72"/>
      <c r="B44" s="75"/>
      <c r="C44" s="22" t="s">
        <v>128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x14ac:dyDescent="0.25">
      <c r="A45" s="72"/>
      <c r="B45" s="75"/>
      <c r="C45" s="22" t="s">
        <v>129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x14ac:dyDescent="0.25">
      <c r="A46" s="72"/>
      <c r="B46" s="75"/>
      <c r="C46" s="22" t="s">
        <v>130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x14ac:dyDescent="0.25">
      <c r="A47" s="72"/>
      <c r="B47" s="75"/>
      <c r="C47" s="22" t="s">
        <v>131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x14ac:dyDescent="0.25">
      <c r="A48" s="72"/>
      <c r="B48" s="75"/>
      <c r="C48" s="22" t="s">
        <v>132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x14ac:dyDescent="0.25">
      <c r="A49" s="72"/>
      <c r="B49" s="75"/>
      <c r="C49" s="22" t="s">
        <v>133</v>
      </c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x14ac:dyDescent="0.25">
      <c r="A50" s="72"/>
      <c r="B50" s="75"/>
      <c r="C50" s="22" t="s">
        <v>134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x14ac:dyDescent="0.25">
      <c r="A51" s="72"/>
      <c r="B51" s="75"/>
      <c r="C51" s="22" t="s">
        <v>135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x14ac:dyDescent="0.25">
      <c r="A52" s="72"/>
      <c r="B52" s="75"/>
      <c r="C52" s="22" t="s">
        <v>136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x14ac:dyDescent="0.25">
      <c r="A53" s="72"/>
      <c r="B53" s="75"/>
      <c r="C53" s="22" t="s">
        <v>137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x14ac:dyDescent="0.25">
      <c r="A54" s="72"/>
      <c r="B54" s="75"/>
      <c r="C54" s="22" t="s">
        <v>138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x14ac:dyDescent="0.25">
      <c r="A55" s="72"/>
      <c r="B55" s="75"/>
      <c r="C55" s="22" t="s">
        <v>139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x14ac:dyDescent="0.25">
      <c r="A56" s="72"/>
      <c r="B56" s="75"/>
      <c r="C56" s="22" t="s">
        <v>140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x14ac:dyDescent="0.25">
      <c r="A57" s="72"/>
      <c r="B57" s="75"/>
      <c r="C57" s="22" t="s">
        <v>141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x14ac:dyDescent="0.25">
      <c r="A58" s="72"/>
      <c r="B58" s="75"/>
      <c r="C58" s="22" t="s">
        <v>142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30" x14ac:dyDescent="0.25">
      <c r="A59" s="72"/>
      <c r="B59" s="75"/>
      <c r="C59" s="76" t="s">
        <v>143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30" x14ac:dyDescent="0.25">
      <c r="A60" s="72"/>
      <c r="B60" s="75"/>
      <c r="C60" s="76" t="s">
        <v>144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x14ac:dyDescent="0.25">
      <c r="A61" s="72"/>
      <c r="B61" s="75"/>
      <c r="C61" s="76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x14ac:dyDescent="0.25">
      <c r="A62" s="72"/>
      <c r="B62" s="75"/>
      <c r="C62" s="76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x14ac:dyDescent="0.25">
      <c r="A63" s="72"/>
      <c r="B63" s="75"/>
      <c r="C63" s="76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x14ac:dyDescent="0.25">
      <c r="A64" s="72"/>
      <c r="B64" s="75"/>
      <c r="C64" s="76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x14ac:dyDescent="0.25">
      <c r="A65" s="72"/>
      <c r="B65" s="75"/>
      <c r="C65" s="76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x14ac:dyDescent="0.25">
      <c r="A66" s="72"/>
      <c r="B66" s="75"/>
      <c r="C66" s="76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x14ac:dyDescent="0.25">
      <c r="A67" s="72"/>
      <c r="B67" s="75"/>
      <c r="C67" s="76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x14ac:dyDescent="0.25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x14ac:dyDescent="0.25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x14ac:dyDescent="0.25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x14ac:dyDescent="0.2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x14ac:dyDescent="0.25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x14ac:dyDescent="0.25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x14ac:dyDescent="0.2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x14ac:dyDescent="0.25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x14ac:dyDescent="0.25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x14ac:dyDescent="0.25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x14ac:dyDescent="0.2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x14ac:dyDescent="0.25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x14ac:dyDescent="0.25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x14ac:dyDescent="0.25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x14ac:dyDescent="0.25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x14ac:dyDescent="0.2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x14ac:dyDescent="0.25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x14ac:dyDescent="0.25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x14ac:dyDescent="0.25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x14ac:dyDescent="0.25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x14ac:dyDescent="0.25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x14ac:dyDescent="0.25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x14ac:dyDescent="0.25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x14ac:dyDescent="0.2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x14ac:dyDescent="0.25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x14ac:dyDescent="0.25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x14ac:dyDescent="0.25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x14ac:dyDescent="0.25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x14ac:dyDescent="0.25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x14ac:dyDescent="0.25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x14ac:dyDescent="0.25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x14ac:dyDescent="0.25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x14ac:dyDescent="0.25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x14ac:dyDescent="0.2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x14ac:dyDescent="0.25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x14ac:dyDescent="0.25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x14ac:dyDescent="0.25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x14ac:dyDescent="0.25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x14ac:dyDescent="0.25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x14ac:dyDescent="0.25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x14ac:dyDescent="0.25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x14ac:dyDescent="0.25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x14ac:dyDescent="0.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x14ac:dyDescent="0.25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x14ac:dyDescent="0.25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x14ac:dyDescent="0.25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x14ac:dyDescent="0.25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x14ac:dyDescent="0.25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x14ac:dyDescent="0.25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x14ac:dyDescent="0.25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x14ac:dyDescent="0.25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x14ac:dyDescent="0.25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x14ac:dyDescent="0.2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x14ac:dyDescent="0.25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x14ac:dyDescent="0.25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x14ac:dyDescent="0.25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x14ac:dyDescent="0.25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x14ac:dyDescent="0.25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x14ac:dyDescent="0.25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x14ac:dyDescent="0.25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x14ac:dyDescent="0.25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x14ac:dyDescent="0.25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x14ac:dyDescent="0.2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x14ac:dyDescent="0.25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x14ac:dyDescent="0.25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x14ac:dyDescent="0.25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x14ac:dyDescent="0.25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x14ac:dyDescent="0.25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x14ac:dyDescent="0.25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x14ac:dyDescent="0.25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x14ac:dyDescent="0.25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x14ac:dyDescent="0.25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x14ac:dyDescent="0.2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x14ac:dyDescent="0.25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x14ac:dyDescent="0.25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x14ac:dyDescent="0.25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x14ac:dyDescent="0.25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x14ac:dyDescent="0.25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x14ac:dyDescent="0.25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x14ac:dyDescent="0.25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x14ac:dyDescent="0.25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x14ac:dyDescent="0.25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x14ac:dyDescent="0.2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x14ac:dyDescent="0.25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x14ac:dyDescent="0.25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x14ac:dyDescent="0.25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x14ac:dyDescent="0.25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x14ac:dyDescent="0.25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x14ac:dyDescent="0.25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x14ac:dyDescent="0.25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x14ac:dyDescent="0.25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x14ac:dyDescent="0.25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x14ac:dyDescent="0.2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x14ac:dyDescent="0.25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x14ac:dyDescent="0.25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x14ac:dyDescent="0.25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x14ac:dyDescent="0.25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x14ac:dyDescent="0.25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x14ac:dyDescent="0.25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x14ac:dyDescent="0.25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x14ac:dyDescent="0.25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x14ac:dyDescent="0.25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x14ac:dyDescent="0.2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x14ac:dyDescent="0.25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x14ac:dyDescent="0.25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x14ac:dyDescent="0.25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x14ac:dyDescent="0.25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x14ac:dyDescent="0.25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x14ac:dyDescent="0.25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x14ac:dyDescent="0.25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x14ac:dyDescent="0.25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x14ac:dyDescent="0.25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x14ac:dyDescent="0.2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x14ac:dyDescent="0.25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x14ac:dyDescent="0.25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x14ac:dyDescent="0.25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x14ac:dyDescent="0.25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x14ac:dyDescent="0.25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x14ac:dyDescent="0.25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x14ac:dyDescent="0.25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x14ac:dyDescent="0.25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x14ac:dyDescent="0.25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x14ac:dyDescent="0.2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x14ac:dyDescent="0.25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x14ac:dyDescent="0.25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x14ac:dyDescent="0.25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x14ac:dyDescent="0.25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x14ac:dyDescent="0.25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x14ac:dyDescent="0.25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x14ac:dyDescent="0.25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x14ac:dyDescent="0.25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x14ac:dyDescent="0.25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x14ac:dyDescent="0.2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x14ac:dyDescent="0.25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x14ac:dyDescent="0.25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x14ac:dyDescent="0.25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x14ac:dyDescent="0.25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x14ac:dyDescent="0.25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x14ac:dyDescent="0.25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x14ac:dyDescent="0.25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x14ac:dyDescent="0.25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x14ac:dyDescent="0.25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x14ac:dyDescent="0.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x14ac:dyDescent="0.25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x14ac:dyDescent="0.25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x14ac:dyDescent="0.25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x14ac:dyDescent="0.25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x14ac:dyDescent="0.25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x14ac:dyDescent="0.25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x14ac:dyDescent="0.25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x14ac:dyDescent="0.25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x14ac:dyDescent="0.25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x14ac:dyDescent="0.2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x14ac:dyDescent="0.25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x14ac:dyDescent="0.25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x14ac:dyDescent="0.25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x14ac:dyDescent="0.25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x14ac:dyDescent="0.25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x14ac:dyDescent="0.25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x14ac:dyDescent="0.25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x14ac:dyDescent="0.25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x14ac:dyDescent="0.25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x14ac:dyDescent="0.2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x14ac:dyDescent="0.25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x14ac:dyDescent="0.25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x14ac:dyDescent="0.25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x14ac:dyDescent="0.25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x14ac:dyDescent="0.25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x14ac:dyDescent="0.25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x14ac:dyDescent="0.25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x14ac:dyDescent="0.25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x14ac:dyDescent="0.25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x14ac:dyDescent="0.2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x14ac:dyDescent="0.25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x14ac:dyDescent="0.25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x14ac:dyDescent="0.25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x14ac:dyDescent="0.25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x14ac:dyDescent="0.25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x14ac:dyDescent="0.25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x14ac:dyDescent="0.25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x14ac:dyDescent="0.25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x14ac:dyDescent="0.25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x14ac:dyDescent="0.2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x14ac:dyDescent="0.25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x14ac:dyDescent="0.25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x14ac:dyDescent="0.25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x14ac:dyDescent="0.25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x14ac:dyDescent="0.25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x14ac:dyDescent="0.25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x14ac:dyDescent="0.25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x14ac:dyDescent="0.25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x14ac:dyDescent="0.25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x14ac:dyDescent="0.2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x14ac:dyDescent="0.25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x14ac:dyDescent="0.25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x14ac:dyDescent="0.25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x14ac:dyDescent="0.25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x14ac:dyDescent="0.25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x14ac:dyDescent="0.25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x14ac:dyDescent="0.25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x14ac:dyDescent="0.25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x14ac:dyDescent="0.25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x14ac:dyDescent="0.2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x14ac:dyDescent="0.25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x14ac:dyDescent="0.25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x14ac:dyDescent="0.25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x14ac:dyDescent="0.25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x14ac:dyDescent="0.25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x14ac:dyDescent="0.25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x14ac:dyDescent="0.25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x14ac:dyDescent="0.25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x14ac:dyDescent="0.25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x14ac:dyDescent="0.2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x14ac:dyDescent="0.25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x14ac:dyDescent="0.25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x14ac:dyDescent="0.25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x14ac:dyDescent="0.25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x14ac:dyDescent="0.25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x14ac:dyDescent="0.25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x14ac:dyDescent="0.25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x14ac:dyDescent="0.25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x14ac:dyDescent="0.25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x14ac:dyDescent="0.2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x14ac:dyDescent="0.25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x14ac:dyDescent="0.25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x14ac:dyDescent="0.25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x14ac:dyDescent="0.25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x14ac:dyDescent="0.25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x14ac:dyDescent="0.25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x14ac:dyDescent="0.25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x14ac:dyDescent="0.25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x14ac:dyDescent="0.25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x14ac:dyDescent="0.2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x14ac:dyDescent="0.25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x14ac:dyDescent="0.25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x14ac:dyDescent="0.25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x14ac:dyDescent="0.25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x14ac:dyDescent="0.25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x14ac:dyDescent="0.25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x14ac:dyDescent="0.25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x14ac:dyDescent="0.25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x14ac:dyDescent="0.25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x14ac:dyDescent="0.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x14ac:dyDescent="0.25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x14ac:dyDescent="0.25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x14ac:dyDescent="0.25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x14ac:dyDescent="0.25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x14ac:dyDescent="0.25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x14ac:dyDescent="0.25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x14ac:dyDescent="0.25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x14ac:dyDescent="0.25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x14ac:dyDescent="0.25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x14ac:dyDescent="0.2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x14ac:dyDescent="0.25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x14ac:dyDescent="0.25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x14ac:dyDescent="0.25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x14ac:dyDescent="0.25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x14ac:dyDescent="0.25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x14ac:dyDescent="0.25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x14ac:dyDescent="0.25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x14ac:dyDescent="0.25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x14ac:dyDescent="0.25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x14ac:dyDescent="0.2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x14ac:dyDescent="0.25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x14ac:dyDescent="0.25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x14ac:dyDescent="0.25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x14ac:dyDescent="0.25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x14ac:dyDescent="0.25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x14ac:dyDescent="0.25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x14ac:dyDescent="0.25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x14ac:dyDescent="0.25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x14ac:dyDescent="0.25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x14ac:dyDescent="0.2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x14ac:dyDescent="0.25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x14ac:dyDescent="0.25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x14ac:dyDescent="0.25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x14ac:dyDescent="0.25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x14ac:dyDescent="0.25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x14ac:dyDescent="0.25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x14ac:dyDescent="0.25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x14ac:dyDescent="0.25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x14ac:dyDescent="0.25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x14ac:dyDescent="0.2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x14ac:dyDescent="0.25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x14ac:dyDescent="0.25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x14ac:dyDescent="0.25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x14ac:dyDescent="0.25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x14ac:dyDescent="0.25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x14ac:dyDescent="0.25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x14ac:dyDescent="0.25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x14ac:dyDescent="0.25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x14ac:dyDescent="0.25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x14ac:dyDescent="0.2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x14ac:dyDescent="0.25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x14ac:dyDescent="0.25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x14ac:dyDescent="0.25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x14ac:dyDescent="0.25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x14ac:dyDescent="0.25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x14ac:dyDescent="0.25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x14ac:dyDescent="0.25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x14ac:dyDescent="0.25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x14ac:dyDescent="0.25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x14ac:dyDescent="0.2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x14ac:dyDescent="0.25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x14ac:dyDescent="0.25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x14ac:dyDescent="0.25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x14ac:dyDescent="0.25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x14ac:dyDescent="0.25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x14ac:dyDescent="0.25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x14ac:dyDescent="0.25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x14ac:dyDescent="0.25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x14ac:dyDescent="0.25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x14ac:dyDescent="0.2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x14ac:dyDescent="0.25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x14ac:dyDescent="0.25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x14ac:dyDescent="0.25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x14ac:dyDescent="0.25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x14ac:dyDescent="0.25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x14ac:dyDescent="0.25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x14ac:dyDescent="0.25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x14ac:dyDescent="0.25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x14ac:dyDescent="0.25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x14ac:dyDescent="0.2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x14ac:dyDescent="0.25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x14ac:dyDescent="0.25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x14ac:dyDescent="0.25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x14ac:dyDescent="0.25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x14ac:dyDescent="0.25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x14ac:dyDescent="0.25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x14ac:dyDescent="0.25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x14ac:dyDescent="0.25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x14ac:dyDescent="0.25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x14ac:dyDescent="0.2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x14ac:dyDescent="0.25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x14ac:dyDescent="0.25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x14ac:dyDescent="0.25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x14ac:dyDescent="0.25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x14ac:dyDescent="0.25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x14ac:dyDescent="0.25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x14ac:dyDescent="0.25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x14ac:dyDescent="0.25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x14ac:dyDescent="0.25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x14ac:dyDescent="0.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x14ac:dyDescent="0.25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x14ac:dyDescent="0.25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x14ac:dyDescent="0.25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x14ac:dyDescent="0.25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x14ac:dyDescent="0.25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x14ac:dyDescent="0.25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x14ac:dyDescent="0.25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x14ac:dyDescent="0.25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x14ac:dyDescent="0.25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x14ac:dyDescent="0.2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x14ac:dyDescent="0.25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x14ac:dyDescent="0.25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x14ac:dyDescent="0.25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x14ac:dyDescent="0.25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x14ac:dyDescent="0.25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x14ac:dyDescent="0.25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x14ac:dyDescent="0.25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x14ac:dyDescent="0.25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x14ac:dyDescent="0.25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x14ac:dyDescent="0.2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x14ac:dyDescent="0.25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x14ac:dyDescent="0.25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x14ac:dyDescent="0.25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x14ac:dyDescent="0.25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x14ac:dyDescent="0.25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x14ac:dyDescent="0.25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x14ac:dyDescent="0.25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x14ac:dyDescent="0.25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x14ac:dyDescent="0.25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x14ac:dyDescent="0.2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x14ac:dyDescent="0.25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x14ac:dyDescent="0.25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x14ac:dyDescent="0.25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x14ac:dyDescent="0.25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x14ac:dyDescent="0.25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x14ac:dyDescent="0.25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x14ac:dyDescent="0.25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x14ac:dyDescent="0.25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x14ac:dyDescent="0.25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x14ac:dyDescent="0.2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x14ac:dyDescent="0.25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x14ac:dyDescent="0.25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x14ac:dyDescent="0.25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x14ac:dyDescent="0.25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x14ac:dyDescent="0.25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x14ac:dyDescent="0.25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x14ac:dyDescent="0.25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x14ac:dyDescent="0.25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x14ac:dyDescent="0.25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x14ac:dyDescent="0.2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x14ac:dyDescent="0.25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x14ac:dyDescent="0.25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x14ac:dyDescent="0.25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x14ac:dyDescent="0.25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x14ac:dyDescent="0.25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x14ac:dyDescent="0.25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x14ac:dyDescent="0.25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x14ac:dyDescent="0.25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x14ac:dyDescent="0.25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x14ac:dyDescent="0.2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x14ac:dyDescent="0.25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x14ac:dyDescent="0.25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x14ac:dyDescent="0.25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x14ac:dyDescent="0.25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x14ac:dyDescent="0.25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x14ac:dyDescent="0.25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x14ac:dyDescent="0.25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x14ac:dyDescent="0.25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x14ac:dyDescent="0.25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x14ac:dyDescent="0.2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x14ac:dyDescent="0.25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x14ac:dyDescent="0.25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x14ac:dyDescent="0.25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x14ac:dyDescent="0.25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x14ac:dyDescent="0.25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x14ac:dyDescent="0.25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x14ac:dyDescent="0.25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x14ac:dyDescent="0.25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x14ac:dyDescent="0.25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x14ac:dyDescent="0.2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x14ac:dyDescent="0.25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x14ac:dyDescent="0.25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x14ac:dyDescent="0.25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x14ac:dyDescent="0.25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x14ac:dyDescent="0.25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x14ac:dyDescent="0.25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x14ac:dyDescent="0.25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x14ac:dyDescent="0.25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x14ac:dyDescent="0.25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x14ac:dyDescent="0.2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x14ac:dyDescent="0.25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x14ac:dyDescent="0.25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x14ac:dyDescent="0.25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x14ac:dyDescent="0.25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x14ac:dyDescent="0.25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x14ac:dyDescent="0.25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x14ac:dyDescent="0.25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x14ac:dyDescent="0.25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x14ac:dyDescent="0.25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x14ac:dyDescent="0.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x14ac:dyDescent="0.25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x14ac:dyDescent="0.25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x14ac:dyDescent="0.25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x14ac:dyDescent="0.25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x14ac:dyDescent="0.25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x14ac:dyDescent="0.25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x14ac:dyDescent="0.25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x14ac:dyDescent="0.25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x14ac:dyDescent="0.25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x14ac:dyDescent="0.2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x14ac:dyDescent="0.25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x14ac:dyDescent="0.25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x14ac:dyDescent="0.25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x14ac:dyDescent="0.25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x14ac:dyDescent="0.25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x14ac:dyDescent="0.25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x14ac:dyDescent="0.25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x14ac:dyDescent="0.25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x14ac:dyDescent="0.25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x14ac:dyDescent="0.2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x14ac:dyDescent="0.25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x14ac:dyDescent="0.25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x14ac:dyDescent="0.25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x14ac:dyDescent="0.25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x14ac:dyDescent="0.25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x14ac:dyDescent="0.25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x14ac:dyDescent="0.25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x14ac:dyDescent="0.25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x14ac:dyDescent="0.25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x14ac:dyDescent="0.2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x14ac:dyDescent="0.25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x14ac:dyDescent="0.25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x14ac:dyDescent="0.25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x14ac:dyDescent="0.25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x14ac:dyDescent="0.25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x14ac:dyDescent="0.25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x14ac:dyDescent="0.25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x14ac:dyDescent="0.25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x14ac:dyDescent="0.25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x14ac:dyDescent="0.2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x14ac:dyDescent="0.25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x14ac:dyDescent="0.25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x14ac:dyDescent="0.25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x14ac:dyDescent="0.25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x14ac:dyDescent="0.25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x14ac:dyDescent="0.25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x14ac:dyDescent="0.25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x14ac:dyDescent="0.25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x14ac:dyDescent="0.25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x14ac:dyDescent="0.2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x14ac:dyDescent="0.25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x14ac:dyDescent="0.25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x14ac:dyDescent="0.25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x14ac:dyDescent="0.25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x14ac:dyDescent="0.25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x14ac:dyDescent="0.25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x14ac:dyDescent="0.25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x14ac:dyDescent="0.25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x14ac:dyDescent="0.25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x14ac:dyDescent="0.2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x14ac:dyDescent="0.25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x14ac:dyDescent="0.25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x14ac:dyDescent="0.25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x14ac:dyDescent="0.25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x14ac:dyDescent="0.25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x14ac:dyDescent="0.25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x14ac:dyDescent="0.25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x14ac:dyDescent="0.25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x14ac:dyDescent="0.25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x14ac:dyDescent="0.2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x14ac:dyDescent="0.25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x14ac:dyDescent="0.25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x14ac:dyDescent="0.25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x14ac:dyDescent="0.25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x14ac:dyDescent="0.25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x14ac:dyDescent="0.25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x14ac:dyDescent="0.25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x14ac:dyDescent="0.25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x14ac:dyDescent="0.25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x14ac:dyDescent="0.2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x14ac:dyDescent="0.25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x14ac:dyDescent="0.25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x14ac:dyDescent="0.25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x14ac:dyDescent="0.25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x14ac:dyDescent="0.25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x14ac:dyDescent="0.25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x14ac:dyDescent="0.25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x14ac:dyDescent="0.25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x14ac:dyDescent="0.25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x14ac:dyDescent="0.2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x14ac:dyDescent="0.25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x14ac:dyDescent="0.25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x14ac:dyDescent="0.25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x14ac:dyDescent="0.25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x14ac:dyDescent="0.25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x14ac:dyDescent="0.25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x14ac:dyDescent="0.25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x14ac:dyDescent="0.25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x14ac:dyDescent="0.25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x14ac:dyDescent="0.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x14ac:dyDescent="0.25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x14ac:dyDescent="0.25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x14ac:dyDescent="0.25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x14ac:dyDescent="0.25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x14ac:dyDescent="0.25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x14ac:dyDescent="0.25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x14ac:dyDescent="0.25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x14ac:dyDescent="0.25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x14ac:dyDescent="0.25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x14ac:dyDescent="0.2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x14ac:dyDescent="0.25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x14ac:dyDescent="0.25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x14ac:dyDescent="0.25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x14ac:dyDescent="0.25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x14ac:dyDescent="0.25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x14ac:dyDescent="0.25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x14ac:dyDescent="0.25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x14ac:dyDescent="0.25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x14ac:dyDescent="0.25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x14ac:dyDescent="0.2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x14ac:dyDescent="0.25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x14ac:dyDescent="0.25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x14ac:dyDescent="0.25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x14ac:dyDescent="0.25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x14ac:dyDescent="0.25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x14ac:dyDescent="0.25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x14ac:dyDescent="0.25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x14ac:dyDescent="0.25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x14ac:dyDescent="0.25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x14ac:dyDescent="0.2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x14ac:dyDescent="0.25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x14ac:dyDescent="0.25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x14ac:dyDescent="0.25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x14ac:dyDescent="0.25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x14ac:dyDescent="0.25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x14ac:dyDescent="0.25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x14ac:dyDescent="0.25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x14ac:dyDescent="0.25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x14ac:dyDescent="0.25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x14ac:dyDescent="0.2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x14ac:dyDescent="0.25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x14ac:dyDescent="0.25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x14ac:dyDescent="0.25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x14ac:dyDescent="0.25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x14ac:dyDescent="0.25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x14ac:dyDescent="0.25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x14ac:dyDescent="0.25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x14ac:dyDescent="0.25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x14ac:dyDescent="0.25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x14ac:dyDescent="0.2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x14ac:dyDescent="0.25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x14ac:dyDescent="0.25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x14ac:dyDescent="0.25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x14ac:dyDescent="0.25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x14ac:dyDescent="0.25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x14ac:dyDescent="0.25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x14ac:dyDescent="0.25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x14ac:dyDescent="0.25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x14ac:dyDescent="0.25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x14ac:dyDescent="0.2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x14ac:dyDescent="0.25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x14ac:dyDescent="0.25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x14ac:dyDescent="0.25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x14ac:dyDescent="0.25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x14ac:dyDescent="0.25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x14ac:dyDescent="0.25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x14ac:dyDescent="0.25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x14ac:dyDescent="0.25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x14ac:dyDescent="0.25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x14ac:dyDescent="0.2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x14ac:dyDescent="0.25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x14ac:dyDescent="0.25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x14ac:dyDescent="0.25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x14ac:dyDescent="0.25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x14ac:dyDescent="0.25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x14ac:dyDescent="0.25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x14ac:dyDescent="0.25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x14ac:dyDescent="0.25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x14ac:dyDescent="0.25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x14ac:dyDescent="0.2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x14ac:dyDescent="0.25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x14ac:dyDescent="0.25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x14ac:dyDescent="0.25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x14ac:dyDescent="0.25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x14ac:dyDescent="0.25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x14ac:dyDescent="0.25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x14ac:dyDescent="0.25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x14ac:dyDescent="0.25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x14ac:dyDescent="0.25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x14ac:dyDescent="0.2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x14ac:dyDescent="0.25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x14ac:dyDescent="0.25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x14ac:dyDescent="0.25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x14ac:dyDescent="0.25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x14ac:dyDescent="0.25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x14ac:dyDescent="0.25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x14ac:dyDescent="0.25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x14ac:dyDescent="0.25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x14ac:dyDescent="0.25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x14ac:dyDescent="0.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x14ac:dyDescent="0.25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x14ac:dyDescent="0.25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x14ac:dyDescent="0.25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x14ac:dyDescent="0.25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x14ac:dyDescent="0.25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x14ac:dyDescent="0.25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x14ac:dyDescent="0.25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x14ac:dyDescent="0.25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x14ac:dyDescent="0.25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x14ac:dyDescent="0.2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x14ac:dyDescent="0.25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x14ac:dyDescent="0.25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x14ac:dyDescent="0.25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x14ac:dyDescent="0.25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x14ac:dyDescent="0.25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x14ac:dyDescent="0.25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x14ac:dyDescent="0.25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x14ac:dyDescent="0.25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x14ac:dyDescent="0.25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x14ac:dyDescent="0.2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x14ac:dyDescent="0.25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x14ac:dyDescent="0.25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x14ac:dyDescent="0.25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x14ac:dyDescent="0.25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x14ac:dyDescent="0.25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x14ac:dyDescent="0.25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x14ac:dyDescent="0.25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x14ac:dyDescent="0.25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x14ac:dyDescent="0.25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x14ac:dyDescent="0.2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x14ac:dyDescent="0.25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x14ac:dyDescent="0.25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x14ac:dyDescent="0.25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x14ac:dyDescent="0.25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x14ac:dyDescent="0.25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x14ac:dyDescent="0.25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x14ac:dyDescent="0.25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x14ac:dyDescent="0.25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x14ac:dyDescent="0.25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x14ac:dyDescent="0.2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x14ac:dyDescent="0.25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x14ac:dyDescent="0.25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x14ac:dyDescent="0.25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x14ac:dyDescent="0.25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x14ac:dyDescent="0.25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x14ac:dyDescent="0.25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x14ac:dyDescent="0.25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x14ac:dyDescent="0.25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x14ac:dyDescent="0.25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x14ac:dyDescent="0.2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x14ac:dyDescent="0.25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x14ac:dyDescent="0.25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x14ac:dyDescent="0.25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x14ac:dyDescent="0.25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x14ac:dyDescent="0.25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x14ac:dyDescent="0.25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x14ac:dyDescent="0.25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x14ac:dyDescent="0.25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x14ac:dyDescent="0.25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x14ac:dyDescent="0.2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x14ac:dyDescent="0.25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x14ac:dyDescent="0.25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x14ac:dyDescent="0.25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x14ac:dyDescent="0.25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x14ac:dyDescent="0.25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x14ac:dyDescent="0.25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x14ac:dyDescent="0.25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x14ac:dyDescent="0.25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x14ac:dyDescent="0.25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x14ac:dyDescent="0.2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x14ac:dyDescent="0.25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x14ac:dyDescent="0.25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x14ac:dyDescent="0.25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x14ac:dyDescent="0.25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x14ac:dyDescent="0.25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x14ac:dyDescent="0.25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x14ac:dyDescent="0.25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x14ac:dyDescent="0.25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x14ac:dyDescent="0.25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x14ac:dyDescent="0.2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x14ac:dyDescent="0.25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x14ac:dyDescent="0.25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x14ac:dyDescent="0.25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x14ac:dyDescent="0.25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x14ac:dyDescent="0.25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x14ac:dyDescent="0.25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x14ac:dyDescent="0.25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x14ac:dyDescent="0.25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x14ac:dyDescent="0.25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x14ac:dyDescent="0.2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x14ac:dyDescent="0.25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x14ac:dyDescent="0.25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x14ac:dyDescent="0.25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x14ac:dyDescent="0.25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x14ac:dyDescent="0.25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x14ac:dyDescent="0.25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x14ac:dyDescent="0.25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x14ac:dyDescent="0.25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x14ac:dyDescent="0.25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x14ac:dyDescent="0.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x14ac:dyDescent="0.25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x14ac:dyDescent="0.25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x14ac:dyDescent="0.25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x14ac:dyDescent="0.25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x14ac:dyDescent="0.25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x14ac:dyDescent="0.25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x14ac:dyDescent="0.25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x14ac:dyDescent="0.25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x14ac:dyDescent="0.25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x14ac:dyDescent="0.2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x14ac:dyDescent="0.25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x14ac:dyDescent="0.25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x14ac:dyDescent="0.25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x14ac:dyDescent="0.25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x14ac:dyDescent="0.25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x14ac:dyDescent="0.25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x14ac:dyDescent="0.25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x14ac:dyDescent="0.25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x14ac:dyDescent="0.25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x14ac:dyDescent="0.2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x14ac:dyDescent="0.25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x14ac:dyDescent="0.25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x14ac:dyDescent="0.25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x14ac:dyDescent="0.25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x14ac:dyDescent="0.25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x14ac:dyDescent="0.25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x14ac:dyDescent="0.25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x14ac:dyDescent="0.25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x14ac:dyDescent="0.25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x14ac:dyDescent="0.2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x14ac:dyDescent="0.25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x14ac:dyDescent="0.25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x14ac:dyDescent="0.25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x14ac:dyDescent="0.25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x14ac:dyDescent="0.25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x14ac:dyDescent="0.25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x14ac:dyDescent="0.25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x14ac:dyDescent="0.25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x14ac:dyDescent="0.25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x14ac:dyDescent="0.2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x14ac:dyDescent="0.25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x14ac:dyDescent="0.25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x14ac:dyDescent="0.25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x14ac:dyDescent="0.25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x14ac:dyDescent="0.25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x14ac:dyDescent="0.25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x14ac:dyDescent="0.25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x14ac:dyDescent="0.25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x14ac:dyDescent="0.25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x14ac:dyDescent="0.2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x14ac:dyDescent="0.25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x14ac:dyDescent="0.25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x14ac:dyDescent="0.25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x14ac:dyDescent="0.25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x14ac:dyDescent="0.25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x14ac:dyDescent="0.25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x14ac:dyDescent="0.25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x14ac:dyDescent="0.25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x14ac:dyDescent="0.25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x14ac:dyDescent="0.2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x14ac:dyDescent="0.25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x14ac:dyDescent="0.25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x14ac:dyDescent="0.25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x14ac:dyDescent="0.25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x14ac:dyDescent="0.25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x14ac:dyDescent="0.25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x14ac:dyDescent="0.25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x14ac:dyDescent="0.25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x14ac:dyDescent="0.25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x14ac:dyDescent="0.2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x14ac:dyDescent="0.25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x14ac:dyDescent="0.25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x14ac:dyDescent="0.25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x14ac:dyDescent="0.25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x14ac:dyDescent="0.25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x14ac:dyDescent="0.25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x14ac:dyDescent="0.25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x14ac:dyDescent="0.25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x14ac:dyDescent="0.25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x14ac:dyDescent="0.2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x14ac:dyDescent="0.25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x14ac:dyDescent="0.25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x14ac:dyDescent="0.25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x14ac:dyDescent="0.25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x14ac:dyDescent="0.25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x14ac:dyDescent="0.25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x14ac:dyDescent="0.25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x14ac:dyDescent="0.25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x14ac:dyDescent="0.25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x14ac:dyDescent="0.2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x14ac:dyDescent="0.25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x14ac:dyDescent="0.25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x14ac:dyDescent="0.25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x14ac:dyDescent="0.25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x14ac:dyDescent="0.25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x14ac:dyDescent="0.25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x14ac:dyDescent="0.25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x14ac:dyDescent="0.25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x14ac:dyDescent="0.25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x14ac:dyDescent="0.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x14ac:dyDescent="0.25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x14ac:dyDescent="0.25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x14ac:dyDescent="0.25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x14ac:dyDescent="0.25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x14ac:dyDescent="0.25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x14ac:dyDescent="0.25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x14ac:dyDescent="0.25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x14ac:dyDescent="0.25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x14ac:dyDescent="0.25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x14ac:dyDescent="0.2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x14ac:dyDescent="0.25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x14ac:dyDescent="0.25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x14ac:dyDescent="0.25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x14ac:dyDescent="0.25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x14ac:dyDescent="0.25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x14ac:dyDescent="0.25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x14ac:dyDescent="0.25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x14ac:dyDescent="0.25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x14ac:dyDescent="0.25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x14ac:dyDescent="0.2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x14ac:dyDescent="0.25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x14ac:dyDescent="0.25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x14ac:dyDescent="0.25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x14ac:dyDescent="0.25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x14ac:dyDescent="0.25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x14ac:dyDescent="0.25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x14ac:dyDescent="0.25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x14ac:dyDescent="0.25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x14ac:dyDescent="0.25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x14ac:dyDescent="0.2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x14ac:dyDescent="0.25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x14ac:dyDescent="0.25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x14ac:dyDescent="0.25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x14ac:dyDescent="0.25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x14ac:dyDescent="0.25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x14ac:dyDescent="0.25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x14ac:dyDescent="0.25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x14ac:dyDescent="0.25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x14ac:dyDescent="0.25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x14ac:dyDescent="0.2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x14ac:dyDescent="0.25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x14ac:dyDescent="0.25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x14ac:dyDescent="0.25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x14ac:dyDescent="0.25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x14ac:dyDescent="0.25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x14ac:dyDescent="0.25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x14ac:dyDescent="0.25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x14ac:dyDescent="0.25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x14ac:dyDescent="0.25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x14ac:dyDescent="0.2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x14ac:dyDescent="0.25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x14ac:dyDescent="0.25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x14ac:dyDescent="0.25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x14ac:dyDescent="0.25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x14ac:dyDescent="0.25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x14ac:dyDescent="0.25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x14ac:dyDescent="0.25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x14ac:dyDescent="0.25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x14ac:dyDescent="0.25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x14ac:dyDescent="0.2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x14ac:dyDescent="0.25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x14ac:dyDescent="0.25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x14ac:dyDescent="0.25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x14ac:dyDescent="0.25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x14ac:dyDescent="0.25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x14ac:dyDescent="0.25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x14ac:dyDescent="0.25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x14ac:dyDescent="0.25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x14ac:dyDescent="0.25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x14ac:dyDescent="0.2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x14ac:dyDescent="0.25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x14ac:dyDescent="0.25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x14ac:dyDescent="0.25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x14ac:dyDescent="0.25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x14ac:dyDescent="0.25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 spans="1:26" x14ac:dyDescent="0.25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 spans="1:26" x14ac:dyDescent="0.25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 spans="1:26" x14ac:dyDescent="0.25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</row>
    <row r="1004" spans="1:26" x14ac:dyDescent="0.25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</row>
    <row r="1005" spans="1:26" x14ac:dyDescent="0.25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</row>
    <row r="1006" spans="1:26" x14ac:dyDescent="0.25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</row>
    <row r="1007" spans="1:26" x14ac:dyDescent="0.25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</row>
    <row r="1008" spans="1:26" x14ac:dyDescent="0.25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  <c r="Y1008" s="72"/>
      <c r="Z1008" s="72"/>
    </row>
    <row r="1009" spans="1:26" x14ac:dyDescent="0.25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2"/>
      <c r="P1009" s="72"/>
      <c r="Q1009" s="72"/>
      <c r="R1009" s="72"/>
      <c r="S1009" s="72"/>
      <c r="T1009" s="72"/>
      <c r="U1009" s="72"/>
      <c r="V1009" s="72"/>
      <c r="W1009" s="72"/>
      <c r="X1009" s="72"/>
      <c r="Y1009" s="72"/>
      <c r="Z1009" s="72"/>
    </row>
    <row r="1010" spans="1:26" x14ac:dyDescent="0.25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2"/>
      <c r="P1010" s="72"/>
      <c r="Q1010" s="72"/>
      <c r="R1010" s="72"/>
      <c r="S1010" s="72"/>
      <c r="T1010" s="72"/>
      <c r="U1010" s="72"/>
      <c r="V1010" s="72"/>
      <c r="W1010" s="72"/>
      <c r="X1010" s="72"/>
      <c r="Y1010" s="72"/>
      <c r="Z1010" s="72"/>
    </row>
    <row r="1011" spans="1:26" x14ac:dyDescent="0.25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2"/>
      <c r="P1011" s="72"/>
      <c r="Q1011" s="72"/>
      <c r="R1011" s="72"/>
      <c r="S1011" s="72"/>
      <c r="T1011" s="72"/>
      <c r="U1011" s="72"/>
      <c r="V1011" s="72"/>
      <c r="W1011" s="72"/>
      <c r="X1011" s="72"/>
      <c r="Y1011" s="72"/>
      <c r="Z1011" s="72"/>
    </row>
    <row r="1012" spans="1:26" x14ac:dyDescent="0.25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2"/>
      <c r="P1012" s="72"/>
      <c r="Q1012" s="72"/>
      <c r="R1012" s="72"/>
      <c r="S1012" s="72"/>
      <c r="T1012" s="72"/>
      <c r="U1012" s="72"/>
      <c r="V1012" s="72"/>
      <c r="W1012" s="72"/>
      <c r="X1012" s="72"/>
      <c r="Y1012" s="72"/>
      <c r="Z1012" s="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A583"/>
  <sheetViews>
    <sheetView workbookViewId="0">
      <pane xSplit="6" ySplit="3" topLeftCell="G37" activePane="bottomRight" state="frozen"/>
      <selection pane="topRight" activeCell="G1" sqref="G1"/>
      <selection pane="bottomLeft" activeCell="A4" sqref="A4"/>
      <selection pane="bottomRight" activeCell="F37" sqref="F37"/>
    </sheetView>
  </sheetViews>
  <sheetFormatPr defaultColWidth="12.7109375" defaultRowHeight="15" customHeight="1" outlineLevelRow="2" outlineLevelCol="1" x14ac:dyDescent="0.25"/>
  <cols>
    <col min="1" max="1" width="2.7109375" customWidth="1"/>
    <col min="2" max="2" width="22.85546875" customWidth="1"/>
    <col min="3" max="3" width="13.28515625" customWidth="1"/>
    <col min="4" max="4" width="12" customWidth="1"/>
    <col min="5" max="5" width="13.7109375" customWidth="1"/>
    <col min="6" max="6" width="16.7109375" customWidth="1"/>
    <col min="7" max="7" width="12.85546875" hidden="1" customWidth="1" outlineLevel="1"/>
    <col min="8" max="11" width="10.7109375" hidden="1" customWidth="1" outlineLevel="1"/>
    <col min="12" max="12" width="11" hidden="1" customWidth="1" outlineLevel="1"/>
    <col min="13" max="13" width="11.7109375" customWidth="1" collapsed="1"/>
    <col min="14" max="16" width="11.5703125" bestFit="1" customWidth="1" outlineLevel="1"/>
    <col min="17" max="17" width="12.28515625" customWidth="1" outlineLevel="1"/>
    <col min="18" max="18" width="12" customWidth="1" outlineLevel="1"/>
    <col min="19" max="19" width="11.85546875" customWidth="1"/>
    <col min="20" max="24" width="12.28515625" customWidth="1" outlineLevel="1"/>
    <col min="25" max="30" width="13.7109375" customWidth="1" outlineLevel="1"/>
    <col min="31" max="31" width="13.7109375" customWidth="1"/>
    <col min="32" max="42" width="13.7109375" hidden="1" customWidth="1" outlineLevel="1"/>
    <col min="43" max="43" width="12" customWidth="1" collapsed="1"/>
    <col min="44" max="54" width="12" hidden="1" customWidth="1" outlineLevel="1"/>
    <col min="55" max="55" width="9" customWidth="1" collapsed="1"/>
    <col min="56" max="56" width="9" customWidth="1"/>
    <col min="57" max="58" width="12" customWidth="1"/>
    <col min="59" max="59" width="13" customWidth="1"/>
    <col min="60" max="79" width="9" customWidth="1"/>
  </cols>
  <sheetData>
    <row r="1" spans="1:79" ht="14.25" customHeight="1" x14ac:dyDescent="0.25">
      <c r="A1" s="22"/>
      <c r="B1" s="22"/>
      <c r="C1" s="22"/>
      <c r="D1" s="22"/>
      <c r="E1" s="22"/>
      <c r="F1" s="80"/>
      <c r="G1" s="81">
        <v>2025</v>
      </c>
      <c r="H1" s="82"/>
      <c r="I1" s="82"/>
      <c r="J1" s="82"/>
      <c r="K1" s="82"/>
      <c r="L1" s="22"/>
      <c r="M1" s="22"/>
      <c r="N1" s="22"/>
      <c r="O1" s="22"/>
      <c r="P1" s="22"/>
      <c r="Q1" s="22"/>
      <c r="R1" s="22"/>
      <c r="S1" s="83">
        <v>2026</v>
      </c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83">
        <v>2027</v>
      </c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83">
        <v>2028</v>
      </c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31"/>
      <c r="BD1" s="83" t="s">
        <v>145</v>
      </c>
      <c r="BE1" s="22"/>
      <c r="BF1" s="22"/>
      <c r="BG1" s="22"/>
      <c r="BH1" s="31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</row>
    <row r="2" spans="1:79" ht="14.25" customHeight="1" x14ac:dyDescent="0.25">
      <c r="A2" s="84"/>
      <c r="B2" s="84"/>
      <c r="C2" s="84"/>
      <c r="D2" s="84"/>
      <c r="E2" s="84"/>
      <c r="F2" s="80"/>
      <c r="G2" s="84">
        <v>-5</v>
      </c>
      <c r="H2" s="84">
        <v>-4</v>
      </c>
      <c r="I2" s="84">
        <v>-3</v>
      </c>
      <c r="J2" s="84">
        <v>-2</v>
      </c>
      <c r="K2" s="84">
        <v>-1</v>
      </c>
      <c r="L2" s="84">
        <v>0</v>
      </c>
      <c r="M2" s="84">
        <v>1</v>
      </c>
      <c r="N2" s="84">
        <v>2</v>
      </c>
      <c r="O2" s="84">
        <v>3</v>
      </c>
      <c r="P2" s="84">
        <v>4</v>
      </c>
      <c r="Q2" s="84">
        <v>5</v>
      </c>
      <c r="R2" s="84">
        <v>6</v>
      </c>
      <c r="S2" s="85">
        <v>7</v>
      </c>
      <c r="T2" s="84">
        <v>8</v>
      </c>
      <c r="U2" s="84">
        <v>9</v>
      </c>
      <c r="V2" s="84">
        <v>10</v>
      </c>
      <c r="W2" s="84">
        <v>11</v>
      </c>
      <c r="X2" s="84">
        <v>12</v>
      </c>
      <c r="Y2" s="84">
        <v>13</v>
      </c>
      <c r="Z2" s="84">
        <v>14</v>
      </c>
      <c r="AA2" s="84">
        <v>15</v>
      </c>
      <c r="AB2" s="84">
        <v>16</v>
      </c>
      <c r="AC2" s="84">
        <v>17</v>
      </c>
      <c r="AD2" s="84">
        <v>18</v>
      </c>
      <c r="AE2" s="85">
        <v>19</v>
      </c>
      <c r="AF2" s="84">
        <v>20</v>
      </c>
      <c r="AG2" s="84">
        <v>21</v>
      </c>
      <c r="AH2" s="84">
        <v>22</v>
      </c>
      <c r="AI2" s="84">
        <v>23</v>
      </c>
      <c r="AJ2" s="84">
        <v>24</v>
      </c>
      <c r="AK2" s="84">
        <v>25</v>
      </c>
      <c r="AL2" s="84">
        <v>26</v>
      </c>
      <c r="AM2" s="84">
        <v>27</v>
      </c>
      <c r="AN2" s="84">
        <v>28</v>
      </c>
      <c r="AO2" s="84">
        <v>29</v>
      </c>
      <c r="AP2" s="84">
        <v>30</v>
      </c>
      <c r="AQ2" s="85">
        <v>31</v>
      </c>
      <c r="AR2" s="84">
        <v>32</v>
      </c>
      <c r="AS2" s="84">
        <v>33</v>
      </c>
      <c r="AT2" s="84">
        <v>34</v>
      </c>
      <c r="AU2" s="84">
        <v>35</v>
      </c>
      <c r="AV2" s="84">
        <v>36</v>
      </c>
      <c r="AW2" s="84">
        <v>37</v>
      </c>
      <c r="AX2" s="84">
        <v>38</v>
      </c>
      <c r="AY2" s="84">
        <v>39</v>
      </c>
      <c r="AZ2" s="84">
        <v>40</v>
      </c>
      <c r="BA2" s="84">
        <v>41</v>
      </c>
      <c r="BB2" s="84">
        <v>42</v>
      </c>
      <c r="BC2" s="85"/>
      <c r="BD2" s="83"/>
      <c r="BE2" s="81"/>
      <c r="BF2" s="81"/>
      <c r="BG2" s="81"/>
      <c r="BH2" s="83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</row>
    <row r="3" spans="1:79" ht="14.25" customHeight="1" x14ac:dyDescent="0.25">
      <c r="A3" s="22"/>
      <c r="B3" s="22"/>
      <c r="C3" s="22"/>
      <c r="D3" s="22"/>
      <c r="E3" s="22"/>
      <c r="F3" s="80"/>
      <c r="G3" s="35">
        <v>45658</v>
      </c>
      <c r="H3" s="35">
        <v>45689</v>
      </c>
      <c r="I3" s="35">
        <v>45717</v>
      </c>
      <c r="J3" s="35">
        <v>45748</v>
      </c>
      <c r="K3" s="35">
        <v>45778</v>
      </c>
      <c r="L3" s="35">
        <v>45809</v>
      </c>
      <c r="M3" s="35">
        <v>45839</v>
      </c>
      <c r="N3" s="35">
        <v>45870</v>
      </c>
      <c r="O3" s="36">
        <v>45901</v>
      </c>
      <c r="P3" s="36">
        <v>45931</v>
      </c>
      <c r="Q3" s="36">
        <v>45962</v>
      </c>
      <c r="R3" s="36">
        <v>45992</v>
      </c>
      <c r="S3" s="38">
        <v>46023</v>
      </c>
      <c r="T3" s="39">
        <v>46054</v>
      </c>
      <c r="U3" s="39">
        <v>46082</v>
      </c>
      <c r="V3" s="39">
        <v>46113</v>
      </c>
      <c r="W3" s="39">
        <v>46143</v>
      </c>
      <c r="X3" s="39">
        <v>46174</v>
      </c>
      <c r="Y3" s="39">
        <v>46204</v>
      </c>
      <c r="Z3" s="39">
        <v>46235</v>
      </c>
      <c r="AA3" s="39">
        <v>46266</v>
      </c>
      <c r="AB3" s="39">
        <v>46296</v>
      </c>
      <c r="AC3" s="39">
        <v>46327</v>
      </c>
      <c r="AD3" s="39">
        <v>46357</v>
      </c>
      <c r="AE3" s="40">
        <v>46388</v>
      </c>
      <c r="AF3" s="36">
        <v>46419</v>
      </c>
      <c r="AG3" s="36">
        <v>46447</v>
      </c>
      <c r="AH3" s="36">
        <v>46478</v>
      </c>
      <c r="AI3" s="36">
        <v>46508</v>
      </c>
      <c r="AJ3" s="36">
        <v>46539</v>
      </c>
      <c r="AK3" s="36">
        <v>46569</v>
      </c>
      <c r="AL3" s="36">
        <v>46600</v>
      </c>
      <c r="AM3" s="36">
        <v>46631</v>
      </c>
      <c r="AN3" s="36">
        <v>46661</v>
      </c>
      <c r="AO3" s="36">
        <v>46692</v>
      </c>
      <c r="AP3" s="36">
        <v>46722</v>
      </c>
      <c r="AQ3" s="38">
        <v>46753</v>
      </c>
      <c r="AR3" s="39">
        <v>46784</v>
      </c>
      <c r="AS3" s="39">
        <v>46813</v>
      </c>
      <c r="AT3" s="39">
        <v>46844</v>
      </c>
      <c r="AU3" s="39">
        <v>46874</v>
      </c>
      <c r="AV3" s="39">
        <v>46905</v>
      </c>
      <c r="AW3" s="39">
        <v>46935</v>
      </c>
      <c r="AX3" s="39">
        <v>46966</v>
      </c>
      <c r="AY3" s="39">
        <v>46997</v>
      </c>
      <c r="AZ3" s="39">
        <v>47027</v>
      </c>
      <c r="BA3" s="39">
        <v>47058</v>
      </c>
      <c r="BB3" s="39">
        <v>47088</v>
      </c>
      <c r="BC3" s="31"/>
      <c r="BD3" s="86">
        <v>2024</v>
      </c>
      <c r="BE3" s="87">
        <v>2025</v>
      </c>
      <c r="BF3" s="87">
        <v>2026</v>
      </c>
      <c r="BG3" s="87">
        <v>2027</v>
      </c>
      <c r="BH3" s="29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</row>
    <row r="4" spans="1:79" ht="14.25" customHeight="1" x14ac:dyDescent="0.25">
      <c r="A4" s="22"/>
      <c r="B4" s="22"/>
      <c r="C4" s="22"/>
      <c r="D4" s="22"/>
      <c r="E4" s="22"/>
      <c r="F4" s="80"/>
      <c r="G4" s="82"/>
      <c r="H4" s="82"/>
      <c r="I4" s="82"/>
      <c r="J4" s="82"/>
      <c r="K4" s="82"/>
      <c r="L4" s="84">
        <f t="shared" ref="L4:BB4" si="0">L2</f>
        <v>0</v>
      </c>
      <c r="M4" s="84">
        <f t="shared" si="0"/>
        <v>1</v>
      </c>
      <c r="N4" s="84">
        <f t="shared" si="0"/>
        <v>2</v>
      </c>
      <c r="O4" s="84">
        <f t="shared" si="0"/>
        <v>3</v>
      </c>
      <c r="P4" s="84">
        <f t="shared" si="0"/>
        <v>4</v>
      </c>
      <c r="Q4" s="84">
        <f t="shared" si="0"/>
        <v>5</v>
      </c>
      <c r="R4" s="84">
        <f t="shared" si="0"/>
        <v>6</v>
      </c>
      <c r="S4" s="85">
        <f t="shared" si="0"/>
        <v>7</v>
      </c>
      <c r="T4" s="84">
        <f t="shared" si="0"/>
        <v>8</v>
      </c>
      <c r="U4" s="84">
        <f t="shared" si="0"/>
        <v>9</v>
      </c>
      <c r="V4" s="84">
        <f t="shared" si="0"/>
        <v>10</v>
      </c>
      <c r="W4" s="84">
        <f t="shared" si="0"/>
        <v>11</v>
      </c>
      <c r="X4" s="84">
        <f t="shared" si="0"/>
        <v>12</v>
      </c>
      <c r="Y4" s="84">
        <f t="shared" si="0"/>
        <v>13</v>
      </c>
      <c r="Z4" s="84">
        <f t="shared" si="0"/>
        <v>14</v>
      </c>
      <c r="AA4" s="84">
        <f t="shared" si="0"/>
        <v>15</v>
      </c>
      <c r="AB4" s="84">
        <f t="shared" si="0"/>
        <v>16</v>
      </c>
      <c r="AC4" s="84">
        <f t="shared" si="0"/>
        <v>17</v>
      </c>
      <c r="AD4" s="84">
        <f t="shared" si="0"/>
        <v>18</v>
      </c>
      <c r="AE4" s="85">
        <f t="shared" si="0"/>
        <v>19</v>
      </c>
      <c r="AF4" s="84">
        <f t="shared" si="0"/>
        <v>20</v>
      </c>
      <c r="AG4" s="84">
        <f t="shared" si="0"/>
        <v>21</v>
      </c>
      <c r="AH4" s="84">
        <f t="shared" si="0"/>
        <v>22</v>
      </c>
      <c r="AI4" s="84">
        <f t="shared" si="0"/>
        <v>23</v>
      </c>
      <c r="AJ4" s="84">
        <f t="shared" si="0"/>
        <v>24</v>
      </c>
      <c r="AK4" s="84">
        <f t="shared" si="0"/>
        <v>25</v>
      </c>
      <c r="AL4" s="84">
        <f t="shared" si="0"/>
        <v>26</v>
      </c>
      <c r="AM4" s="84">
        <f t="shared" si="0"/>
        <v>27</v>
      </c>
      <c r="AN4" s="84">
        <f t="shared" si="0"/>
        <v>28</v>
      </c>
      <c r="AO4" s="84">
        <f t="shared" si="0"/>
        <v>29</v>
      </c>
      <c r="AP4" s="84">
        <f t="shared" si="0"/>
        <v>30</v>
      </c>
      <c r="AQ4" s="85">
        <f t="shared" si="0"/>
        <v>31</v>
      </c>
      <c r="AR4" s="84">
        <f t="shared" si="0"/>
        <v>32</v>
      </c>
      <c r="AS4" s="84">
        <f t="shared" si="0"/>
        <v>33</v>
      </c>
      <c r="AT4" s="84">
        <f t="shared" si="0"/>
        <v>34</v>
      </c>
      <c r="AU4" s="84">
        <f t="shared" si="0"/>
        <v>35</v>
      </c>
      <c r="AV4" s="84">
        <f t="shared" si="0"/>
        <v>36</v>
      </c>
      <c r="AW4" s="84">
        <f t="shared" si="0"/>
        <v>37</v>
      </c>
      <c r="AX4" s="84">
        <f t="shared" si="0"/>
        <v>38</v>
      </c>
      <c r="AY4" s="84">
        <f t="shared" si="0"/>
        <v>39</v>
      </c>
      <c r="AZ4" s="84">
        <f t="shared" si="0"/>
        <v>40</v>
      </c>
      <c r="BA4" s="84">
        <f t="shared" si="0"/>
        <v>41</v>
      </c>
      <c r="BB4" s="84">
        <f t="shared" si="0"/>
        <v>42</v>
      </c>
      <c r="BC4" s="31"/>
      <c r="BD4" s="31"/>
      <c r="BE4" s="22"/>
      <c r="BF4" s="22"/>
      <c r="BG4" s="22"/>
      <c r="BH4" s="31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</row>
    <row r="5" spans="1:79" ht="14.25" customHeight="1" x14ac:dyDescent="0.25">
      <c r="A5" s="22"/>
      <c r="B5" s="22"/>
      <c r="C5" s="22"/>
      <c r="D5" s="22"/>
      <c r="E5" s="22"/>
      <c r="F5" s="80"/>
      <c r="G5" s="82"/>
      <c r="H5" s="82"/>
      <c r="I5" s="82"/>
      <c r="J5" s="82"/>
      <c r="K5" s="82"/>
      <c r="L5" s="22"/>
      <c r="M5" s="88"/>
      <c r="N5" s="88"/>
      <c r="O5" s="88"/>
      <c r="P5" s="88"/>
      <c r="Q5" s="88"/>
      <c r="R5" s="88"/>
      <c r="S5" s="89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9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9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31"/>
      <c r="BD5" s="31"/>
      <c r="BE5" s="22"/>
      <c r="BF5" s="22"/>
      <c r="BG5" s="22"/>
      <c r="BH5" s="31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spans="1:79" ht="14.25" customHeight="1" x14ac:dyDescent="0.25">
      <c r="A6" s="90" t="s">
        <v>146</v>
      </c>
      <c r="B6" s="90"/>
      <c r="C6" s="90"/>
      <c r="D6" s="90"/>
      <c r="E6" s="90"/>
      <c r="F6" s="91"/>
      <c r="G6" s="92"/>
      <c r="H6" s="92"/>
      <c r="I6" s="92"/>
      <c r="J6" s="92"/>
      <c r="K6" s="92"/>
      <c r="L6" s="90"/>
      <c r="M6" s="93"/>
      <c r="N6" s="93"/>
      <c r="O6" s="93"/>
      <c r="P6" s="93"/>
      <c r="Q6" s="93"/>
      <c r="R6" s="93"/>
      <c r="S6" s="94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4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4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5"/>
      <c r="BD6" s="95"/>
      <c r="BE6" s="90"/>
      <c r="BF6" s="90"/>
      <c r="BG6" s="90"/>
      <c r="BH6" s="95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</row>
    <row r="7" spans="1:79" ht="14.25" customHeight="1" outlineLevel="1" x14ac:dyDescent="0.25">
      <c r="A7" s="96"/>
      <c r="B7" s="96"/>
      <c r="C7" s="96"/>
      <c r="D7" s="96"/>
      <c r="E7" s="96"/>
      <c r="F7" s="81"/>
      <c r="G7" s="97"/>
      <c r="H7" s="97"/>
      <c r="I7" s="97"/>
      <c r="J7" s="97"/>
      <c r="K7" s="97"/>
      <c r="L7" s="96"/>
      <c r="M7" s="98"/>
      <c r="N7" s="98"/>
      <c r="O7" s="98"/>
      <c r="P7" s="98"/>
      <c r="Q7" s="98"/>
      <c r="R7" s="98"/>
      <c r="S7" s="99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9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9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100"/>
      <c r="BD7" s="100"/>
      <c r="BE7" s="96"/>
      <c r="BF7" s="96"/>
      <c r="BG7" s="96"/>
      <c r="BH7" s="100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</row>
    <row r="8" spans="1:79" ht="14.25" customHeight="1" outlineLevel="1" x14ac:dyDescent="0.25">
      <c r="A8" s="22"/>
      <c r="B8" s="22"/>
      <c r="C8" s="81" t="s">
        <v>147</v>
      </c>
      <c r="D8" s="81" t="s">
        <v>148</v>
      </c>
      <c r="E8" s="81" t="s">
        <v>149</v>
      </c>
      <c r="F8" s="80"/>
      <c r="G8" s="82"/>
      <c r="H8" s="82"/>
      <c r="I8" s="82"/>
      <c r="J8" s="82"/>
      <c r="K8" s="82"/>
      <c r="L8" s="22"/>
      <c r="M8" s="88"/>
      <c r="N8" s="88"/>
      <c r="O8" s="88"/>
      <c r="P8" s="88"/>
      <c r="Q8" s="88"/>
      <c r="R8" s="88"/>
      <c r="S8" s="89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9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9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31"/>
      <c r="BD8" s="31"/>
      <c r="BE8" s="22"/>
      <c r="BF8" s="22"/>
      <c r="BG8" s="22"/>
      <c r="BH8" s="31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</row>
    <row r="9" spans="1:79" ht="14.25" customHeight="1" outlineLevel="1" x14ac:dyDescent="0.25">
      <c r="A9" s="22"/>
      <c r="B9" s="22" t="s">
        <v>150</v>
      </c>
      <c r="C9" s="101">
        <v>45292</v>
      </c>
      <c r="D9" s="80"/>
      <c r="E9" s="102"/>
      <c r="F9" s="84"/>
      <c r="G9" s="84">
        <f t="shared" ref="G9:BB9" si="1">IF($C9&lt;=G$3,1," ")</f>
        <v>1</v>
      </c>
      <c r="H9" s="84">
        <f t="shared" si="1"/>
        <v>1</v>
      </c>
      <c r="I9" s="84">
        <f t="shared" si="1"/>
        <v>1</v>
      </c>
      <c r="J9" s="84">
        <f t="shared" si="1"/>
        <v>1</v>
      </c>
      <c r="K9" s="84">
        <f t="shared" si="1"/>
        <v>1</v>
      </c>
      <c r="L9" s="84">
        <f t="shared" si="1"/>
        <v>1</v>
      </c>
      <c r="M9" s="84">
        <f t="shared" si="1"/>
        <v>1</v>
      </c>
      <c r="N9" s="84">
        <f t="shared" si="1"/>
        <v>1</v>
      </c>
      <c r="O9" s="84">
        <f t="shared" si="1"/>
        <v>1</v>
      </c>
      <c r="P9" s="84">
        <f t="shared" si="1"/>
        <v>1</v>
      </c>
      <c r="Q9" s="84">
        <f t="shared" si="1"/>
        <v>1</v>
      </c>
      <c r="R9" s="84">
        <f t="shared" si="1"/>
        <v>1</v>
      </c>
      <c r="S9" s="85">
        <f t="shared" si="1"/>
        <v>1</v>
      </c>
      <c r="T9" s="84">
        <f t="shared" si="1"/>
        <v>1</v>
      </c>
      <c r="U9" s="84">
        <f t="shared" si="1"/>
        <v>1</v>
      </c>
      <c r="V9" s="84">
        <f t="shared" si="1"/>
        <v>1</v>
      </c>
      <c r="W9" s="84">
        <f t="shared" si="1"/>
        <v>1</v>
      </c>
      <c r="X9" s="84">
        <f t="shared" si="1"/>
        <v>1</v>
      </c>
      <c r="Y9" s="84">
        <f t="shared" si="1"/>
        <v>1</v>
      </c>
      <c r="Z9" s="84">
        <f t="shared" si="1"/>
        <v>1</v>
      </c>
      <c r="AA9" s="84">
        <f t="shared" si="1"/>
        <v>1</v>
      </c>
      <c r="AB9" s="84">
        <f t="shared" si="1"/>
        <v>1</v>
      </c>
      <c r="AC9" s="84">
        <f t="shared" si="1"/>
        <v>1</v>
      </c>
      <c r="AD9" s="84">
        <f t="shared" si="1"/>
        <v>1</v>
      </c>
      <c r="AE9" s="85">
        <f t="shared" si="1"/>
        <v>1</v>
      </c>
      <c r="AF9" s="84">
        <f t="shared" si="1"/>
        <v>1</v>
      </c>
      <c r="AG9" s="84">
        <f t="shared" si="1"/>
        <v>1</v>
      </c>
      <c r="AH9" s="84">
        <f t="shared" si="1"/>
        <v>1</v>
      </c>
      <c r="AI9" s="84">
        <f t="shared" si="1"/>
        <v>1</v>
      </c>
      <c r="AJ9" s="84">
        <f t="shared" si="1"/>
        <v>1</v>
      </c>
      <c r="AK9" s="84">
        <f t="shared" si="1"/>
        <v>1</v>
      </c>
      <c r="AL9" s="84">
        <f t="shared" si="1"/>
        <v>1</v>
      </c>
      <c r="AM9" s="84">
        <f t="shared" si="1"/>
        <v>1</v>
      </c>
      <c r="AN9" s="84">
        <f t="shared" si="1"/>
        <v>1</v>
      </c>
      <c r="AO9" s="84">
        <f t="shared" si="1"/>
        <v>1</v>
      </c>
      <c r="AP9" s="84">
        <f t="shared" si="1"/>
        <v>1</v>
      </c>
      <c r="AQ9" s="85">
        <f t="shared" si="1"/>
        <v>1</v>
      </c>
      <c r="AR9" s="84">
        <f t="shared" si="1"/>
        <v>1</v>
      </c>
      <c r="AS9" s="84">
        <f t="shared" si="1"/>
        <v>1</v>
      </c>
      <c r="AT9" s="84">
        <f t="shared" si="1"/>
        <v>1</v>
      </c>
      <c r="AU9" s="84">
        <f t="shared" si="1"/>
        <v>1</v>
      </c>
      <c r="AV9" s="84">
        <f t="shared" si="1"/>
        <v>1</v>
      </c>
      <c r="AW9" s="84">
        <f t="shared" si="1"/>
        <v>1</v>
      </c>
      <c r="AX9" s="84">
        <f t="shared" si="1"/>
        <v>1</v>
      </c>
      <c r="AY9" s="84">
        <f t="shared" si="1"/>
        <v>1</v>
      </c>
      <c r="AZ9" s="84">
        <f t="shared" si="1"/>
        <v>1</v>
      </c>
      <c r="BA9" s="84">
        <f t="shared" si="1"/>
        <v>1</v>
      </c>
      <c r="BB9" s="84">
        <f t="shared" si="1"/>
        <v>1</v>
      </c>
      <c r="BC9" s="31"/>
      <c r="BD9" s="31"/>
      <c r="BE9" s="22"/>
      <c r="BF9" s="22"/>
      <c r="BG9" s="22"/>
      <c r="BH9" s="31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</row>
    <row r="10" spans="1:79" ht="14.25" customHeight="1" outlineLevel="1" x14ac:dyDescent="0.25">
      <c r="A10" s="22"/>
      <c r="B10" s="22" t="s">
        <v>151</v>
      </c>
      <c r="C10" s="101">
        <v>45658</v>
      </c>
      <c r="D10" s="80"/>
      <c r="E10" s="102"/>
      <c r="F10" s="84"/>
      <c r="G10" s="84">
        <f t="shared" ref="G10:BB10" si="2">IF($C10&lt;=G$3,1," ")</f>
        <v>1</v>
      </c>
      <c r="H10" s="84">
        <f t="shared" si="2"/>
        <v>1</v>
      </c>
      <c r="I10" s="84">
        <f t="shared" si="2"/>
        <v>1</v>
      </c>
      <c r="J10" s="84">
        <f t="shared" si="2"/>
        <v>1</v>
      </c>
      <c r="K10" s="84">
        <f t="shared" si="2"/>
        <v>1</v>
      </c>
      <c r="L10" s="84">
        <f t="shared" si="2"/>
        <v>1</v>
      </c>
      <c r="M10" s="84">
        <f t="shared" si="2"/>
        <v>1</v>
      </c>
      <c r="N10" s="84">
        <f t="shared" si="2"/>
        <v>1</v>
      </c>
      <c r="O10" s="84">
        <f t="shared" si="2"/>
        <v>1</v>
      </c>
      <c r="P10" s="84">
        <f t="shared" si="2"/>
        <v>1</v>
      </c>
      <c r="Q10" s="84">
        <f t="shared" si="2"/>
        <v>1</v>
      </c>
      <c r="R10" s="84">
        <f t="shared" si="2"/>
        <v>1</v>
      </c>
      <c r="S10" s="85">
        <f t="shared" si="2"/>
        <v>1</v>
      </c>
      <c r="T10" s="84">
        <f t="shared" si="2"/>
        <v>1</v>
      </c>
      <c r="U10" s="84">
        <f t="shared" si="2"/>
        <v>1</v>
      </c>
      <c r="V10" s="84">
        <f t="shared" si="2"/>
        <v>1</v>
      </c>
      <c r="W10" s="84">
        <f t="shared" si="2"/>
        <v>1</v>
      </c>
      <c r="X10" s="84">
        <f t="shared" si="2"/>
        <v>1</v>
      </c>
      <c r="Y10" s="84">
        <f t="shared" si="2"/>
        <v>1</v>
      </c>
      <c r="Z10" s="84">
        <f t="shared" si="2"/>
        <v>1</v>
      </c>
      <c r="AA10" s="84">
        <f t="shared" si="2"/>
        <v>1</v>
      </c>
      <c r="AB10" s="84">
        <f t="shared" si="2"/>
        <v>1</v>
      </c>
      <c r="AC10" s="84">
        <f t="shared" si="2"/>
        <v>1</v>
      </c>
      <c r="AD10" s="84">
        <f t="shared" si="2"/>
        <v>1</v>
      </c>
      <c r="AE10" s="85">
        <f t="shared" si="2"/>
        <v>1</v>
      </c>
      <c r="AF10" s="84">
        <f t="shared" si="2"/>
        <v>1</v>
      </c>
      <c r="AG10" s="84">
        <f t="shared" si="2"/>
        <v>1</v>
      </c>
      <c r="AH10" s="84">
        <f t="shared" si="2"/>
        <v>1</v>
      </c>
      <c r="AI10" s="84">
        <f t="shared" si="2"/>
        <v>1</v>
      </c>
      <c r="AJ10" s="84">
        <f t="shared" si="2"/>
        <v>1</v>
      </c>
      <c r="AK10" s="84">
        <f t="shared" si="2"/>
        <v>1</v>
      </c>
      <c r="AL10" s="84">
        <f t="shared" si="2"/>
        <v>1</v>
      </c>
      <c r="AM10" s="84">
        <f t="shared" si="2"/>
        <v>1</v>
      </c>
      <c r="AN10" s="84">
        <f t="shared" si="2"/>
        <v>1</v>
      </c>
      <c r="AO10" s="84">
        <f t="shared" si="2"/>
        <v>1</v>
      </c>
      <c r="AP10" s="84">
        <f t="shared" si="2"/>
        <v>1</v>
      </c>
      <c r="AQ10" s="85">
        <f t="shared" si="2"/>
        <v>1</v>
      </c>
      <c r="AR10" s="84">
        <f t="shared" si="2"/>
        <v>1</v>
      </c>
      <c r="AS10" s="84">
        <f t="shared" si="2"/>
        <v>1</v>
      </c>
      <c r="AT10" s="84">
        <f t="shared" si="2"/>
        <v>1</v>
      </c>
      <c r="AU10" s="84">
        <f t="shared" si="2"/>
        <v>1</v>
      </c>
      <c r="AV10" s="84">
        <f t="shared" si="2"/>
        <v>1</v>
      </c>
      <c r="AW10" s="84">
        <f t="shared" si="2"/>
        <v>1</v>
      </c>
      <c r="AX10" s="84">
        <f t="shared" si="2"/>
        <v>1</v>
      </c>
      <c r="AY10" s="84">
        <f t="shared" si="2"/>
        <v>1</v>
      </c>
      <c r="AZ10" s="84">
        <f t="shared" si="2"/>
        <v>1</v>
      </c>
      <c r="BA10" s="84">
        <f t="shared" si="2"/>
        <v>1</v>
      </c>
      <c r="BB10" s="84">
        <f t="shared" si="2"/>
        <v>1</v>
      </c>
      <c r="BC10" s="31"/>
      <c r="BD10" s="31"/>
      <c r="BE10" s="22"/>
      <c r="BF10" s="22"/>
      <c r="BG10" s="22"/>
      <c r="BH10" s="31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</row>
    <row r="11" spans="1:79" ht="14.25" customHeight="1" outlineLevel="1" x14ac:dyDescent="0.25">
      <c r="A11" s="22"/>
      <c r="B11" s="22" t="s">
        <v>15</v>
      </c>
      <c r="C11" s="101">
        <v>45778</v>
      </c>
      <c r="D11" s="80"/>
      <c r="E11" s="102"/>
      <c r="F11" s="84"/>
      <c r="G11" s="84" t="str">
        <f t="shared" ref="G11:BB11" si="3">IF($C11&lt;=G$3,1," ")</f>
        <v xml:space="preserve"> </v>
      </c>
      <c r="H11" s="84" t="str">
        <f t="shared" si="3"/>
        <v xml:space="preserve"> </v>
      </c>
      <c r="I11" s="84" t="str">
        <f t="shared" si="3"/>
        <v xml:space="preserve"> </v>
      </c>
      <c r="J11" s="84" t="str">
        <f t="shared" si="3"/>
        <v xml:space="preserve"> </v>
      </c>
      <c r="K11" s="84">
        <f t="shared" si="3"/>
        <v>1</v>
      </c>
      <c r="L11" s="84">
        <f t="shared" si="3"/>
        <v>1</v>
      </c>
      <c r="M11" s="84">
        <f t="shared" si="3"/>
        <v>1</v>
      </c>
      <c r="N11" s="84">
        <f t="shared" si="3"/>
        <v>1</v>
      </c>
      <c r="O11" s="84">
        <f t="shared" si="3"/>
        <v>1</v>
      </c>
      <c r="P11" s="84">
        <f t="shared" si="3"/>
        <v>1</v>
      </c>
      <c r="Q11" s="84">
        <f t="shared" si="3"/>
        <v>1</v>
      </c>
      <c r="R11" s="84">
        <f t="shared" si="3"/>
        <v>1</v>
      </c>
      <c r="S11" s="85">
        <f t="shared" si="3"/>
        <v>1</v>
      </c>
      <c r="T11" s="84">
        <f t="shared" si="3"/>
        <v>1</v>
      </c>
      <c r="U11" s="84">
        <f t="shared" si="3"/>
        <v>1</v>
      </c>
      <c r="V11" s="84">
        <f t="shared" si="3"/>
        <v>1</v>
      </c>
      <c r="W11" s="84">
        <f t="shared" si="3"/>
        <v>1</v>
      </c>
      <c r="X11" s="84">
        <f t="shared" si="3"/>
        <v>1</v>
      </c>
      <c r="Y11" s="84">
        <f t="shared" si="3"/>
        <v>1</v>
      </c>
      <c r="Z11" s="84">
        <f t="shared" si="3"/>
        <v>1</v>
      </c>
      <c r="AA11" s="84">
        <f t="shared" si="3"/>
        <v>1</v>
      </c>
      <c r="AB11" s="84">
        <f t="shared" si="3"/>
        <v>1</v>
      </c>
      <c r="AC11" s="84">
        <f t="shared" si="3"/>
        <v>1</v>
      </c>
      <c r="AD11" s="84">
        <f t="shared" si="3"/>
        <v>1</v>
      </c>
      <c r="AE11" s="85">
        <f t="shared" si="3"/>
        <v>1</v>
      </c>
      <c r="AF11" s="84">
        <f t="shared" si="3"/>
        <v>1</v>
      </c>
      <c r="AG11" s="84">
        <f t="shared" si="3"/>
        <v>1</v>
      </c>
      <c r="AH11" s="84">
        <f t="shared" si="3"/>
        <v>1</v>
      </c>
      <c r="AI11" s="84">
        <f t="shared" si="3"/>
        <v>1</v>
      </c>
      <c r="AJ11" s="84">
        <f t="shared" si="3"/>
        <v>1</v>
      </c>
      <c r="AK11" s="84">
        <f t="shared" si="3"/>
        <v>1</v>
      </c>
      <c r="AL11" s="84">
        <f t="shared" si="3"/>
        <v>1</v>
      </c>
      <c r="AM11" s="84">
        <f t="shared" si="3"/>
        <v>1</v>
      </c>
      <c r="AN11" s="84">
        <f t="shared" si="3"/>
        <v>1</v>
      </c>
      <c r="AO11" s="84">
        <f t="shared" si="3"/>
        <v>1</v>
      </c>
      <c r="AP11" s="84">
        <f t="shared" si="3"/>
        <v>1</v>
      </c>
      <c r="AQ11" s="85">
        <f t="shared" si="3"/>
        <v>1</v>
      </c>
      <c r="AR11" s="84">
        <f t="shared" si="3"/>
        <v>1</v>
      </c>
      <c r="AS11" s="84">
        <f t="shared" si="3"/>
        <v>1</v>
      </c>
      <c r="AT11" s="84">
        <f t="shared" si="3"/>
        <v>1</v>
      </c>
      <c r="AU11" s="84">
        <f t="shared" si="3"/>
        <v>1</v>
      </c>
      <c r="AV11" s="84">
        <f t="shared" si="3"/>
        <v>1</v>
      </c>
      <c r="AW11" s="84">
        <f t="shared" si="3"/>
        <v>1</v>
      </c>
      <c r="AX11" s="84">
        <f t="shared" si="3"/>
        <v>1</v>
      </c>
      <c r="AY11" s="84">
        <f t="shared" si="3"/>
        <v>1</v>
      </c>
      <c r="AZ11" s="84">
        <f t="shared" si="3"/>
        <v>1</v>
      </c>
      <c r="BA11" s="84">
        <f t="shared" si="3"/>
        <v>1</v>
      </c>
      <c r="BB11" s="84">
        <f t="shared" si="3"/>
        <v>1</v>
      </c>
      <c r="BC11" s="31"/>
      <c r="BD11" s="31"/>
      <c r="BE11" s="22"/>
      <c r="BF11" s="22"/>
      <c r="BG11" s="22"/>
      <c r="BH11" s="31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</row>
    <row r="12" spans="1:79" ht="14.25" customHeight="1" outlineLevel="1" x14ac:dyDescent="0.25">
      <c r="A12" s="22"/>
      <c r="B12" s="22" t="s">
        <v>16</v>
      </c>
      <c r="C12" s="101">
        <v>45931</v>
      </c>
      <c r="D12" s="80">
        <v>3</v>
      </c>
      <c r="E12" s="102"/>
      <c r="F12" s="84">
        <f t="shared" ref="F12:F15" si="4">HLOOKUP(C12,M$3:AP$4,2,FALSE)</f>
        <v>4</v>
      </c>
      <c r="G12" s="82"/>
      <c r="H12" s="82"/>
      <c r="I12" s="82"/>
      <c r="J12" s="82"/>
      <c r="K12" s="82"/>
      <c r="L12" s="22"/>
      <c r="M12" s="84" t="str">
        <f t="shared" ref="M12:BB12" si="5">IF($C12&lt;=M$3,1," ")</f>
        <v xml:space="preserve"> </v>
      </c>
      <c r="N12" s="84" t="str">
        <f t="shared" si="5"/>
        <v xml:space="preserve"> </v>
      </c>
      <c r="O12" s="84" t="str">
        <f t="shared" si="5"/>
        <v xml:space="preserve"> </v>
      </c>
      <c r="P12" s="84">
        <f t="shared" si="5"/>
        <v>1</v>
      </c>
      <c r="Q12" s="84">
        <f t="shared" si="5"/>
        <v>1</v>
      </c>
      <c r="R12" s="84">
        <f t="shared" si="5"/>
        <v>1</v>
      </c>
      <c r="S12" s="85">
        <f t="shared" si="5"/>
        <v>1</v>
      </c>
      <c r="T12" s="84">
        <f t="shared" si="5"/>
        <v>1</v>
      </c>
      <c r="U12" s="84">
        <f t="shared" si="5"/>
        <v>1</v>
      </c>
      <c r="V12" s="84">
        <f t="shared" si="5"/>
        <v>1</v>
      </c>
      <c r="W12" s="84">
        <f t="shared" si="5"/>
        <v>1</v>
      </c>
      <c r="X12" s="84">
        <f t="shared" si="5"/>
        <v>1</v>
      </c>
      <c r="Y12" s="84">
        <f t="shared" si="5"/>
        <v>1</v>
      </c>
      <c r="Z12" s="84">
        <f t="shared" si="5"/>
        <v>1</v>
      </c>
      <c r="AA12" s="84">
        <f t="shared" si="5"/>
        <v>1</v>
      </c>
      <c r="AB12" s="84">
        <f t="shared" si="5"/>
        <v>1</v>
      </c>
      <c r="AC12" s="84">
        <f t="shared" si="5"/>
        <v>1</v>
      </c>
      <c r="AD12" s="84">
        <f t="shared" si="5"/>
        <v>1</v>
      </c>
      <c r="AE12" s="85">
        <f t="shared" si="5"/>
        <v>1</v>
      </c>
      <c r="AF12" s="84">
        <f t="shared" si="5"/>
        <v>1</v>
      </c>
      <c r="AG12" s="84">
        <f t="shared" si="5"/>
        <v>1</v>
      </c>
      <c r="AH12" s="84">
        <f t="shared" si="5"/>
        <v>1</v>
      </c>
      <c r="AI12" s="84">
        <f t="shared" si="5"/>
        <v>1</v>
      </c>
      <c r="AJ12" s="84">
        <f t="shared" si="5"/>
        <v>1</v>
      </c>
      <c r="AK12" s="84">
        <f t="shared" si="5"/>
        <v>1</v>
      </c>
      <c r="AL12" s="84">
        <f t="shared" si="5"/>
        <v>1</v>
      </c>
      <c r="AM12" s="84">
        <f t="shared" si="5"/>
        <v>1</v>
      </c>
      <c r="AN12" s="84">
        <f t="shared" si="5"/>
        <v>1</v>
      </c>
      <c r="AO12" s="84">
        <f t="shared" si="5"/>
        <v>1</v>
      </c>
      <c r="AP12" s="84">
        <f t="shared" si="5"/>
        <v>1</v>
      </c>
      <c r="AQ12" s="85">
        <f t="shared" si="5"/>
        <v>1</v>
      </c>
      <c r="AR12" s="84">
        <f t="shared" si="5"/>
        <v>1</v>
      </c>
      <c r="AS12" s="84">
        <f t="shared" si="5"/>
        <v>1</v>
      </c>
      <c r="AT12" s="84">
        <f t="shared" si="5"/>
        <v>1</v>
      </c>
      <c r="AU12" s="84">
        <f t="shared" si="5"/>
        <v>1</v>
      </c>
      <c r="AV12" s="84">
        <f t="shared" si="5"/>
        <v>1</v>
      </c>
      <c r="AW12" s="84">
        <f t="shared" si="5"/>
        <v>1</v>
      </c>
      <c r="AX12" s="84">
        <f t="shared" si="5"/>
        <v>1</v>
      </c>
      <c r="AY12" s="84">
        <f t="shared" si="5"/>
        <v>1</v>
      </c>
      <c r="AZ12" s="84">
        <f t="shared" si="5"/>
        <v>1</v>
      </c>
      <c r="BA12" s="84">
        <f t="shared" si="5"/>
        <v>1</v>
      </c>
      <c r="BB12" s="84">
        <f t="shared" si="5"/>
        <v>1</v>
      </c>
      <c r="BC12" s="31"/>
      <c r="BD12" s="31"/>
      <c r="BE12" s="22"/>
      <c r="BF12" s="22"/>
      <c r="BG12" s="22"/>
      <c r="BH12" s="31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</row>
    <row r="13" spans="1:79" ht="14.25" customHeight="1" outlineLevel="1" x14ac:dyDescent="0.25">
      <c r="A13" s="22"/>
      <c r="B13" s="22" t="s">
        <v>17</v>
      </c>
      <c r="C13" s="101">
        <v>46174</v>
      </c>
      <c r="D13" s="80">
        <v>3</v>
      </c>
      <c r="E13" s="102"/>
      <c r="F13" s="84">
        <f t="shared" si="4"/>
        <v>12</v>
      </c>
      <c r="G13" s="82"/>
      <c r="H13" s="82"/>
      <c r="I13" s="82"/>
      <c r="J13" s="82"/>
      <c r="K13" s="82"/>
      <c r="L13" s="22"/>
      <c r="M13" s="84" t="str">
        <f t="shared" ref="M13:P13" si="6">IF($C13&lt;=M$3,1," ")</f>
        <v xml:space="preserve"> </v>
      </c>
      <c r="N13" s="84" t="str">
        <f t="shared" si="6"/>
        <v xml:space="preserve"> </v>
      </c>
      <c r="O13" s="84" t="str">
        <f t="shared" si="6"/>
        <v xml:space="preserve"> </v>
      </c>
      <c r="P13" s="84" t="str">
        <f t="shared" si="6"/>
        <v xml:space="preserve"> </v>
      </c>
      <c r="Q13" s="103" t="s">
        <v>152</v>
      </c>
      <c r="R13" s="84"/>
      <c r="S13" s="85" t="str">
        <f t="shared" ref="S13:BB13" si="7">IF($C13&lt;=S$3,1," ")</f>
        <v xml:space="preserve"> </v>
      </c>
      <c r="T13" s="84" t="str">
        <f t="shared" si="7"/>
        <v xml:space="preserve"> </v>
      </c>
      <c r="U13" s="84" t="str">
        <f t="shared" si="7"/>
        <v xml:space="preserve"> </v>
      </c>
      <c r="V13" s="84" t="str">
        <f t="shared" si="7"/>
        <v xml:space="preserve"> </v>
      </c>
      <c r="W13" s="84" t="str">
        <f t="shared" si="7"/>
        <v xml:space="preserve"> </v>
      </c>
      <c r="X13" s="84">
        <f t="shared" si="7"/>
        <v>1</v>
      </c>
      <c r="Y13" s="84">
        <f t="shared" si="7"/>
        <v>1</v>
      </c>
      <c r="Z13" s="84">
        <f t="shared" si="7"/>
        <v>1</v>
      </c>
      <c r="AA13" s="84">
        <f t="shared" si="7"/>
        <v>1</v>
      </c>
      <c r="AB13" s="84">
        <f t="shared" si="7"/>
        <v>1</v>
      </c>
      <c r="AC13" s="84">
        <f t="shared" si="7"/>
        <v>1</v>
      </c>
      <c r="AD13" s="84">
        <f t="shared" si="7"/>
        <v>1</v>
      </c>
      <c r="AE13" s="85">
        <f t="shared" si="7"/>
        <v>1</v>
      </c>
      <c r="AF13" s="84">
        <f t="shared" si="7"/>
        <v>1</v>
      </c>
      <c r="AG13" s="84">
        <f t="shared" si="7"/>
        <v>1</v>
      </c>
      <c r="AH13" s="84">
        <f t="shared" si="7"/>
        <v>1</v>
      </c>
      <c r="AI13" s="84">
        <f t="shared" si="7"/>
        <v>1</v>
      </c>
      <c r="AJ13" s="84">
        <f t="shared" si="7"/>
        <v>1</v>
      </c>
      <c r="AK13" s="84">
        <f t="shared" si="7"/>
        <v>1</v>
      </c>
      <c r="AL13" s="84">
        <f t="shared" si="7"/>
        <v>1</v>
      </c>
      <c r="AM13" s="84">
        <f t="shared" si="7"/>
        <v>1</v>
      </c>
      <c r="AN13" s="84">
        <f t="shared" si="7"/>
        <v>1</v>
      </c>
      <c r="AO13" s="84">
        <f t="shared" si="7"/>
        <v>1</v>
      </c>
      <c r="AP13" s="84">
        <f t="shared" si="7"/>
        <v>1</v>
      </c>
      <c r="AQ13" s="85">
        <f t="shared" si="7"/>
        <v>1</v>
      </c>
      <c r="AR13" s="84">
        <f t="shared" si="7"/>
        <v>1</v>
      </c>
      <c r="AS13" s="84">
        <f t="shared" si="7"/>
        <v>1</v>
      </c>
      <c r="AT13" s="84">
        <f t="shared" si="7"/>
        <v>1</v>
      </c>
      <c r="AU13" s="84">
        <f t="shared" si="7"/>
        <v>1</v>
      </c>
      <c r="AV13" s="84">
        <f t="shared" si="7"/>
        <v>1</v>
      </c>
      <c r="AW13" s="84">
        <f t="shared" si="7"/>
        <v>1</v>
      </c>
      <c r="AX13" s="84">
        <f t="shared" si="7"/>
        <v>1</v>
      </c>
      <c r="AY13" s="84">
        <f t="shared" si="7"/>
        <v>1</v>
      </c>
      <c r="AZ13" s="84">
        <f t="shared" si="7"/>
        <v>1</v>
      </c>
      <c r="BA13" s="84">
        <f t="shared" si="7"/>
        <v>1</v>
      </c>
      <c r="BB13" s="84">
        <f t="shared" si="7"/>
        <v>1</v>
      </c>
      <c r="BC13" s="31"/>
      <c r="BD13" s="31"/>
      <c r="BE13" s="22"/>
      <c r="BF13" s="22"/>
      <c r="BG13" s="22"/>
      <c r="BH13" s="31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</row>
    <row r="14" spans="1:79" ht="14.25" customHeight="1" outlineLevel="1" x14ac:dyDescent="0.25">
      <c r="A14" s="22"/>
      <c r="B14" s="22" t="s">
        <v>18</v>
      </c>
      <c r="C14" s="101">
        <v>46204</v>
      </c>
      <c r="D14" s="80">
        <v>3</v>
      </c>
      <c r="E14" s="102"/>
      <c r="F14" s="84">
        <f t="shared" si="4"/>
        <v>13</v>
      </c>
      <c r="G14" s="82"/>
      <c r="H14" s="82"/>
      <c r="I14" s="82"/>
      <c r="J14" s="82"/>
      <c r="K14" s="82"/>
      <c r="L14" s="22"/>
      <c r="M14" s="84" t="str">
        <f t="shared" ref="M14:BB14" si="8">IF($C14&lt;=M$3,1," ")</f>
        <v xml:space="preserve"> </v>
      </c>
      <c r="N14" s="84" t="str">
        <f t="shared" si="8"/>
        <v xml:space="preserve"> </v>
      </c>
      <c r="O14" s="84" t="str">
        <f t="shared" si="8"/>
        <v xml:space="preserve"> </v>
      </c>
      <c r="P14" s="84" t="str">
        <f t="shared" si="8"/>
        <v xml:space="preserve"> </v>
      </c>
      <c r="Q14" s="84" t="str">
        <f t="shared" si="8"/>
        <v xml:space="preserve"> </v>
      </c>
      <c r="R14" s="84" t="str">
        <f t="shared" si="8"/>
        <v xml:space="preserve"> </v>
      </c>
      <c r="S14" s="85" t="str">
        <f t="shared" si="8"/>
        <v xml:space="preserve"> </v>
      </c>
      <c r="T14" s="84" t="str">
        <f t="shared" si="8"/>
        <v xml:space="preserve"> </v>
      </c>
      <c r="U14" s="84" t="str">
        <f t="shared" si="8"/>
        <v xml:space="preserve"> </v>
      </c>
      <c r="V14" s="84" t="str">
        <f t="shared" si="8"/>
        <v xml:space="preserve"> </v>
      </c>
      <c r="W14" s="84" t="str">
        <f t="shared" si="8"/>
        <v xml:space="preserve"> </v>
      </c>
      <c r="X14" s="84" t="str">
        <f t="shared" si="8"/>
        <v xml:space="preserve"> </v>
      </c>
      <c r="Y14" s="84">
        <f t="shared" si="8"/>
        <v>1</v>
      </c>
      <c r="Z14" s="84">
        <f t="shared" si="8"/>
        <v>1</v>
      </c>
      <c r="AA14" s="84">
        <f t="shared" si="8"/>
        <v>1</v>
      </c>
      <c r="AB14" s="84">
        <f t="shared" si="8"/>
        <v>1</v>
      </c>
      <c r="AC14" s="84">
        <f t="shared" si="8"/>
        <v>1</v>
      </c>
      <c r="AD14" s="84">
        <f t="shared" si="8"/>
        <v>1</v>
      </c>
      <c r="AE14" s="85">
        <f t="shared" si="8"/>
        <v>1</v>
      </c>
      <c r="AF14" s="84">
        <f t="shared" si="8"/>
        <v>1</v>
      </c>
      <c r="AG14" s="84">
        <f t="shared" si="8"/>
        <v>1</v>
      </c>
      <c r="AH14" s="84">
        <f t="shared" si="8"/>
        <v>1</v>
      </c>
      <c r="AI14" s="84">
        <f t="shared" si="8"/>
        <v>1</v>
      </c>
      <c r="AJ14" s="84">
        <f t="shared" si="8"/>
        <v>1</v>
      </c>
      <c r="AK14" s="84">
        <f t="shared" si="8"/>
        <v>1</v>
      </c>
      <c r="AL14" s="84">
        <f t="shared" si="8"/>
        <v>1</v>
      </c>
      <c r="AM14" s="84">
        <f t="shared" si="8"/>
        <v>1</v>
      </c>
      <c r="AN14" s="84">
        <f t="shared" si="8"/>
        <v>1</v>
      </c>
      <c r="AO14" s="84">
        <f t="shared" si="8"/>
        <v>1</v>
      </c>
      <c r="AP14" s="84">
        <f t="shared" si="8"/>
        <v>1</v>
      </c>
      <c r="AQ14" s="85">
        <f t="shared" si="8"/>
        <v>1</v>
      </c>
      <c r="AR14" s="84">
        <f t="shared" si="8"/>
        <v>1</v>
      </c>
      <c r="AS14" s="84">
        <f t="shared" si="8"/>
        <v>1</v>
      </c>
      <c r="AT14" s="84">
        <f t="shared" si="8"/>
        <v>1</v>
      </c>
      <c r="AU14" s="84">
        <f t="shared" si="8"/>
        <v>1</v>
      </c>
      <c r="AV14" s="84">
        <f t="shared" si="8"/>
        <v>1</v>
      </c>
      <c r="AW14" s="84">
        <f t="shared" si="8"/>
        <v>1</v>
      </c>
      <c r="AX14" s="84">
        <f t="shared" si="8"/>
        <v>1</v>
      </c>
      <c r="AY14" s="84">
        <f t="shared" si="8"/>
        <v>1</v>
      </c>
      <c r="AZ14" s="84">
        <f t="shared" si="8"/>
        <v>1</v>
      </c>
      <c r="BA14" s="84">
        <f t="shared" si="8"/>
        <v>1</v>
      </c>
      <c r="BB14" s="84">
        <f t="shared" si="8"/>
        <v>1</v>
      </c>
      <c r="BC14" s="31"/>
      <c r="BD14" s="31"/>
      <c r="BE14" s="22"/>
      <c r="BF14" s="22"/>
      <c r="BG14" s="22"/>
      <c r="BH14" s="31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</row>
    <row r="15" spans="1:79" ht="14.25" customHeight="1" outlineLevel="1" x14ac:dyDescent="0.25">
      <c r="A15" s="22"/>
      <c r="B15" s="22" t="s">
        <v>19</v>
      </c>
      <c r="C15" s="101">
        <v>46296</v>
      </c>
      <c r="D15" s="80">
        <v>3</v>
      </c>
      <c r="E15" s="102"/>
      <c r="F15" s="84">
        <f t="shared" si="4"/>
        <v>16</v>
      </c>
      <c r="G15" s="82"/>
      <c r="H15" s="82"/>
      <c r="I15" s="82"/>
      <c r="J15" s="82"/>
      <c r="K15" s="82"/>
      <c r="L15" s="22"/>
      <c r="M15" s="84" t="str">
        <f t="shared" ref="M15:BB15" si="9">IF($C15&lt;=M$3,1," ")</f>
        <v xml:space="preserve"> </v>
      </c>
      <c r="N15" s="84" t="str">
        <f t="shared" si="9"/>
        <v xml:space="preserve"> </v>
      </c>
      <c r="O15" s="84" t="str">
        <f t="shared" si="9"/>
        <v xml:space="preserve"> </v>
      </c>
      <c r="P15" s="84" t="str">
        <f t="shared" si="9"/>
        <v xml:space="preserve"> </v>
      </c>
      <c r="Q15" s="84" t="str">
        <f t="shared" si="9"/>
        <v xml:space="preserve"> </v>
      </c>
      <c r="R15" s="84" t="str">
        <f t="shared" si="9"/>
        <v xml:space="preserve"> </v>
      </c>
      <c r="S15" s="85" t="str">
        <f t="shared" si="9"/>
        <v xml:space="preserve"> </v>
      </c>
      <c r="T15" s="84" t="str">
        <f t="shared" si="9"/>
        <v xml:space="preserve"> </v>
      </c>
      <c r="U15" s="84" t="str">
        <f t="shared" si="9"/>
        <v xml:space="preserve"> </v>
      </c>
      <c r="V15" s="84" t="str">
        <f t="shared" si="9"/>
        <v xml:space="preserve"> </v>
      </c>
      <c r="W15" s="84" t="str">
        <f t="shared" si="9"/>
        <v xml:space="preserve"> </v>
      </c>
      <c r="X15" s="84" t="str">
        <f t="shared" si="9"/>
        <v xml:space="preserve"> </v>
      </c>
      <c r="Y15" s="84" t="str">
        <f t="shared" si="9"/>
        <v xml:space="preserve"> </v>
      </c>
      <c r="Z15" s="84" t="str">
        <f t="shared" si="9"/>
        <v xml:space="preserve"> </v>
      </c>
      <c r="AA15" s="84" t="str">
        <f t="shared" si="9"/>
        <v xml:space="preserve"> </v>
      </c>
      <c r="AB15" s="84">
        <f t="shared" si="9"/>
        <v>1</v>
      </c>
      <c r="AC15" s="84">
        <f t="shared" si="9"/>
        <v>1</v>
      </c>
      <c r="AD15" s="84">
        <f t="shared" si="9"/>
        <v>1</v>
      </c>
      <c r="AE15" s="85">
        <f t="shared" si="9"/>
        <v>1</v>
      </c>
      <c r="AF15" s="84">
        <f t="shared" si="9"/>
        <v>1</v>
      </c>
      <c r="AG15" s="84">
        <f t="shared" si="9"/>
        <v>1</v>
      </c>
      <c r="AH15" s="84">
        <f t="shared" si="9"/>
        <v>1</v>
      </c>
      <c r="AI15" s="84">
        <f t="shared" si="9"/>
        <v>1</v>
      </c>
      <c r="AJ15" s="84">
        <f t="shared" si="9"/>
        <v>1</v>
      </c>
      <c r="AK15" s="84">
        <f t="shared" si="9"/>
        <v>1</v>
      </c>
      <c r="AL15" s="84">
        <f t="shared" si="9"/>
        <v>1</v>
      </c>
      <c r="AM15" s="84">
        <f t="shared" si="9"/>
        <v>1</v>
      </c>
      <c r="AN15" s="84">
        <f t="shared" si="9"/>
        <v>1</v>
      </c>
      <c r="AO15" s="84">
        <f t="shared" si="9"/>
        <v>1</v>
      </c>
      <c r="AP15" s="84">
        <f t="shared" si="9"/>
        <v>1</v>
      </c>
      <c r="AQ15" s="85">
        <f t="shared" si="9"/>
        <v>1</v>
      </c>
      <c r="AR15" s="84">
        <f t="shared" si="9"/>
        <v>1</v>
      </c>
      <c r="AS15" s="84">
        <f t="shared" si="9"/>
        <v>1</v>
      </c>
      <c r="AT15" s="84">
        <f t="shared" si="9"/>
        <v>1</v>
      </c>
      <c r="AU15" s="84">
        <f t="shared" si="9"/>
        <v>1</v>
      </c>
      <c r="AV15" s="84">
        <f t="shared" si="9"/>
        <v>1</v>
      </c>
      <c r="AW15" s="84">
        <f t="shared" si="9"/>
        <v>1</v>
      </c>
      <c r="AX15" s="84">
        <f t="shared" si="9"/>
        <v>1</v>
      </c>
      <c r="AY15" s="84">
        <f t="shared" si="9"/>
        <v>1</v>
      </c>
      <c r="AZ15" s="84">
        <f t="shared" si="9"/>
        <v>1</v>
      </c>
      <c r="BA15" s="84">
        <f t="shared" si="9"/>
        <v>1</v>
      </c>
      <c r="BB15" s="84">
        <f t="shared" si="9"/>
        <v>1</v>
      </c>
      <c r="BC15" s="31"/>
      <c r="BD15" s="31"/>
      <c r="BE15" s="22"/>
      <c r="BF15" s="22"/>
      <c r="BG15" s="22"/>
      <c r="BH15" s="31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</row>
    <row r="16" spans="1:79" ht="14.25" customHeight="1" outlineLevel="1" x14ac:dyDescent="0.25">
      <c r="A16" s="22"/>
      <c r="B16" s="22" t="s">
        <v>20</v>
      </c>
      <c r="C16" s="101">
        <v>46753</v>
      </c>
      <c r="D16" s="80">
        <v>3</v>
      </c>
      <c r="E16" s="102"/>
      <c r="F16" s="84"/>
      <c r="G16" s="82"/>
      <c r="H16" s="82"/>
      <c r="I16" s="82"/>
      <c r="J16" s="82"/>
      <c r="K16" s="82"/>
      <c r="L16" s="22"/>
      <c r="M16" s="84" t="str">
        <f t="shared" ref="M16:BB16" si="10">IF($C16&lt;=M$3,1," ")</f>
        <v xml:space="preserve"> </v>
      </c>
      <c r="N16" s="84" t="str">
        <f t="shared" si="10"/>
        <v xml:space="preserve"> </v>
      </c>
      <c r="O16" s="84" t="str">
        <f t="shared" si="10"/>
        <v xml:space="preserve"> </v>
      </c>
      <c r="P16" s="84" t="str">
        <f t="shared" si="10"/>
        <v xml:space="preserve"> </v>
      </c>
      <c r="Q16" s="84" t="str">
        <f t="shared" si="10"/>
        <v xml:space="preserve"> </v>
      </c>
      <c r="R16" s="84" t="str">
        <f t="shared" si="10"/>
        <v xml:space="preserve"> </v>
      </c>
      <c r="S16" s="85" t="str">
        <f t="shared" si="10"/>
        <v xml:space="preserve"> </v>
      </c>
      <c r="T16" s="84" t="str">
        <f t="shared" si="10"/>
        <v xml:space="preserve"> </v>
      </c>
      <c r="U16" s="84" t="str">
        <f t="shared" si="10"/>
        <v xml:space="preserve"> </v>
      </c>
      <c r="V16" s="84" t="str">
        <f t="shared" si="10"/>
        <v xml:space="preserve"> </v>
      </c>
      <c r="W16" s="84" t="str">
        <f t="shared" si="10"/>
        <v xml:space="preserve"> </v>
      </c>
      <c r="X16" s="84" t="str">
        <f t="shared" si="10"/>
        <v xml:space="preserve"> </v>
      </c>
      <c r="Y16" s="84" t="str">
        <f t="shared" si="10"/>
        <v xml:space="preserve"> </v>
      </c>
      <c r="Z16" s="84" t="str">
        <f t="shared" si="10"/>
        <v xml:space="preserve"> </v>
      </c>
      <c r="AA16" s="84" t="str">
        <f t="shared" si="10"/>
        <v xml:space="preserve"> </v>
      </c>
      <c r="AB16" s="84" t="str">
        <f t="shared" si="10"/>
        <v xml:space="preserve"> </v>
      </c>
      <c r="AC16" s="84" t="str">
        <f t="shared" si="10"/>
        <v xml:space="preserve"> </v>
      </c>
      <c r="AD16" s="84" t="str">
        <f t="shared" si="10"/>
        <v xml:space="preserve"> </v>
      </c>
      <c r="AE16" s="85" t="str">
        <f t="shared" si="10"/>
        <v xml:space="preserve"> </v>
      </c>
      <c r="AF16" s="84" t="str">
        <f t="shared" si="10"/>
        <v xml:space="preserve"> </v>
      </c>
      <c r="AG16" s="84" t="str">
        <f t="shared" si="10"/>
        <v xml:space="preserve"> </v>
      </c>
      <c r="AH16" s="84" t="str">
        <f t="shared" si="10"/>
        <v xml:space="preserve"> </v>
      </c>
      <c r="AI16" s="84" t="str">
        <f t="shared" si="10"/>
        <v xml:space="preserve"> </v>
      </c>
      <c r="AJ16" s="84" t="str">
        <f t="shared" si="10"/>
        <v xml:space="preserve"> </v>
      </c>
      <c r="AK16" s="84" t="str">
        <f t="shared" si="10"/>
        <v xml:space="preserve"> </v>
      </c>
      <c r="AL16" s="84" t="str">
        <f t="shared" si="10"/>
        <v xml:space="preserve"> </v>
      </c>
      <c r="AM16" s="84" t="str">
        <f t="shared" si="10"/>
        <v xml:space="preserve"> </v>
      </c>
      <c r="AN16" s="84" t="str">
        <f t="shared" si="10"/>
        <v xml:space="preserve"> </v>
      </c>
      <c r="AO16" s="84" t="str">
        <f t="shared" si="10"/>
        <v xml:space="preserve"> </v>
      </c>
      <c r="AP16" s="84" t="str">
        <f t="shared" si="10"/>
        <v xml:space="preserve"> </v>
      </c>
      <c r="AQ16" s="85">
        <f t="shared" si="10"/>
        <v>1</v>
      </c>
      <c r="AR16" s="84">
        <f t="shared" si="10"/>
        <v>1</v>
      </c>
      <c r="AS16" s="84">
        <f t="shared" si="10"/>
        <v>1</v>
      </c>
      <c r="AT16" s="84">
        <f t="shared" si="10"/>
        <v>1</v>
      </c>
      <c r="AU16" s="84">
        <f t="shared" si="10"/>
        <v>1</v>
      </c>
      <c r="AV16" s="84">
        <f t="shared" si="10"/>
        <v>1</v>
      </c>
      <c r="AW16" s="84">
        <f t="shared" si="10"/>
        <v>1</v>
      </c>
      <c r="AX16" s="84">
        <f t="shared" si="10"/>
        <v>1</v>
      </c>
      <c r="AY16" s="84">
        <f t="shared" si="10"/>
        <v>1</v>
      </c>
      <c r="AZ16" s="84">
        <f t="shared" si="10"/>
        <v>1</v>
      </c>
      <c r="BA16" s="84">
        <f t="shared" si="10"/>
        <v>1</v>
      </c>
      <c r="BB16" s="84">
        <f t="shared" si="10"/>
        <v>1</v>
      </c>
      <c r="BC16" s="31"/>
      <c r="BD16" s="31"/>
      <c r="BE16" s="22"/>
      <c r="BF16" s="22"/>
      <c r="BG16" s="22"/>
      <c r="BH16" s="31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</row>
    <row r="17" spans="1:79" ht="14.25" customHeight="1" outlineLevel="1" x14ac:dyDescent="0.25">
      <c r="A17" s="22"/>
      <c r="B17" s="22" t="s">
        <v>153</v>
      </c>
      <c r="C17" s="101">
        <v>46753</v>
      </c>
      <c r="D17" s="80">
        <v>3</v>
      </c>
      <c r="E17" s="102"/>
      <c r="F17" s="84"/>
      <c r="G17" s="82"/>
      <c r="H17" s="82"/>
      <c r="I17" s="82"/>
      <c r="J17" s="82"/>
      <c r="K17" s="82"/>
      <c r="L17" s="22"/>
      <c r="M17" s="84" t="str">
        <f t="shared" ref="M17:P17" si="11">IF($C17&lt;=M$3,1," ")</f>
        <v xml:space="preserve"> </v>
      </c>
      <c r="N17" s="84" t="str">
        <f t="shared" si="11"/>
        <v xml:space="preserve"> </v>
      </c>
      <c r="O17" s="84" t="str">
        <f t="shared" si="11"/>
        <v xml:space="preserve"> </v>
      </c>
      <c r="P17" s="84" t="str">
        <f t="shared" si="11"/>
        <v xml:space="preserve"> </v>
      </c>
      <c r="Q17" s="84"/>
      <c r="R17" s="84" t="str">
        <f t="shared" ref="R17:BB17" si="12">IF($C17&lt;=R$3,1," ")</f>
        <v xml:space="preserve"> </v>
      </c>
      <c r="S17" s="85" t="str">
        <f t="shared" si="12"/>
        <v xml:space="preserve"> </v>
      </c>
      <c r="T17" s="84" t="str">
        <f t="shared" si="12"/>
        <v xml:space="preserve"> </v>
      </c>
      <c r="U17" s="84" t="str">
        <f t="shared" si="12"/>
        <v xml:space="preserve"> </v>
      </c>
      <c r="V17" s="84" t="str">
        <f t="shared" si="12"/>
        <v xml:space="preserve"> </v>
      </c>
      <c r="W17" s="84" t="str">
        <f t="shared" si="12"/>
        <v xml:space="preserve"> </v>
      </c>
      <c r="X17" s="84" t="str">
        <f t="shared" si="12"/>
        <v xml:space="preserve"> </v>
      </c>
      <c r="Y17" s="84" t="str">
        <f t="shared" si="12"/>
        <v xml:space="preserve"> </v>
      </c>
      <c r="Z17" s="84" t="str">
        <f t="shared" si="12"/>
        <v xml:space="preserve"> </v>
      </c>
      <c r="AA17" s="84" t="str">
        <f t="shared" si="12"/>
        <v xml:space="preserve"> </v>
      </c>
      <c r="AB17" s="84" t="str">
        <f t="shared" si="12"/>
        <v xml:space="preserve"> </v>
      </c>
      <c r="AC17" s="84" t="str">
        <f t="shared" si="12"/>
        <v xml:space="preserve"> </v>
      </c>
      <c r="AD17" s="84" t="str">
        <f t="shared" si="12"/>
        <v xml:space="preserve"> </v>
      </c>
      <c r="AE17" s="85" t="str">
        <f t="shared" si="12"/>
        <v xml:space="preserve"> </v>
      </c>
      <c r="AF17" s="84" t="str">
        <f t="shared" si="12"/>
        <v xml:space="preserve"> </v>
      </c>
      <c r="AG17" s="84" t="str">
        <f t="shared" si="12"/>
        <v xml:space="preserve"> </v>
      </c>
      <c r="AH17" s="84" t="str">
        <f t="shared" si="12"/>
        <v xml:space="preserve"> </v>
      </c>
      <c r="AI17" s="84" t="str">
        <f t="shared" si="12"/>
        <v xml:space="preserve"> </v>
      </c>
      <c r="AJ17" s="84" t="str">
        <f t="shared" si="12"/>
        <v xml:space="preserve"> </v>
      </c>
      <c r="AK17" s="84" t="str">
        <f t="shared" si="12"/>
        <v xml:space="preserve"> </v>
      </c>
      <c r="AL17" s="84" t="str">
        <f t="shared" si="12"/>
        <v xml:space="preserve"> </v>
      </c>
      <c r="AM17" s="84" t="str">
        <f t="shared" si="12"/>
        <v xml:space="preserve"> </v>
      </c>
      <c r="AN17" s="84" t="str">
        <f t="shared" si="12"/>
        <v xml:space="preserve"> </v>
      </c>
      <c r="AO17" s="84" t="str">
        <f t="shared" si="12"/>
        <v xml:space="preserve"> </v>
      </c>
      <c r="AP17" s="84" t="str">
        <f t="shared" si="12"/>
        <v xml:space="preserve"> </v>
      </c>
      <c r="AQ17" s="85">
        <f t="shared" si="12"/>
        <v>1</v>
      </c>
      <c r="AR17" s="84">
        <f t="shared" si="12"/>
        <v>1</v>
      </c>
      <c r="AS17" s="84">
        <f t="shared" si="12"/>
        <v>1</v>
      </c>
      <c r="AT17" s="84">
        <f t="shared" si="12"/>
        <v>1</v>
      </c>
      <c r="AU17" s="84">
        <f t="shared" si="12"/>
        <v>1</v>
      </c>
      <c r="AV17" s="84">
        <f t="shared" si="12"/>
        <v>1</v>
      </c>
      <c r="AW17" s="84">
        <f t="shared" si="12"/>
        <v>1</v>
      </c>
      <c r="AX17" s="84">
        <f t="shared" si="12"/>
        <v>1</v>
      </c>
      <c r="AY17" s="84">
        <f t="shared" si="12"/>
        <v>1</v>
      </c>
      <c r="AZ17" s="84">
        <f t="shared" si="12"/>
        <v>1</v>
      </c>
      <c r="BA17" s="84">
        <f t="shared" si="12"/>
        <v>1</v>
      </c>
      <c r="BB17" s="84">
        <f t="shared" si="12"/>
        <v>1</v>
      </c>
      <c r="BC17" s="31"/>
      <c r="BD17" s="31"/>
      <c r="BE17" s="22"/>
      <c r="BF17" s="22"/>
      <c r="BG17" s="22"/>
      <c r="BH17" s="31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</row>
    <row r="18" spans="1:79" ht="14.25" customHeight="1" outlineLevel="1" x14ac:dyDescent="0.25">
      <c r="A18" s="22"/>
      <c r="B18" s="22"/>
      <c r="C18" s="22"/>
      <c r="D18" s="22"/>
      <c r="E18" s="22"/>
      <c r="F18" s="80"/>
      <c r="G18" s="82"/>
      <c r="H18" s="82"/>
      <c r="I18" s="82"/>
      <c r="J18" s="82"/>
      <c r="K18" s="82"/>
      <c r="L18" s="22"/>
      <c r="M18" s="88"/>
      <c r="N18" s="88"/>
      <c r="O18" s="88"/>
      <c r="P18" s="88"/>
      <c r="Q18" s="88"/>
      <c r="R18" s="88"/>
      <c r="S18" s="89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31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31"/>
      <c r="BD18" s="31"/>
      <c r="BE18" s="22"/>
      <c r="BF18" s="22"/>
      <c r="BG18" s="22"/>
      <c r="BH18" s="31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ht="14.25" customHeight="1" x14ac:dyDescent="0.25">
      <c r="A19" s="22"/>
      <c r="B19" s="22"/>
      <c r="C19" s="22"/>
      <c r="D19" s="22"/>
      <c r="E19" s="22"/>
      <c r="F19" s="80"/>
      <c r="G19" s="82"/>
      <c r="H19" s="82"/>
      <c r="I19" s="82"/>
      <c r="J19" s="82"/>
      <c r="K19" s="82"/>
      <c r="L19" s="22"/>
      <c r="M19" s="88"/>
      <c r="N19" s="88"/>
      <c r="O19" s="88"/>
      <c r="P19" s="88"/>
      <c r="Q19" s="88"/>
      <c r="R19" s="88"/>
      <c r="S19" s="89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9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31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31"/>
      <c r="BD19" s="31"/>
      <c r="BE19" s="22"/>
      <c r="BF19" s="22"/>
      <c r="BG19" s="22"/>
      <c r="BH19" s="31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ht="14.25" customHeight="1" x14ac:dyDescent="0.25">
      <c r="A20" s="104" t="s">
        <v>24</v>
      </c>
      <c r="B20" s="104"/>
      <c r="C20" s="104"/>
      <c r="D20" s="104"/>
      <c r="E20" s="104"/>
      <c r="F20" s="105"/>
      <c r="G20" s="106">
        <f t="shared" ref="G20:AP20" si="13">G26+G32+G56+G74</f>
        <v>113758</v>
      </c>
      <c r="H20" s="106">
        <f t="shared" si="13"/>
        <v>113758</v>
      </c>
      <c r="I20" s="106">
        <f t="shared" si="13"/>
        <v>174140.41666666669</v>
      </c>
      <c r="J20" s="106">
        <f t="shared" si="13"/>
        <v>201961.66666666669</v>
      </c>
      <c r="K20" s="106">
        <f t="shared" si="13"/>
        <v>214841.875</v>
      </c>
      <c r="L20" s="106">
        <f t="shared" si="13"/>
        <v>227722.08333333337</v>
      </c>
      <c r="M20" s="106">
        <f t="shared" si="13"/>
        <v>302862.75</v>
      </c>
      <c r="N20" s="106">
        <f t="shared" si="13"/>
        <v>315323.41666666669</v>
      </c>
      <c r="O20" s="106">
        <f t="shared" si="13"/>
        <v>316243.41666666669</v>
      </c>
      <c r="P20" s="106">
        <f t="shared" si="13"/>
        <v>326231.08333333337</v>
      </c>
      <c r="Q20" s="106">
        <f t="shared" si="13"/>
        <v>337151.08333333337</v>
      </c>
      <c r="R20" s="106">
        <f t="shared" si="13"/>
        <v>338071.08333333337</v>
      </c>
      <c r="S20" s="107">
        <f t="shared" si="13"/>
        <v>904692.58333333326</v>
      </c>
      <c r="T20" s="106">
        <f t="shared" si="13"/>
        <v>1012628.6249999998</v>
      </c>
      <c r="U20" s="106">
        <f t="shared" si="13"/>
        <v>1188230.7083333333</v>
      </c>
      <c r="V20" s="106">
        <f t="shared" si="13"/>
        <v>1441090.0833333333</v>
      </c>
      <c r="W20" s="106">
        <f t="shared" si="13"/>
        <v>1239327.1666666665</v>
      </c>
      <c r="X20" s="106">
        <f t="shared" si="13"/>
        <v>1232654.2499999998</v>
      </c>
      <c r="Y20" s="106">
        <f t="shared" si="13"/>
        <v>1349531.9583333333</v>
      </c>
      <c r="Z20" s="106">
        <f t="shared" si="13"/>
        <v>1352530.0833333333</v>
      </c>
      <c r="AA20" s="106">
        <f t="shared" si="13"/>
        <v>1344857.7916666665</v>
      </c>
      <c r="AB20" s="106">
        <f t="shared" si="13"/>
        <v>1396822.3749999998</v>
      </c>
      <c r="AC20" s="106">
        <f t="shared" si="13"/>
        <v>1327722.3749999998</v>
      </c>
      <c r="AD20" s="106">
        <f t="shared" si="13"/>
        <v>1386958.833333333</v>
      </c>
      <c r="AE20" s="107">
        <f t="shared" si="13"/>
        <v>1469143.833333333</v>
      </c>
      <c r="AF20" s="106">
        <f t="shared" si="13"/>
        <v>1565804.25</v>
      </c>
      <c r="AG20" s="106">
        <f t="shared" si="13"/>
        <v>1526704.25</v>
      </c>
      <c r="AH20" s="106">
        <f t="shared" si="13"/>
        <v>1880484.458333333</v>
      </c>
      <c r="AI20" s="106">
        <f t="shared" si="13"/>
        <v>1517051.7499999998</v>
      </c>
      <c r="AJ20" s="106">
        <f t="shared" si="13"/>
        <v>1659168.4166666663</v>
      </c>
      <c r="AK20" s="106">
        <f t="shared" si="13"/>
        <v>1567796.5416666665</v>
      </c>
      <c r="AL20" s="106">
        <f t="shared" si="13"/>
        <v>1649000.708333333</v>
      </c>
      <c r="AM20" s="106">
        <f t="shared" si="13"/>
        <v>1625356.958333333</v>
      </c>
      <c r="AN20" s="106">
        <f t="shared" si="13"/>
        <v>1700260.708333333</v>
      </c>
      <c r="AO20" s="106">
        <f t="shared" si="13"/>
        <v>1644556.1249999995</v>
      </c>
      <c r="AP20" s="106">
        <f t="shared" si="13"/>
        <v>1685760.291666666</v>
      </c>
      <c r="AQ20" s="108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8"/>
      <c r="BD20" s="108"/>
      <c r="BE20" s="104"/>
      <c r="BF20" s="104"/>
      <c r="BG20" s="104"/>
      <c r="BH20" s="108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</row>
    <row r="21" spans="1:79" ht="14.25" customHeight="1" outlineLevel="1" x14ac:dyDescent="0.25">
      <c r="A21" s="22"/>
      <c r="B21" s="22"/>
      <c r="C21" s="22"/>
      <c r="D21" s="22"/>
      <c r="E21" s="22"/>
      <c r="F21" s="80"/>
      <c r="G21" s="82"/>
      <c r="H21" s="82"/>
      <c r="I21" s="82"/>
      <c r="J21" s="82"/>
      <c r="K21" s="82"/>
      <c r="L21" s="22"/>
      <c r="M21" s="22"/>
      <c r="N21" s="22"/>
      <c r="O21" s="22"/>
      <c r="P21" s="22"/>
      <c r="Q21" s="22"/>
      <c r="R21" s="22"/>
      <c r="S21" s="31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31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31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31"/>
      <c r="BD21" s="31"/>
      <c r="BE21" s="22"/>
      <c r="BF21" s="22"/>
      <c r="BG21" s="22"/>
      <c r="BH21" s="31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</row>
    <row r="22" spans="1:79" ht="14.25" customHeight="1" outlineLevel="1" x14ac:dyDescent="0.25">
      <c r="A22" s="22"/>
      <c r="B22" s="22" t="s">
        <v>154</v>
      </c>
      <c r="C22" s="22"/>
      <c r="D22" s="22"/>
      <c r="E22" s="22"/>
      <c r="F22" s="80"/>
      <c r="G22" s="11">
        <f t="shared" ref="G22:AP22" si="14">G20-SUM(G75:G79)</f>
        <v>33952.229166666672</v>
      </c>
      <c r="H22" s="11">
        <f t="shared" si="14"/>
        <v>33952.229166666672</v>
      </c>
      <c r="I22" s="11">
        <f t="shared" si="14"/>
        <v>81969.645833333358</v>
      </c>
      <c r="J22" s="11">
        <f t="shared" si="14"/>
        <v>95880.270833333358</v>
      </c>
      <c r="K22" s="11">
        <f t="shared" si="14"/>
        <v>108760.47916666667</v>
      </c>
      <c r="L22" s="11">
        <f t="shared" si="14"/>
        <v>121640.68750000004</v>
      </c>
      <c r="M22" s="11">
        <f t="shared" si="14"/>
        <v>217389.6875</v>
      </c>
      <c r="N22" s="11">
        <f t="shared" si="14"/>
        <v>224080.02083333337</v>
      </c>
      <c r="O22" s="11">
        <f t="shared" si="14"/>
        <v>225000.02083333337</v>
      </c>
      <c r="P22" s="11">
        <f t="shared" si="14"/>
        <v>230453.85416666672</v>
      </c>
      <c r="Q22" s="11">
        <f t="shared" si="14"/>
        <v>241373.85416666672</v>
      </c>
      <c r="R22" s="11">
        <f t="shared" si="14"/>
        <v>242293.85416666672</v>
      </c>
      <c r="S22" s="50">
        <f t="shared" si="14"/>
        <v>548632.10416666663</v>
      </c>
      <c r="T22" s="11">
        <f t="shared" si="14"/>
        <v>633383.77083333314</v>
      </c>
      <c r="U22" s="11">
        <f t="shared" si="14"/>
        <v>785801.47916666663</v>
      </c>
      <c r="V22" s="11">
        <f t="shared" si="14"/>
        <v>1013415.6458333333</v>
      </c>
      <c r="W22" s="11">
        <f t="shared" si="14"/>
        <v>802378.97916666651</v>
      </c>
      <c r="X22" s="11">
        <f t="shared" si="14"/>
        <v>782825.85416666651</v>
      </c>
      <c r="Y22" s="11">
        <f t="shared" si="14"/>
        <v>871367.10416666674</v>
      </c>
      <c r="Z22" s="11">
        <f t="shared" si="14"/>
        <v>853241.6875</v>
      </c>
      <c r="AA22" s="11">
        <f t="shared" si="14"/>
        <v>832689.1875</v>
      </c>
      <c r="AB22" s="11">
        <f t="shared" si="14"/>
        <v>861469.39583333326</v>
      </c>
      <c r="AC22" s="11">
        <f t="shared" si="14"/>
        <v>792369.39583333326</v>
      </c>
      <c r="AD22" s="11">
        <f t="shared" si="14"/>
        <v>851605.85416666651</v>
      </c>
      <c r="AE22" s="50">
        <f t="shared" si="14"/>
        <v>883300.43749999977</v>
      </c>
      <c r="AF22" s="11">
        <f t="shared" si="14"/>
        <v>967080.64583333349</v>
      </c>
      <c r="AG22" s="11">
        <f t="shared" si="14"/>
        <v>927980.64583333349</v>
      </c>
      <c r="AH22" s="11">
        <f t="shared" si="14"/>
        <v>1281760.8541666665</v>
      </c>
      <c r="AI22" s="11">
        <f t="shared" si="14"/>
        <v>918328.14583333326</v>
      </c>
      <c r="AJ22" s="11">
        <f t="shared" si="14"/>
        <v>1047564.6041666665</v>
      </c>
      <c r="AK22" s="11">
        <f t="shared" si="14"/>
        <v>956192.72916666674</v>
      </c>
      <c r="AL22" s="11">
        <f t="shared" si="14"/>
        <v>1037396.8958333333</v>
      </c>
      <c r="AM22" s="11">
        <f t="shared" si="14"/>
        <v>1013753.1458333333</v>
      </c>
      <c r="AN22" s="11">
        <f t="shared" si="14"/>
        <v>1076807.1041666665</v>
      </c>
      <c r="AO22" s="11">
        <f t="shared" si="14"/>
        <v>1021102.520833333</v>
      </c>
      <c r="AP22" s="11">
        <f t="shared" si="14"/>
        <v>1062306.6874999995</v>
      </c>
      <c r="AQ22" s="31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31"/>
      <c r="BD22" s="31"/>
      <c r="BE22" s="22"/>
      <c r="BF22" s="22"/>
      <c r="BG22" s="22"/>
      <c r="BH22" s="31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</row>
    <row r="23" spans="1:79" ht="14.25" customHeight="1" outlineLevel="1" x14ac:dyDescent="0.25">
      <c r="A23" s="22"/>
      <c r="B23" s="22" t="s">
        <v>155</v>
      </c>
      <c r="C23" s="22"/>
      <c r="D23" s="22"/>
      <c r="E23" s="22"/>
      <c r="F23" s="80"/>
      <c r="G23" s="82"/>
      <c r="H23" s="11">
        <f t="shared" ref="H23:AP23" si="15">H22-G22</f>
        <v>0</v>
      </c>
      <c r="I23" s="11">
        <f t="shared" si="15"/>
        <v>48017.416666666686</v>
      </c>
      <c r="J23" s="11">
        <f t="shared" si="15"/>
        <v>13910.625</v>
      </c>
      <c r="K23" s="11">
        <f t="shared" si="15"/>
        <v>12880.208333333314</v>
      </c>
      <c r="L23" s="11">
        <f t="shared" si="15"/>
        <v>12880.208333333372</v>
      </c>
      <c r="M23" s="11">
        <f t="shared" si="15"/>
        <v>95748.999999999956</v>
      </c>
      <c r="N23" s="11">
        <f t="shared" si="15"/>
        <v>6690.3333333333721</v>
      </c>
      <c r="O23" s="11">
        <f t="shared" si="15"/>
        <v>920</v>
      </c>
      <c r="P23" s="11">
        <f t="shared" si="15"/>
        <v>5453.833333333343</v>
      </c>
      <c r="Q23" s="11">
        <f t="shared" si="15"/>
        <v>10920</v>
      </c>
      <c r="R23" s="11">
        <f t="shared" si="15"/>
        <v>920</v>
      </c>
      <c r="S23" s="50">
        <f t="shared" si="15"/>
        <v>306338.24999999988</v>
      </c>
      <c r="T23" s="11">
        <f t="shared" si="15"/>
        <v>84751.666666666511</v>
      </c>
      <c r="U23" s="11">
        <f t="shared" si="15"/>
        <v>152417.70833333349</v>
      </c>
      <c r="V23" s="11">
        <f t="shared" si="15"/>
        <v>227614.16666666663</v>
      </c>
      <c r="W23" s="11">
        <f t="shared" si="15"/>
        <v>-211036.66666666674</v>
      </c>
      <c r="X23" s="11">
        <f t="shared" si="15"/>
        <v>-19553.125</v>
      </c>
      <c r="Y23" s="11">
        <f t="shared" si="15"/>
        <v>88541.250000000233</v>
      </c>
      <c r="Z23" s="11">
        <f t="shared" si="15"/>
        <v>-18125.416666666744</v>
      </c>
      <c r="AA23" s="11">
        <f t="shared" si="15"/>
        <v>-20552.5</v>
      </c>
      <c r="AB23" s="11">
        <f t="shared" si="15"/>
        <v>28780.208333333256</v>
      </c>
      <c r="AC23" s="11">
        <f t="shared" si="15"/>
        <v>-69100</v>
      </c>
      <c r="AD23" s="11">
        <f t="shared" si="15"/>
        <v>59236.458333333256</v>
      </c>
      <c r="AE23" s="50">
        <f t="shared" si="15"/>
        <v>31694.583333333256</v>
      </c>
      <c r="AF23" s="11">
        <f t="shared" si="15"/>
        <v>83780.208333333721</v>
      </c>
      <c r="AG23" s="11">
        <f t="shared" si="15"/>
        <v>-39100</v>
      </c>
      <c r="AH23" s="11">
        <f t="shared" si="15"/>
        <v>353780.20833333302</v>
      </c>
      <c r="AI23" s="11">
        <f t="shared" si="15"/>
        <v>-363432.70833333326</v>
      </c>
      <c r="AJ23" s="11">
        <f t="shared" si="15"/>
        <v>129236.45833333326</v>
      </c>
      <c r="AK23" s="11">
        <f t="shared" si="15"/>
        <v>-91371.874999999767</v>
      </c>
      <c r="AL23" s="11">
        <f t="shared" si="15"/>
        <v>81204.166666666511</v>
      </c>
      <c r="AM23" s="11">
        <f t="shared" si="15"/>
        <v>-23643.75</v>
      </c>
      <c r="AN23" s="11">
        <f t="shared" si="15"/>
        <v>63053.958333333256</v>
      </c>
      <c r="AO23" s="11">
        <f t="shared" si="15"/>
        <v>-55704.583333333489</v>
      </c>
      <c r="AP23" s="11">
        <f t="shared" si="15"/>
        <v>41204.166666666511</v>
      </c>
      <c r="AQ23" s="31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31"/>
      <c r="BD23" s="31"/>
      <c r="BE23" s="22"/>
      <c r="BF23" s="22"/>
      <c r="BG23" s="22"/>
      <c r="BH23" s="31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</row>
    <row r="24" spans="1:79" ht="14.25" customHeight="1" outlineLevel="1" x14ac:dyDescent="0.25">
      <c r="A24" s="22"/>
      <c r="B24" s="22"/>
      <c r="C24" s="22"/>
      <c r="D24" s="22"/>
      <c r="E24" s="22"/>
      <c r="F24" s="80"/>
      <c r="G24" s="109">
        <f t="shared" ref="G24:M24" si="16">G84-G85</f>
        <v>2837.9199999999837</v>
      </c>
      <c r="H24" s="109">
        <f t="shared" si="16"/>
        <v>6867.3099999999977</v>
      </c>
      <c r="I24" s="109">
        <f t="shared" si="16"/>
        <v>6704.5683333334746</v>
      </c>
      <c r="J24" s="109">
        <f t="shared" si="16"/>
        <v>10835.970000000088</v>
      </c>
      <c r="K24" s="109">
        <f t="shared" si="16"/>
        <v>7900.8555319149164</v>
      </c>
      <c r="L24" s="109">
        <f t="shared" si="16"/>
        <v>57452.095761227014</v>
      </c>
      <c r="M24" s="109">
        <f t="shared" si="16"/>
        <v>-27900</v>
      </c>
      <c r="N24" s="22"/>
      <c r="O24" s="22"/>
      <c r="P24" s="22"/>
      <c r="Q24" s="22"/>
      <c r="R24" s="22"/>
      <c r="S24" s="31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31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31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31"/>
      <c r="BD24" s="31"/>
      <c r="BE24" s="22"/>
      <c r="BF24" s="22"/>
      <c r="BG24" s="22"/>
      <c r="BH24" s="31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</row>
    <row r="25" spans="1:79" ht="14.25" customHeight="1" outlineLevel="1" x14ac:dyDescent="0.25">
      <c r="A25" s="22"/>
      <c r="B25" s="22"/>
      <c r="C25" s="22"/>
      <c r="D25" s="22"/>
      <c r="E25" s="22"/>
      <c r="F25" s="80"/>
      <c r="G25" s="82"/>
      <c r="H25" s="82"/>
      <c r="I25" s="82"/>
      <c r="J25" s="82"/>
      <c r="K25" s="82"/>
      <c r="L25" s="22"/>
      <c r="M25" s="22"/>
      <c r="N25" s="22"/>
      <c r="O25" s="22"/>
      <c r="P25" s="22"/>
      <c r="Q25" s="22"/>
      <c r="R25" s="22"/>
      <c r="S25" s="31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31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31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31"/>
      <c r="BD25" s="31"/>
      <c r="BE25" s="22"/>
      <c r="BF25" s="22"/>
      <c r="BG25" s="22"/>
      <c r="BH25" s="31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</row>
    <row r="26" spans="1:79" ht="14.25" customHeight="1" outlineLevel="1" x14ac:dyDescent="0.25">
      <c r="A26" s="30"/>
      <c r="B26" s="30" t="s">
        <v>25</v>
      </c>
      <c r="C26" s="7">
        <f>SUM(C27:C31)</f>
        <v>325000</v>
      </c>
      <c r="D26" s="7"/>
      <c r="E26" s="7"/>
      <c r="F26" s="110"/>
      <c r="G26" s="7">
        <f t="shared" ref="G26:BB26" si="17">SUM(G27:G31)</f>
        <v>7728.125</v>
      </c>
      <c r="H26" s="7">
        <f t="shared" si="17"/>
        <v>7728.125</v>
      </c>
      <c r="I26" s="7">
        <f t="shared" si="17"/>
        <v>7728.125</v>
      </c>
      <c r="J26" s="7">
        <f t="shared" si="17"/>
        <v>7728.125</v>
      </c>
      <c r="K26" s="7">
        <f t="shared" si="17"/>
        <v>7728.125</v>
      </c>
      <c r="L26" s="7">
        <f t="shared" si="17"/>
        <v>7728.125</v>
      </c>
      <c r="M26" s="7">
        <f t="shared" si="17"/>
        <v>7728.125</v>
      </c>
      <c r="N26" s="7">
        <f t="shared" si="17"/>
        <v>7728.125</v>
      </c>
      <c r="O26" s="7">
        <f t="shared" si="17"/>
        <v>7728.125</v>
      </c>
      <c r="P26" s="7">
        <f t="shared" si="17"/>
        <v>7728.125</v>
      </c>
      <c r="Q26" s="7">
        <f t="shared" si="17"/>
        <v>17728.125</v>
      </c>
      <c r="R26" s="7">
        <f t="shared" si="17"/>
        <v>17728.125</v>
      </c>
      <c r="S26" s="6">
        <f t="shared" si="17"/>
        <v>73184.375</v>
      </c>
      <c r="T26" s="7">
        <f t="shared" si="17"/>
        <v>48640.625</v>
      </c>
      <c r="U26" s="7">
        <f t="shared" si="17"/>
        <v>64096.875</v>
      </c>
      <c r="V26" s="7">
        <f t="shared" si="17"/>
        <v>64096.875</v>
      </c>
      <c r="W26" s="7">
        <f t="shared" si="17"/>
        <v>64096.875</v>
      </c>
      <c r="X26" s="7">
        <f t="shared" si="17"/>
        <v>64096.875</v>
      </c>
      <c r="Y26" s="7">
        <f t="shared" si="17"/>
        <v>74096.875</v>
      </c>
      <c r="Z26" s="7">
        <f t="shared" si="17"/>
        <v>85946.666666666672</v>
      </c>
      <c r="AA26" s="7">
        <f t="shared" si="17"/>
        <v>85946.666666666672</v>
      </c>
      <c r="AB26" s="7">
        <f t="shared" si="17"/>
        <v>85946.666666666672</v>
      </c>
      <c r="AC26" s="7">
        <f t="shared" si="17"/>
        <v>85946.666666666672</v>
      </c>
      <c r="AD26" s="7">
        <f t="shared" si="17"/>
        <v>85946.666666666672</v>
      </c>
      <c r="AE26" s="6">
        <f t="shared" si="17"/>
        <v>85946.666666666672</v>
      </c>
      <c r="AF26" s="7">
        <f t="shared" si="17"/>
        <v>85946.666666666672</v>
      </c>
      <c r="AG26" s="7">
        <f t="shared" si="17"/>
        <v>85946.666666666672</v>
      </c>
      <c r="AH26" s="7">
        <f t="shared" si="17"/>
        <v>85946.666666666672</v>
      </c>
      <c r="AI26" s="7">
        <f t="shared" si="17"/>
        <v>85946.666666666672</v>
      </c>
      <c r="AJ26" s="7">
        <f t="shared" si="17"/>
        <v>85946.666666666672</v>
      </c>
      <c r="AK26" s="7">
        <f t="shared" si="17"/>
        <v>85946.666666666672</v>
      </c>
      <c r="AL26" s="7">
        <f t="shared" si="17"/>
        <v>85946.666666666672</v>
      </c>
      <c r="AM26" s="7">
        <f t="shared" si="17"/>
        <v>85946.666666666672</v>
      </c>
      <c r="AN26" s="7">
        <f t="shared" si="17"/>
        <v>97796.458333333328</v>
      </c>
      <c r="AO26" s="7">
        <f t="shared" si="17"/>
        <v>97796.458333333328</v>
      </c>
      <c r="AP26" s="7">
        <f t="shared" si="17"/>
        <v>97796.458333333328</v>
      </c>
      <c r="AQ26" s="6">
        <f t="shared" si="17"/>
        <v>0</v>
      </c>
      <c r="AR26" s="7">
        <f t="shared" si="17"/>
        <v>0</v>
      </c>
      <c r="AS26" s="7">
        <f t="shared" si="17"/>
        <v>0</v>
      </c>
      <c r="AT26" s="7">
        <f t="shared" si="17"/>
        <v>0</v>
      </c>
      <c r="AU26" s="7">
        <f t="shared" si="17"/>
        <v>0</v>
      </c>
      <c r="AV26" s="7">
        <f t="shared" si="17"/>
        <v>0</v>
      </c>
      <c r="AW26" s="7">
        <f t="shared" si="17"/>
        <v>0</v>
      </c>
      <c r="AX26" s="7">
        <f t="shared" si="17"/>
        <v>0</v>
      </c>
      <c r="AY26" s="7">
        <f t="shared" si="17"/>
        <v>0</v>
      </c>
      <c r="AZ26" s="7">
        <f t="shared" si="17"/>
        <v>0</v>
      </c>
      <c r="BA26" s="7">
        <f t="shared" si="17"/>
        <v>0</v>
      </c>
      <c r="BB26" s="7">
        <f t="shared" si="17"/>
        <v>0</v>
      </c>
      <c r="BC26" s="111"/>
      <c r="BD26" s="111"/>
      <c r="BE26" s="30"/>
      <c r="BF26" s="30"/>
      <c r="BG26" s="30"/>
      <c r="BH26" s="111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</row>
    <row r="27" spans="1:79" ht="14.25" customHeight="1" outlineLevel="1" x14ac:dyDescent="0.25">
      <c r="A27" s="22"/>
      <c r="B27" s="22" t="s">
        <v>156</v>
      </c>
      <c r="C27" s="11">
        <v>75000</v>
      </c>
      <c r="D27" s="64">
        <v>10000</v>
      </c>
      <c r="E27" s="64">
        <v>5000</v>
      </c>
      <c r="F27" s="112" t="s">
        <v>157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ref="Q27:S27" si="18">$D27</f>
        <v>10000</v>
      </c>
      <c r="R27" s="11">
        <f t="shared" si="18"/>
        <v>10000</v>
      </c>
      <c r="S27" s="50">
        <f t="shared" si="18"/>
        <v>10000</v>
      </c>
      <c r="T27" s="11">
        <f t="shared" ref="T27:AP27" si="19">$E27</f>
        <v>5000</v>
      </c>
      <c r="U27" s="11">
        <f t="shared" si="19"/>
        <v>5000</v>
      </c>
      <c r="V27" s="11">
        <f t="shared" si="19"/>
        <v>5000</v>
      </c>
      <c r="W27" s="11">
        <f t="shared" si="19"/>
        <v>5000</v>
      </c>
      <c r="X27" s="11">
        <f t="shared" si="19"/>
        <v>5000</v>
      </c>
      <c r="Y27" s="11">
        <f t="shared" si="19"/>
        <v>5000</v>
      </c>
      <c r="Z27" s="11">
        <f t="shared" si="19"/>
        <v>5000</v>
      </c>
      <c r="AA27" s="11">
        <f t="shared" si="19"/>
        <v>5000</v>
      </c>
      <c r="AB27" s="11">
        <f t="shared" si="19"/>
        <v>5000</v>
      </c>
      <c r="AC27" s="11">
        <f t="shared" si="19"/>
        <v>5000</v>
      </c>
      <c r="AD27" s="11">
        <f t="shared" si="19"/>
        <v>5000</v>
      </c>
      <c r="AE27" s="50">
        <f t="shared" si="19"/>
        <v>5000</v>
      </c>
      <c r="AF27" s="11">
        <f t="shared" si="19"/>
        <v>5000</v>
      </c>
      <c r="AG27" s="11">
        <f t="shared" si="19"/>
        <v>5000</v>
      </c>
      <c r="AH27" s="11">
        <f t="shared" si="19"/>
        <v>5000</v>
      </c>
      <c r="AI27" s="11">
        <f t="shared" si="19"/>
        <v>5000</v>
      </c>
      <c r="AJ27" s="11">
        <f t="shared" si="19"/>
        <v>5000</v>
      </c>
      <c r="AK27" s="11">
        <f t="shared" si="19"/>
        <v>5000</v>
      </c>
      <c r="AL27" s="11">
        <f t="shared" si="19"/>
        <v>5000</v>
      </c>
      <c r="AM27" s="11">
        <f t="shared" si="19"/>
        <v>5000</v>
      </c>
      <c r="AN27" s="11">
        <f t="shared" si="19"/>
        <v>5000</v>
      </c>
      <c r="AO27" s="11">
        <f t="shared" si="19"/>
        <v>5000</v>
      </c>
      <c r="AP27" s="11">
        <f t="shared" si="19"/>
        <v>5000</v>
      </c>
      <c r="AQ27" s="50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31"/>
      <c r="BD27" s="31"/>
      <c r="BE27" s="22"/>
      <c r="BF27" s="22"/>
      <c r="BG27" s="22"/>
      <c r="BH27" s="31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</row>
    <row r="28" spans="1:79" ht="14.25" customHeight="1" outlineLevel="1" x14ac:dyDescent="0.25">
      <c r="A28" s="22"/>
      <c r="B28" s="22" t="s">
        <v>158</v>
      </c>
      <c r="C28" s="11">
        <v>100000</v>
      </c>
      <c r="D28" s="64">
        <v>40000</v>
      </c>
      <c r="E28" s="64">
        <v>5000</v>
      </c>
      <c r="F28" s="112" t="s">
        <v>157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50">
        <f>$D28</f>
        <v>40000</v>
      </c>
      <c r="T28" s="11">
        <f t="shared" ref="T28:AP28" si="20">$E28</f>
        <v>5000</v>
      </c>
      <c r="U28" s="11">
        <f t="shared" si="20"/>
        <v>5000</v>
      </c>
      <c r="V28" s="11">
        <f t="shared" si="20"/>
        <v>5000</v>
      </c>
      <c r="W28" s="11">
        <f t="shared" si="20"/>
        <v>5000</v>
      </c>
      <c r="X28" s="11">
        <f t="shared" si="20"/>
        <v>5000</v>
      </c>
      <c r="Y28" s="11">
        <f t="shared" si="20"/>
        <v>5000</v>
      </c>
      <c r="Z28" s="11">
        <f t="shared" si="20"/>
        <v>5000</v>
      </c>
      <c r="AA28" s="11">
        <f t="shared" si="20"/>
        <v>5000</v>
      </c>
      <c r="AB28" s="11">
        <f t="shared" si="20"/>
        <v>5000</v>
      </c>
      <c r="AC28" s="11">
        <f t="shared" si="20"/>
        <v>5000</v>
      </c>
      <c r="AD28" s="11">
        <f t="shared" si="20"/>
        <v>5000</v>
      </c>
      <c r="AE28" s="50">
        <f t="shared" si="20"/>
        <v>5000</v>
      </c>
      <c r="AF28" s="11">
        <f t="shared" si="20"/>
        <v>5000</v>
      </c>
      <c r="AG28" s="11">
        <f t="shared" si="20"/>
        <v>5000</v>
      </c>
      <c r="AH28" s="11">
        <f t="shared" si="20"/>
        <v>5000</v>
      </c>
      <c r="AI28" s="11">
        <f t="shared" si="20"/>
        <v>5000</v>
      </c>
      <c r="AJ28" s="11">
        <f t="shared" si="20"/>
        <v>5000</v>
      </c>
      <c r="AK28" s="11">
        <f t="shared" si="20"/>
        <v>5000</v>
      </c>
      <c r="AL28" s="11">
        <f t="shared" si="20"/>
        <v>5000</v>
      </c>
      <c r="AM28" s="11">
        <f t="shared" si="20"/>
        <v>5000</v>
      </c>
      <c r="AN28" s="11">
        <f t="shared" si="20"/>
        <v>5000</v>
      </c>
      <c r="AO28" s="11">
        <f t="shared" si="20"/>
        <v>5000</v>
      </c>
      <c r="AP28" s="11">
        <f t="shared" si="20"/>
        <v>5000</v>
      </c>
      <c r="AQ28" s="50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31"/>
      <c r="BD28" s="31"/>
      <c r="BE28" s="22"/>
      <c r="BF28" s="22"/>
      <c r="BG28" s="22"/>
      <c r="BH28" s="31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</row>
    <row r="29" spans="1:79" ht="14.25" customHeight="1" outlineLevel="1" x14ac:dyDescent="0.25">
      <c r="A29" s="22"/>
      <c r="B29" s="22" t="s">
        <v>159</v>
      </c>
      <c r="C29" s="11">
        <v>150000</v>
      </c>
      <c r="D29" s="64">
        <v>10000</v>
      </c>
      <c r="E29" s="11"/>
      <c r="F29" s="112" t="s">
        <v>160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50"/>
      <c r="T29" s="11"/>
      <c r="U29" s="11"/>
      <c r="V29" s="11"/>
      <c r="W29" s="11"/>
      <c r="X29" s="11"/>
      <c r="Y29" s="11">
        <f t="shared" ref="Y29:AP29" si="21">$D29</f>
        <v>10000</v>
      </c>
      <c r="Z29" s="11">
        <f t="shared" si="21"/>
        <v>10000</v>
      </c>
      <c r="AA29" s="11">
        <f t="shared" si="21"/>
        <v>10000</v>
      </c>
      <c r="AB29" s="11">
        <f t="shared" si="21"/>
        <v>10000</v>
      </c>
      <c r="AC29" s="11">
        <f t="shared" si="21"/>
        <v>10000</v>
      </c>
      <c r="AD29" s="11">
        <f t="shared" si="21"/>
        <v>10000</v>
      </c>
      <c r="AE29" s="50">
        <f t="shared" si="21"/>
        <v>10000</v>
      </c>
      <c r="AF29" s="11">
        <f t="shared" si="21"/>
        <v>10000</v>
      </c>
      <c r="AG29" s="11">
        <f t="shared" si="21"/>
        <v>10000</v>
      </c>
      <c r="AH29" s="11">
        <f t="shared" si="21"/>
        <v>10000</v>
      </c>
      <c r="AI29" s="11">
        <f t="shared" si="21"/>
        <v>10000</v>
      </c>
      <c r="AJ29" s="11">
        <f t="shared" si="21"/>
        <v>10000</v>
      </c>
      <c r="AK29" s="11">
        <f t="shared" si="21"/>
        <v>10000</v>
      </c>
      <c r="AL29" s="11">
        <f t="shared" si="21"/>
        <v>10000</v>
      </c>
      <c r="AM29" s="11">
        <f t="shared" si="21"/>
        <v>10000</v>
      </c>
      <c r="AN29" s="11">
        <f t="shared" si="21"/>
        <v>10000</v>
      </c>
      <c r="AO29" s="11">
        <f t="shared" si="21"/>
        <v>10000</v>
      </c>
      <c r="AP29" s="11">
        <f t="shared" si="21"/>
        <v>10000</v>
      </c>
      <c r="AQ29" s="50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31"/>
      <c r="BD29" s="31"/>
      <c r="BE29" s="22"/>
      <c r="BF29" s="22"/>
      <c r="BG29" s="22"/>
      <c r="BH29" s="31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</row>
    <row r="30" spans="1:79" ht="14.25" customHeight="1" outlineLevel="1" x14ac:dyDescent="0.25">
      <c r="A30" s="22"/>
      <c r="B30" s="22" t="s">
        <v>161</v>
      </c>
      <c r="C30" s="11"/>
      <c r="D30" s="11"/>
      <c r="E30" s="11"/>
      <c r="F30" s="112"/>
      <c r="G30" s="11">
        <f t="shared" ref="G30:BB30" si="22">G79</f>
        <v>7728.125</v>
      </c>
      <c r="H30" s="11">
        <f t="shared" si="22"/>
        <v>7728.125</v>
      </c>
      <c r="I30" s="11">
        <f t="shared" si="22"/>
        <v>7728.125</v>
      </c>
      <c r="J30" s="11">
        <f t="shared" si="22"/>
        <v>7728.125</v>
      </c>
      <c r="K30" s="11">
        <f t="shared" si="22"/>
        <v>7728.125</v>
      </c>
      <c r="L30" s="11">
        <f t="shared" si="22"/>
        <v>7728.125</v>
      </c>
      <c r="M30" s="11">
        <f t="shared" si="22"/>
        <v>7728.125</v>
      </c>
      <c r="N30" s="11">
        <f t="shared" si="22"/>
        <v>7728.125</v>
      </c>
      <c r="O30" s="11">
        <f t="shared" si="22"/>
        <v>7728.125</v>
      </c>
      <c r="P30" s="11">
        <f t="shared" si="22"/>
        <v>7728.125</v>
      </c>
      <c r="Q30" s="11">
        <f t="shared" si="22"/>
        <v>7728.125</v>
      </c>
      <c r="R30" s="11">
        <f t="shared" si="22"/>
        <v>7728.125</v>
      </c>
      <c r="S30" s="50">
        <f t="shared" si="22"/>
        <v>23184.375</v>
      </c>
      <c r="T30" s="11">
        <f t="shared" si="22"/>
        <v>38640.625</v>
      </c>
      <c r="U30" s="11">
        <f t="shared" si="22"/>
        <v>54096.875</v>
      </c>
      <c r="V30" s="11">
        <f t="shared" si="22"/>
        <v>54096.875</v>
      </c>
      <c r="W30" s="11">
        <f t="shared" si="22"/>
        <v>54096.875</v>
      </c>
      <c r="X30" s="11">
        <f t="shared" si="22"/>
        <v>54096.875</v>
      </c>
      <c r="Y30" s="11">
        <f t="shared" si="22"/>
        <v>54096.875</v>
      </c>
      <c r="Z30" s="11">
        <f t="shared" si="22"/>
        <v>65946.666666666672</v>
      </c>
      <c r="AA30" s="11">
        <f t="shared" si="22"/>
        <v>65946.666666666672</v>
      </c>
      <c r="AB30" s="11">
        <f t="shared" si="22"/>
        <v>65946.666666666672</v>
      </c>
      <c r="AC30" s="11">
        <f t="shared" si="22"/>
        <v>65946.666666666672</v>
      </c>
      <c r="AD30" s="11">
        <f t="shared" si="22"/>
        <v>65946.666666666672</v>
      </c>
      <c r="AE30" s="50">
        <f t="shared" si="22"/>
        <v>65946.666666666672</v>
      </c>
      <c r="AF30" s="11">
        <f t="shared" si="22"/>
        <v>65946.666666666672</v>
      </c>
      <c r="AG30" s="11">
        <f t="shared" si="22"/>
        <v>65946.666666666672</v>
      </c>
      <c r="AH30" s="11">
        <f t="shared" si="22"/>
        <v>65946.666666666672</v>
      </c>
      <c r="AI30" s="11">
        <f t="shared" si="22"/>
        <v>65946.666666666672</v>
      </c>
      <c r="AJ30" s="11">
        <f t="shared" si="22"/>
        <v>65946.666666666672</v>
      </c>
      <c r="AK30" s="11">
        <f t="shared" si="22"/>
        <v>65946.666666666672</v>
      </c>
      <c r="AL30" s="11">
        <f t="shared" si="22"/>
        <v>65946.666666666672</v>
      </c>
      <c r="AM30" s="11">
        <f t="shared" si="22"/>
        <v>65946.666666666672</v>
      </c>
      <c r="AN30" s="11">
        <f t="shared" si="22"/>
        <v>77796.458333333328</v>
      </c>
      <c r="AO30" s="11">
        <f t="shared" si="22"/>
        <v>77796.458333333328</v>
      </c>
      <c r="AP30" s="11">
        <f t="shared" si="22"/>
        <v>77796.458333333328</v>
      </c>
      <c r="AQ30" s="50">
        <f t="shared" si="22"/>
        <v>0</v>
      </c>
      <c r="AR30" s="11">
        <f t="shared" si="22"/>
        <v>0</v>
      </c>
      <c r="AS30" s="11">
        <f t="shared" si="22"/>
        <v>0</v>
      </c>
      <c r="AT30" s="11">
        <f t="shared" si="22"/>
        <v>0</v>
      </c>
      <c r="AU30" s="11">
        <f t="shared" si="22"/>
        <v>0</v>
      </c>
      <c r="AV30" s="11">
        <f t="shared" si="22"/>
        <v>0</v>
      </c>
      <c r="AW30" s="11">
        <f t="shared" si="22"/>
        <v>0</v>
      </c>
      <c r="AX30" s="11">
        <f t="shared" si="22"/>
        <v>0</v>
      </c>
      <c r="AY30" s="11">
        <f t="shared" si="22"/>
        <v>0</v>
      </c>
      <c r="AZ30" s="11">
        <f t="shared" si="22"/>
        <v>0</v>
      </c>
      <c r="BA30" s="11">
        <f t="shared" si="22"/>
        <v>0</v>
      </c>
      <c r="BB30" s="11">
        <f t="shared" si="22"/>
        <v>0</v>
      </c>
      <c r="BC30" s="31"/>
      <c r="BD30" s="31"/>
      <c r="BE30" s="22"/>
      <c r="BF30" s="22"/>
      <c r="BG30" s="22"/>
      <c r="BH30" s="31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</row>
    <row r="31" spans="1:79" ht="14.25" customHeight="1" outlineLevel="1" x14ac:dyDescent="0.25">
      <c r="A31" s="22"/>
      <c r="B31" s="22"/>
      <c r="C31" s="11"/>
      <c r="D31" s="11"/>
      <c r="E31" s="11"/>
      <c r="F31" s="80"/>
      <c r="G31" s="82"/>
      <c r="H31" s="82"/>
      <c r="I31" s="82"/>
      <c r="J31" s="82"/>
      <c r="K31" s="82"/>
      <c r="L31" s="22"/>
      <c r="M31" s="22"/>
      <c r="N31" s="22"/>
      <c r="O31" s="22"/>
      <c r="P31" s="22"/>
      <c r="Q31" s="22"/>
      <c r="R31" s="22"/>
      <c r="S31" s="3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31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31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31"/>
      <c r="BD31" s="31"/>
      <c r="BE31" s="22"/>
      <c r="BF31" s="22"/>
      <c r="BG31" s="22"/>
      <c r="BH31" s="31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</row>
    <row r="32" spans="1:79" ht="14.25" customHeight="1" outlineLevel="1" x14ac:dyDescent="0.25">
      <c r="A32" s="30"/>
      <c r="B32" s="30" t="s">
        <v>162</v>
      </c>
      <c r="C32" s="7">
        <f>SUM(C33:C45)</f>
        <v>2805000</v>
      </c>
      <c r="D32" s="30"/>
      <c r="E32" s="7"/>
      <c r="F32" s="113"/>
      <c r="G32" s="7">
        <f t="shared" ref="G32:BB32" si="23">SUM(G33:G47)</f>
        <v>26224.104166666664</v>
      </c>
      <c r="H32" s="7">
        <f t="shared" si="23"/>
        <v>26224.104166666664</v>
      </c>
      <c r="I32" s="7">
        <f t="shared" si="23"/>
        <v>26224.104166666664</v>
      </c>
      <c r="J32" s="7">
        <f t="shared" si="23"/>
        <v>26224.104166666664</v>
      </c>
      <c r="K32" s="7">
        <f t="shared" si="23"/>
        <v>26224.104166666664</v>
      </c>
      <c r="L32" s="7">
        <f t="shared" si="23"/>
        <v>26224.104166666664</v>
      </c>
      <c r="M32" s="7">
        <f t="shared" si="23"/>
        <v>26224.104166666664</v>
      </c>
      <c r="N32" s="7">
        <f t="shared" si="23"/>
        <v>26224.104166666664</v>
      </c>
      <c r="O32" s="7">
        <f t="shared" si="23"/>
        <v>26224.104166666664</v>
      </c>
      <c r="P32" s="7">
        <f t="shared" si="23"/>
        <v>26224.104166666664</v>
      </c>
      <c r="Q32" s="7">
        <f t="shared" si="23"/>
        <v>26224.104166666664</v>
      </c>
      <c r="R32" s="7">
        <f t="shared" si="23"/>
        <v>26224.104166666664</v>
      </c>
      <c r="S32" s="6">
        <f t="shared" si="23"/>
        <v>147300.97916666666</v>
      </c>
      <c r="T32" s="7">
        <f t="shared" si="23"/>
        <v>242300.97916666666</v>
      </c>
      <c r="U32" s="7">
        <f t="shared" si="23"/>
        <v>370634.3125</v>
      </c>
      <c r="V32" s="7">
        <f t="shared" si="23"/>
        <v>591681.1875</v>
      </c>
      <c r="W32" s="7">
        <f t="shared" si="23"/>
        <v>364288.27083333337</v>
      </c>
      <c r="X32" s="7">
        <f t="shared" si="23"/>
        <v>343835.14583333331</v>
      </c>
      <c r="Y32" s="7">
        <f t="shared" si="23"/>
        <v>390048.6875</v>
      </c>
      <c r="Z32" s="7">
        <f t="shared" si="23"/>
        <v>335989.10416666663</v>
      </c>
      <c r="AA32" s="7">
        <f t="shared" si="23"/>
        <v>308869.3125</v>
      </c>
      <c r="AB32" s="7">
        <f t="shared" si="23"/>
        <v>336749.52083333331</v>
      </c>
      <c r="AC32" s="7">
        <f t="shared" si="23"/>
        <v>266749.52083333331</v>
      </c>
      <c r="AD32" s="7">
        <f t="shared" si="23"/>
        <v>296749.52083333331</v>
      </c>
      <c r="AE32" s="6">
        <f t="shared" si="23"/>
        <v>276023.27083333331</v>
      </c>
      <c r="AF32" s="7">
        <f t="shared" si="23"/>
        <v>358903.47916666663</v>
      </c>
      <c r="AG32" s="7">
        <f t="shared" si="23"/>
        <v>318903.47916666663</v>
      </c>
      <c r="AH32" s="7">
        <f t="shared" si="23"/>
        <v>658903.47916666663</v>
      </c>
      <c r="AI32" s="7">
        <f t="shared" si="23"/>
        <v>288903.47916666663</v>
      </c>
      <c r="AJ32" s="7">
        <f t="shared" si="23"/>
        <v>388903.47916666663</v>
      </c>
      <c r="AK32" s="7">
        <f t="shared" si="23"/>
        <v>288903.47916666663</v>
      </c>
      <c r="AL32" s="7">
        <f t="shared" si="23"/>
        <v>358903.47916666663</v>
      </c>
      <c r="AM32" s="7">
        <f t="shared" si="23"/>
        <v>318903.47916666663</v>
      </c>
      <c r="AN32" s="7">
        <f t="shared" si="23"/>
        <v>358903.47916666663</v>
      </c>
      <c r="AO32" s="7">
        <f t="shared" si="23"/>
        <v>288903.47916666663</v>
      </c>
      <c r="AP32" s="7">
        <f t="shared" si="23"/>
        <v>318903.47916666663</v>
      </c>
      <c r="AQ32" s="6">
        <f t="shared" si="23"/>
        <v>0</v>
      </c>
      <c r="AR32" s="7">
        <f t="shared" si="23"/>
        <v>0</v>
      </c>
      <c r="AS32" s="7">
        <f t="shared" si="23"/>
        <v>0</v>
      </c>
      <c r="AT32" s="7">
        <f t="shared" si="23"/>
        <v>0</v>
      </c>
      <c r="AU32" s="7">
        <f t="shared" si="23"/>
        <v>0</v>
      </c>
      <c r="AV32" s="7">
        <f t="shared" si="23"/>
        <v>0</v>
      </c>
      <c r="AW32" s="7">
        <f t="shared" si="23"/>
        <v>0</v>
      </c>
      <c r="AX32" s="7">
        <f t="shared" si="23"/>
        <v>0</v>
      </c>
      <c r="AY32" s="7">
        <f t="shared" si="23"/>
        <v>0</v>
      </c>
      <c r="AZ32" s="7">
        <f t="shared" si="23"/>
        <v>0</v>
      </c>
      <c r="BA32" s="7">
        <f t="shared" si="23"/>
        <v>0</v>
      </c>
      <c r="BB32" s="7">
        <f t="shared" si="23"/>
        <v>0</v>
      </c>
      <c r="BC32" s="111"/>
      <c r="BD32" s="111"/>
      <c r="BE32" s="30"/>
      <c r="BF32" s="30"/>
      <c r="BG32" s="30"/>
      <c r="BH32" s="111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</row>
    <row r="33" spans="1:79" ht="14.25" customHeight="1" outlineLevel="1" x14ac:dyDescent="0.25">
      <c r="A33" s="22" t="s">
        <v>163</v>
      </c>
      <c r="B33" s="22" t="s">
        <v>164</v>
      </c>
      <c r="C33" s="11">
        <v>300000</v>
      </c>
      <c r="D33" s="64">
        <v>25000</v>
      </c>
      <c r="E33" s="11" t="s">
        <v>165</v>
      </c>
      <c r="F33" s="22"/>
      <c r="G33" s="22"/>
      <c r="H33" s="11"/>
      <c r="I33" s="11"/>
      <c r="J33" s="11"/>
      <c r="K33" s="22"/>
      <c r="L33" s="22"/>
      <c r="M33" s="11"/>
      <c r="N33" s="11"/>
      <c r="O33" s="11"/>
      <c r="P33" s="22"/>
      <c r="Q33" s="22"/>
      <c r="R33" s="11"/>
      <c r="S33" s="50"/>
      <c r="T33" s="11">
        <f t="shared" ref="T33:AA33" si="24">$D33</f>
        <v>25000</v>
      </c>
      <c r="U33" s="11">
        <f t="shared" si="24"/>
        <v>25000</v>
      </c>
      <c r="V33" s="11">
        <f t="shared" si="24"/>
        <v>25000</v>
      </c>
      <c r="W33" s="11">
        <f t="shared" si="24"/>
        <v>25000</v>
      </c>
      <c r="X33" s="11">
        <f t="shared" si="24"/>
        <v>25000</v>
      </c>
      <c r="Y33" s="11">
        <f t="shared" si="24"/>
        <v>25000</v>
      </c>
      <c r="Z33" s="11">
        <f t="shared" si="24"/>
        <v>25000</v>
      </c>
      <c r="AA33" s="11">
        <f t="shared" si="24"/>
        <v>25000</v>
      </c>
      <c r="AB33" s="11" t="str">
        <f t="shared" ref="AB33:AK33" si="25">$E33</f>
        <v>For 9 months</v>
      </c>
      <c r="AC33" s="11" t="str">
        <f t="shared" si="25"/>
        <v>For 9 months</v>
      </c>
      <c r="AD33" s="11" t="str">
        <f t="shared" si="25"/>
        <v>For 9 months</v>
      </c>
      <c r="AE33" s="50" t="str">
        <f t="shared" si="25"/>
        <v>For 9 months</v>
      </c>
      <c r="AF33" s="11" t="str">
        <f t="shared" si="25"/>
        <v>For 9 months</v>
      </c>
      <c r="AG33" s="11" t="str">
        <f t="shared" si="25"/>
        <v>For 9 months</v>
      </c>
      <c r="AH33" s="11" t="str">
        <f t="shared" si="25"/>
        <v>For 9 months</v>
      </c>
      <c r="AI33" s="11" t="str">
        <f t="shared" si="25"/>
        <v>For 9 months</v>
      </c>
      <c r="AJ33" s="11" t="str">
        <f t="shared" si="25"/>
        <v>For 9 months</v>
      </c>
      <c r="AK33" s="11" t="str">
        <f t="shared" si="25"/>
        <v>For 9 months</v>
      </c>
      <c r="AL33" s="11"/>
      <c r="AM33" s="11"/>
      <c r="AN33" s="11"/>
      <c r="AO33" s="22"/>
      <c r="AP33" s="22"/>
      <c r="AQ33" s="50"/>
      <c r="AR33" s="11"/>
      <c r="AS33" s="11"/>
      <c r="AT33" s="22"/>
      <c r="AU33" s="22"/>
      <c r="AV33" s="11"/>
      <c r="AW33" s="11"/>
      <c r="AX33" s="11"/>
      <c r="AY33" s="22"/>
      <c r="AZ33" s="22"/>
      <c r="BA33" s="11"/>
      <c r="BB33" s="11"/>
      <c r="BC33" s="50"/>
      <c r="BD33" s="50"/>
      <c r="BE33" s="11"/>
      <c r="BF33" s="11"/>
      <c r="BG33" s="11"/>
      <c r="BH33" s="50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</row>
    <row r="34" spans="1:79" ht="14.25" customHeight="1" outlineLevel="1" x14ac:dyDescent="0.25">
      <c r="A34" s="22" t="s">
        <v>163</v>
      </c>
      <c r="B34" s="22" t="s">
        <v>166</v>
      </c>
      <c r="C34" s="11">
        <v>140000</v>
      </c>
      <c r="D34" s="64">
        <v>10000</v>
      </c>
      <c r="E34" s="11" t="s">
        <v>160</v>
      </c>
      <c r="F34" s="22"/>
      <c r="G34" s="22"/>
      <c r="H34" s="11"/>
      <c r="I34" s="11"/>
      <c r="J34" s="11"/>
      <c r="K34" s="22"/>
      <c r="L34" s="22"/>
      <c r="M34" s="11"/>
      <c r="N34" s="11"/>
      <c r="O34" s="11"/>
      <c r="P34" s="22"/>
      <c r="Q34" s="22"/>
      <c r="R34" s="11"/>
      <c r="S34" s="50"/>
      <c r="T34" s="11"/>
      <c r="U34" s="11">
        <f t="shared" ref="U34:AP34" si="26">$D34</f>
        <v>10000</v>
      </c>
      <c r="V34" s="11">
        <f t="shared" si="26"/>
        <v>10000</v>
      </c>
      <c r="W34" s="11">
        <f t="shared" si="26"/>
        <v>10000</v>
      </c>
      <c r="X34" s="11">
        <f t="shared" si="26"/>
        <v>10000</v>
      </c>
      <c r="Y34" s="11">
        <f t="shared" si="26"/>
        <v>10000</v>
      </c>
      <c r="Z34" s="11">
        <f t="shared" si="26"/>
        <v>10000</v>
      </c>
      <c r="AA34" s="11">
        <f t="shared" si="26"/>
        <v>10000</v>
      </c>
      <c r="AB34" s="11">
        <f t="shared" si="26"/>
        <v>10000</v>
      </c>
      <c r="AC34" s="11">
        <f t="shared" si="26"/>
        <v>10000</v>
      </c>
      <c r="AD34" s="11">
        <f t="shared" si="26"/>
        <v>10000</v>
      </c>
      <c r="AE34" s="50">
        <f t="shared" si="26"/>
        <v>10000</v>
      </c>
      <c r="AF34" s="11">
        <f t="shared" si="26"/>
        <v>10000</v>
      </c>
      <c r="AG34" s="11">
        <f t="shared" si="26"/>
        <v>10000</v>
      </c>
      <c r="AH34" s="11">
        <f t="shared" si="26"/>
        <v>10000</v>
      </c>
      <c r="AI34" s="11">
        <f t="shared" si="26"/>
        <v>10000</v>
      </c>
      <c r="AJ34" s="11">
        <f t="shared" si="26"/>
        <v>10000</v>
      </c>
      <c r="AK34" s="11">
        <f t="shared" si="26"/>
        <v>10000</v>
      </c>
      <c r="AL34" s="11">
        <f t="shared" si="26"/>
        <v>10000</v>
      </c>
      <c r="AM34" s="11">
        <f t="shared" si="26"/>
        <v>10000</v>
      </c>
      <c r="AN34" s="11">
        <f t="shared" si="26"/>
        <v>10000</v>
      </c>
      <c r="AO34" s="11">
        <f t="shared" si="26"/>
        <v>10000</v>
      </c>
      <c r="AP34" s="11">
        <f t="shared" si="26"/>
        <v>10000</v>
      </c>
      <c r="AQ34" s="50"/>
      <c r="AR34" s="11"/>
      <c r="AS34" s="11"/>
      <c r="AT34" s="22"/>
      <c r="AU34" s="22"/>
      <c r="AV34" s="11"/>
      <c r="AW34" s="11"/>
      <c r="AX34" s="11"/>
      <c r="AY34" s="22"/>
      <c r="AZ34" s="22"/>
      <c r="BA34" s="11"/>
      <c r="BB34" s="11"/>
      <c r="BC34" s="50"/>
      <c r="BD34" s="50"/>
      <c r="BE34" s="11"/>
      <c r="BF34" s="11"/>
      <c r="BG34" s="11"/>
      <c r="BH34" s="50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</row>
    <row r="35" spans="1:79" ht="14.25" customHeight="1" outlineLevel="1" x14ac:dyDescent="0.25">
      <c r="A35" s="22" t="s">
        <v>163</v>
      </c>
      <c r="B35" s="22" t="s">
        <v>167</v>
      </c>
      <c r="C35" s="11">
        <v>180000</v>
      </c>
      <c r="D35" s="64">
        <v>30000</v>
      </c>
      <c r="E35" s="11" t="s">
        <v>168</v>
      </c>
      <c r="F35" s="22"/>
      <c r="G35" s="22"/>
      <c r="H35" s="11"/>
      <c r="I35" s="11"/>
      <c r="J35" s="22"/>
      <c r="K35" s="11"/>
      <c r="L35" s="11"/>
      <c r="M35" s="22"/>
      <c r="N35" s="11"/>
      <c r="O35" s="11"/>
      <c r="P35" s="22"/>
      <c r="Q35" s="11"/>
      <c r="R35" s="11"/>
      <c r="S35" s="31"/>
      <c r="T35" s="11"/>
      <c r="U35" s="11">
        <f>$D35</f>
        <v>30000</v>
      </c>
      <c r="V35" s="22"/>
      <c r="W35" s="11"/>
      <c r="X35" s="11">
        <f>$D35</f>
        <v>30000</v>
      </c>
      <c r="Y35" s="22"/>
      <c r="Z35" s="11"/>
      <c r="AA35" s="11">
        <f>$D35</f>
        <v>30000</v>
      </c>
      <c r="AB35" s="22"/>
      <c r="AC35" s="11"/>
      <c r="AD35" s="11">
        <f>$D35</f>
        <v>30000</v>
      </c>
      <c r="AE35" s="31"/>
      <c r="AF35" s="11"/>
      <c r="AG35" s="11">
        <f>$D35</f>
        <v>30000</v>
      </c>
      <c r="AH35" s="22"/>
      <c r="AI35" s="11"/>
      <c r="AJ35" s="11">
        <f>$D35</f>
        <v>30000</v>
      </c>
      <c r="AK35" s="22"/>
      <c r="AL35" s="11"/>
      <c r="AM35" s="11">
        <f>$D35</f>
        <v>30000</v>
      </c>
      <c r="AN35" s="22"/>
      <c r="AO35" s="11"/>
      <c r="AP35" s="11">
        <f>$D35</f>
        <v>30000</v>
      </c>
      <c r="AQ35" s="50"/>
      <c r="AR35" s="11"/>
      <c r="AS35" s="11"/>
      <c r="AT35" s="22"/>
      <c r="AU35" s="22"/>
      <c r="AV35" s="11"/>
      <c r="AW35" s="11"/>
      <c r="AX35" s="11"/>
      <c r="AY35" s="22"/>
      <c r="AZ35" s="22"/>
      <c r="BA35" s="11"/>
      <c r="BB35" s="11"/>
      <c r="BC35" s="50"/>
      <c r="BD35" s="50"/>
      <c r="BE35" s="11"/>
      <c r="BF35" s="11"/>
      <c r="BG35" s="11"/>
      <c r="BH35" s="50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</row>
    <row r="36" spans="1:79" ht="14.25" customHeight="1" outlineLevel="1" x14ac:dyDescent="0.25">
      <c r="A36" s="22" t="s">
        <v>163</v>
      </c>
      <c r="B36" s="22" t="s">
        <v>169</v>
      </c>
      <c r="C36" s="11">
        <v>20000</v>
      </c>
      <c r="D36" s="64">
        <v>1500</v>
      </c>
      <c r="E36" s="11" t="s">
        <v>160</v>
      </c>
      <c r="F36" s="22"/>
      <c r="G36" s="22"/>
      <c r="H36" s="11"/>
      <c r="I36" s="11"/>
      <c r="J36" s="11"/>
      <c r="K36" s="22"/>
      <c r="L36" s="22"/>
      <c r="M36" s="11"/>
      <c r="N36" s="11"/>
      <c r="O36" s="11"/>
      <c r="P36" s="22"/>
      <c r="Q36" s="22"/>
      <c r="R36" s="11"/>
      <c r="S36" s="50"/>
      <c r="T36" s="11"/>
      <c r="U36" s="22"/>
      <c r="V36" s="11">
        <f t="shared" ref="V36:AP36" si="27">$D36</f>
        <v>1500</v>
      </c>
      <c r="W36" s="11">
        <f t="shared" si="27"/>
        <v>1500</v>
      </c>
      <c r="X36" s="11">
        <f t="shared" si="27"/>
        <v>1500</v>
      </c>
      <c r="Y36" s="11">
        <f t="shared" si="27"/>
        <v>1500</v>
      </c>
      <c r="Z36" s="11">
        <f t="shared" si="27"/>
        <v>1500</v>
      </c>
      <c r="AA36" s="11">
        <f t="shared" si="27"/>
        <v>1500</v>
      </c>
      <c r="AB36" s="11">
        <f t="shared" si="27"/>
        <v>1500</v>
      </c>
      <c r="AC36" s="11">
        <f t="shared" si="27"/>
        <v>1500</v>
      </c>
      <c r="AD36" s="11">
        <f t="shared" si="27"/>
        <v>1500</v>
      </c>
      <c r="AE36" s="50">
        <f t="shared" si="27"/>
        <v>1500</v>
      </c>
      <c r="AF36" s="11">
        <f t="shared" si="27"/>
        <v>1500</v>
      </c>
      <c r="AG36" s="11">
        <f t="shared" si="27"/>
        <v>1500</v>
      </c>
      <c r="AH36" s="11">
        <f t="shared" si="27"/>
        <v>1500</v>
      </c>
      <c r="AI36" s="11">
        <f t="shared" si="27"/>
        <v>1500</v>
      </c>
      <c r="AJ36" s="11">
        <f t="shared" si="27"/>
        <v>1500</v>
      </c>
      <c r="AK36" s="11">
        <f t="shared" si="27"/>
        <v>1500</v>
      </c>
      <c r="AL36" s="11">
        <f t="shared" si="27"/>
        <v>1500</v>
      </c>
      <c r="AM36" s="11">
        <f t="shared" si="27"/>
        <v>1500</v>
      </c>
      <c r="AN36" s="11">
        <f t="shared" si="27"/>
        <v>1500</v>
      </c>
      <c r="AO36" s="11">
        <f t="shared" si="27"/>
        <v>1500</v>
      </c>
      <c r="AP36" s="11">
        <f t="shared" si="27"/>
        <v>1500</v>
      </c>
      <c r="AQ36" s="50"/>
      <c r="AR36" s="11"/>
      <c r="AS36" s="11"/>
      <c r="AT36" s="22"/>
      <c r="AU36" s="22"/>
      <c r="AV36" s="11"/>
      <c r="AW36" s="11"/>
      <c r="AX36" s="11"/>
      <c r="AY36" s="22"/>
      <c r="AZ36" s="22"/>
      <c r="BA36" s="11"/>
      <c r="BB36" s="11"/>
      <c r="BC36" s="50"/>
      <c r="BD36" s="50"/>
      <c r="BE36" s="11"/>
      <c r="BF36" s="11"/>
      <c r="BG36" s="11"/>
      <c r="BH36" s="50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</row>
    <row r="37" spans="1:79" ht="15" customHeight="1" outlineLevel="1" x14ac:dyDescent="0.25">
      <c r="A37" s="22" t="s">
        <v>163</v>
      </c>
      <c r="B37" s="22" t="s">
        <v>170</v>
      </c>
      <c r="C37" s="11">
        <v>320000</v>
      </c>
      <c r="D37" s="64">
        <v>15000</v>
      </c>
      <c r="E37" s="11" t="s">
        <v>160</v>
      </c>
      <c r="F37" s="22"/>
      <c r="G37" s="22"/>
      <c r="H37" s="11"/>
      <c r="I37" s="11"/>
      <c r="J37" s="11"/>
      <c r="K37" s="22"/>
      <c r="L37" s="22"/>
      <c r="M37" s="11"/>
      <c r="N37" s="11"/>
      <c r="O37" s="11"/>
      <c r="P37" s="22"/>
      <c r="Q37" s="22"/>
      <c r="R37" s="11"/>
      <c r="S37" s="50"/>
      <c r="T37" s="11"/>
      <c r="U37" s="11">
        <f t="shared" ref="U37:AP37" si="28">$D37</f>
        <v>15000</v>
      </c>
      <c r="V37" s="11">
        <f t="shared" si="28"/>
        <v>15000</v>
      </c>
      <c r="W37" s="11">
        <f t="shared" si="28"/>
        <v>15000</v>
      </c>
      <c r="X37" s="11">
        <f t="shared" si="28"/>
        <v>15000</v>
      </c>
      <c r="Y37" s="11">
        <f t="shared" si="28"/>
        <v>15000</v>
      </c>
      <c r="Z37" s="11">
        <f t="shared" si="28"/>
        <v>15000</v>
      </c>
      <c r="AA37" s="11">
        <f t="shared" si="28"/>
        <v>15000</v>
      </c>
      <c r="AB37" s="11">
        <f t="shared" si="28"/>
        <v>15000</v>
      </c>
      <c r="AC37" s="11">
        <f t="shared" si="28"/>
        <v>15000</v>
      </c>
      <c r="AD37" s="11">
        <f t="shared" si="28"/>
        <v>15000</v>
      </c>
      <c r="AE37" s="50">
        <f t="shared" si="28"/>
        <v>15000</v>
      </c>
      <c r="AF37" s="11">
        <f t="shared" si="28"/>
        <v>15000</v>
      </c>
      <c r="AG37" s="11">
        <f t="shared" si="28"/>
        <v>15000</v>
      </c>
      <c r="AH37" s="11">
        <f t="shared" si="28"/>
        <v>15000</v>
      </c>
      <c r="AI37" s="11">
        <f t="shared" si="28"/>
        <v>15000</v>
      </c>
      <c r="AJ37" s="11">
        <f t="shared" si="28"/>
        <v>15000</v>
      </c>
      <c r="AK37" s="11">
        <f t="shared" si="28"/>
        <v>15000</v>
      </c>
      <c r="AL37" s="11">
        <f t="shared" si="28"/>
        <v>15000</v>
      </c>
      <c r="AM37" s="11">
        <f t="shared" si="28"/>
        <v>15000</v>
      </c>
      <c r="AN37" s="11">
        <f t="shared" si="28"/>
        <v>15000</v>
      </c>
      <c r="AO37" s="11">
        <f t="shared" si="28"/>
        <v>15000</v>
      </c>
      <c r="AP37" s="11">
        <f t="shared" si="28"/>
        <v>15000</v>
      </c>
      <c r="AQ37" s="50"/>
      <c r="AR37" s="11"/>
      <c r="AS37" s="11"/>
      <c r="AT37" s="22"/>
      <c r="AU37" s="22"/>
      <c r="AV37" s="11"/>
      <c r="AW37" s="11"/>
      <c r="AX37" s="11"/>
      <c r="AY37" s="22"/>
      <c r="AZ37" s="22"/>
      <c r="BA37" s="11"/>
      <c r="BB37" s="11"/>
      <c r="BC37" s="50"/>
      <c r="BD37" s="50"/>
      <c r="BE37" s="11"/>
      <c r="BF37" s="11"/>
      <c r="BG37" s="11"/>
      <c r="BH37" s="50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</row>
    <row r="38" spans="1:79" ht="15" customHeight="1" outlineLevel="1" x14ac:dyDescent="0.25">
      <c r="A38" s="22" t="s">
        <v>163</v>
      </c>
      <c r="B38" s="22" t="s">
        <v>171</v>
      </c>
      <c r="C38" s="11">
        <v>200000</v>
      </c>
      <c r="D38" s="64">
        <v>10000</v>
      </c>
      <c r="E38" s="11" t="s">
        <v>160</v>
      </c>
      <c r="F38" s="22"/>
      <c r="G38" s="22"/>
      <c r="H38" s="11"/>
      <c r="I38" s="11"/>
      <c r="J38" s="11"/>
      <c r="K38" s="22"/>
      <c r="L38" s="22"/>
      <c r="M38" s="11"/>
      <c r="N38" s="11"/>
      <c r="O38" s="11"/>
      <c r="P38" s="22"/>
      <c r="Q38" s="22"/>
      <c r="R38" s="11"/>
      <c r="S38" s="50"/>
      <c r="T38" s="11"/>
      <c r="U38" s="11">
        <f t="shared" ref="U38:AP38" si="29">$D38</f>
        <v>10000</v>
      </c>
      <c r="V38" s="11">
        <f t="shared" si="29"/>
        <v>10000</v>
      </c>
      <c r="W38" s="11">
        <f t="shared" si="29"/>
        <v>10000</v>
      </c>
      <c r="X38" s="11">
        <f t="shared" si="29"/>
        <v>10000</v>
      </c>
      <c r="Y38" s="11">
        <f t="shared" si="29"/>
        <v>10000</v>
      </c>
      <c r="Z38" s="11">
        <f t="shared" si="29"/>
        <v>10000</v>
      </c>
      <c r="AA38" s="11">
        <f t="shared" si="29"/>
        <v>10000</v>
      </c>
      <c r="AB38" s="11">
        <f t="shared" si="29"/>
        <v>10000</v>
      </c>
      <c r="AC38" s="11">
        <f t="shared" si="29"/>
        <v>10000</v>
      </c>
      <c r="AD38" s="11">
        <f t="shared" si="29"/>
        <v>10000</v>
      </c>
      <c r="AE38" s="50">
        <f t="shared" si="29"/>
        <v>10000</v>
      </c>
      <c r="AF38" s="11">
        <f t="shared" si="29"/>
        <v>10000</v>
      </c>
      <c r="AG38" s="11">
        <f t="shared" si="29"/>
        <v>10000</v>
      </c>
      <c r="AH38" s="11">
        <f t="shared" si="29"/>
        <v>10000</v>
      </c>
      <c r="AI38" s="11">
        <f t="shared" si="29"/>
        <v>10000</v>
      </c>
      <c r="AJ38" s="11">
        <f t="shared" si="29"/>
        <v>10000</v>
      </c>
      <c r="AK38" s="11">
        <f t="shared" si="29"/>
        <v>10000</v>
      </c>
      <c r="AL38" s="11">
        <f t="shared" si="29"/>
        <v>10000</v>
      </c>
      <c r="AM38" s="11">
        <f t="shared" si="29"/>
        <v>10000</v>
      </c>
      <c r="AN38" s="11">
        <f t="shared" si="29"/>
        <v>10000</v>
      </c>
      <c r="AO38" s="11">
        <f t="shared" si="29"/>
        <v>10000</v>
      </c>
      <c r="AP38" s="11">
        <f t="shared" si="29"/>
        <v>10000</v>
      </c>
      <c r="AQ38" s="50"/>
      <c r="AR38" s="11"/>
      <c r="AS38" s="11"/>
      <c r="AT38" s="22"/>
      <c r="AU38" s="22"/>
      <c r="AV38" s="11"/>
      <c r="AW38" s="11"/>
      <c r="AX38" s="11"/>
      <c r="AY38" s="22"/>
      <c r="AZ38" s="22"/>
      <c r="BA38" s="11"/>
      <c r="BB38" s="11"/>
      <c r="BC38" s="50"/>
      <c r="BD38" s="50"/>
      <c r="BE38" s="11"/>
      <c r="BF38" s="11"/>
      <c r="BG38" s="11"/>
      <c r="BH38" s="50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</row>
    <row r="39" spans="1:79" ht="15" customHeight="1" outlineLevel="1" x14ac:dyDescent="0.25">
      <c r="A39" s="22" t="s">
        <v>163</v>
      </c>
      <c r="B39" s="22" t="s">
        <v>172</v>
      </c>
      <c r="C39" s="11">
        <v>200000</v>
      </c>
      <c r="D39" s="64">
        <v>8000</v>
      </c>
      <c r="E39" s="11" t="s">
        <v>160</v>
      </c>
      <c r="F39" s="22"/>
      <c r="G39" s="22"/>
      <c r="H39" s="11"/>
      <c r="I39" s="11"/>
      <c r="J39" s="11"/>
      <c r="K39" s="22"/>
      <c r="L39" s="22"/>
      <c r="M39" s="11"/>
      <c r="N39" s="11"/>
      <c r="O39" s="11"/>
      <c r="P39" s="22"/>
      <c r="Q39" s="22"/>
      <c r="R39" s="11"/>
      <c r="S39" s="50">
        <f t="shared" ref="S39:AP39" si="30">$D39</f>
        <v>8000</v>
      </c>
      <c r="T39" s="11">
        <f t="shared" si="30"/>
        <v>8000</v>
      </c>
      <c r="U39" s="11">
        <f t="shared" si="30"/>
        <v>8000</v>
      </c>
      <c r="V39" s="11">
        <f t="shared" si="30"/>
        <v>8000</v>
      </c>
      <c r="W39" s="11">
        <f t="shared" si="30"/>
        <v>8000</v>
      </c>
      <c r="X39" s="11">
        <f t="shared" si="30"/>
        <v>8000</v>
      </c>
      <c r="Y39" s="11">
        <f t="shared" si="30"/>
        <v>8000</v>
      </c>
      <c r="Z39" s="11">
        <f t="shared" si="30"/>
        <v>8000</v>
      </c>
      <c r="AA39" s="11">
        <f t="shared" si="30"/>
        <v>8000</v>
      </c>
      <c r="AB39" s="11">
        <f t="shared" si="30"/>
        <v>8000</v>
      </c>
      <c r="AC39" s="11">
        <f t="shared" si="30"/>
        <v>8000</v>
      </c>
      <c r="AD39" s="11">
        <f t="shared" si="30"/>
        <v>8000</v>
      </c>
      <c r="AE39" s="50">
        <f t="shared" si="30"/>
        <v>8000</v>
      </c>
      <c r="AF39" s="11">
        <f t="shared" si="30"/>
        <v>8000</v>
      </c>
      <c r="AG39" s="11">
        <f t="shared" si="30"/>
        <v>8000</v>
      </c>
      <c r="AH39" s="11">
        <f t="shared" si="30"/>
        <v>8000</v>
      </c>
      <c r="AI39" s="11">
        <f t="shared" si="30"/>
        <v>8000</v>
      </c>
      <c r="AJ39" s="11">
        <f t="shared" si="30"/>
        <v>8000</v>
      </c>
      <c r="AK39" s="11">
        <f t="shared" si="30"/>
        <v>8000</v>
      </c>
      <c r="AL39" s="11">
        <f t="shared" si="30"/>
        <v>8000</v>
      </c>
      <c r="AM39" s="11">
        <f t="shared" si="30"/>
        <v>8000</v>
      </c>
      <c r="AN39" s="11">
        <f t="shared" si="30"/>
        <v>8000</v>
      </c>
      <c r="AO39" s="11">
        <f t="shared" si="30"/>
        <v>8000</v>
      </c>
      <c r="AP39" s="11">
        <f t="shared" si="30"/>
        <v>8000</v>
      </c>
      <c r="AQ39" s="50"/>
      <c r="AR39" s="11"/>
      <c r="AS39" s="11"/>
      <c r="AT39" s="22"/>
      <c r="AU39" s="22"/>
      <c r="AV39" s="11"/>
      <c r="AW39" s="11"/>
      <c r="AX39" s="11"/>
      <c r="AY39" s="22"/>
      <c r="AZ39" s="22"/>
      <c r="BA39" s="11"/>
      <c r="BB39" s="11"/>
      <c r="BC39" s="50"/>
      <c r="BD39" s="50"/>
      <c r="BE39" s="11"/>
      <c r="BF39" s="11"/>
      <c r="BG39" s="11"/>
      <c r="BH39" s="50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</row>
    <row r="40" spans="1:79" ht="15" customHeight="1" outlineLevel="1" x14ac:dyDescent="0.25">
      <c r="A40" s="22" t="s">
        <v>163</v>
      </c>
      <c r="B40" s="22" t="s">
        <v>173</v>
      </c>
      <c r="C40" s="64">
        <v>400000</v>
      </c>
      <c r="D40" s="11">
        <f>C40/3</f>
        <v>133333.33333333334</v>
      </c>
      <c r="E40" s="11"/>
      <c r="F40" s="22"/>
      <c r="G40" s="22"/>
      <c r="H40" s="11"/>
      <c r="I40" s="11"/>
      <c r="J40" s="11"/>
      <c r="K40" s="22"/>
      <c r="L40" s="22"/>
      <c r="M40" s="11"/>
      <c r="N40" s="11"/>
      <c r="O40" s="11"/>
      <c r="P40" s="22"/>
      <c r="Q40" s="22"/>
      <c r="R40" s="11"/>
      <c r="S40" s="50"/>
      <c r="T40" s="11"/>
      <c r="U40" s="11">
        <f>$D40</f>
        <v>133333.33333333334</v>
      </c>
      <c r="V40" s="22"/>
      <c r="W40" s="11">
        <f>$D40</f>
        <v>133333.33333333334</v>
      </c>
      <c r="X40" s="11"/>
      <c r="Y40" s="11">
        <f>$D40</f>
        <v>133333.33333333334</v>
      </c>
      <c r="Z40" s="22"/>
      <c r="AA40" s="22"/>
      <c r="AB40" s="11"/>
      <c r="AC40" s="11"/>
      <c r="AD40" s="11"/>
      <c r="AE40" s="31"/>
      <c r="AF40" s="22"/>
      <c r="AG40" s="11"/>
      <c r="AH40" s="11"/>
      <c r="AI40" s="11"/>
      <c r="AJ40" s="22"/>
      <c r="AK40" s="22"/>
      <c r="AL40" s="11"/>
      <c r="AM40" s="11"/>
      <c r="AN40" s="11"/>
      <c r="AO40" s="22"/>
      <c r="AP40" s="22"/>
      <c r="AQ40" s="50"/>
      <c r="AR40" s="11"/>
      <c r="AS40" s="11"/>
      <c r="AT40" s="22"/>
      <c r="AU40" s="22"/>
      <c r="AV40" s="11"/>
      <c r="AW40" s="11"/>
      <c r="AX40" s="11"/>
      <c r="AY40" s="22"/>
      <c r="AZ40" s="22"/>
      <c r="BA40" s="11"/>
      <c r="BB40" s="11"/>
      <c r="BC40" s="50"/>
      <c r="BD40" s="50"/>
      <c r="BE40" s="11"/>
      <c r="BF40" s="11"/>
      <c r="BG40" s="11"/>
      <c r="BH40" s="50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</row>
    <row r="41" spans="1:79" ht="15" customHeight="1" outlineLevel="1" x14ac:dyDescent="0.25">
      <c r="A41" s="22" t="s">
        <v>163</v>
      </c>
      <c r="B41" s="22" t="s">
        <v>174</v>
      </c>
      <c r="C41" s="11">
        <v>200000</v>
      </c>
      <c r="D41" s="64">
        <f t="shared" ref="D41:D42" si="31">C41/5</f>
        <v>40000</v>
      </c>
      <c r="E41" s="22" t="s">
        <v>175</v>
      </c>
      <c r="G41" s="22"/>
      <c r="H41" s="11"/>
      <c r="I41" s="11"/>
      <c r="J41" s="11"/>
      <c r="K41" s="22"/>
      <c r="L41" s="22"/>
      <c r="M41" s="11"/>
      <c r="N41" s="11"/>
      <c r="O41" s="11"/>
      <c r="P41" s="22"/>
      <c r="Q41" s="22"/>
      <c r="R41" s="11"/>
      <c r="S41" s="50"/>
      <c r="T41" s="11">
        <f t="shared" ref="T41:T42" si="32">$D41</f>
        <v>40000</v>
      </c>
      <c r="U41" s="11"/>
      <c r="V41" s="11">
        <f t="shared" ref="V41:V43" si="33">$D41</f>
        <v>40000</v>
      </c>
      <c r="W41" s="11"/>
      <c r="X41" s="11">
        <f t="shared" ref="X41:X42" si="34">$D41</f>
        <v>40000</v>
      </c>
      <c r="Y41" s="11"/>
      <c r="Z41" s="11">
        <f t="shared" ref="Z41:Z42" si="35">$D41</f>
        <v>40000</v>
      </c>
      <c r="AA41" s="11"/>
      <c r="AB41" s="11">
        <f t="shared" ref="AB41:AB42" si="36">$D41</f>
        <v>40000</v>
      </c>
      <c r="AC41" s="11"/>
      <c r="AD41" s="11"/>
      <c r="AE41" s="50"/>
      <c r="AF41" s="11">
        <f t="shared" ref="AF41:AF42" si="37">$D41</f>
        <v>40000</v>
      </c>
      <c r="AG41" s="11"/>
      <c r="AH41" s="11">
        <f t="shared" ref="AH41:AH43" si="38">$D41</f>
        <v>40000</v>
      </c>
      <c r="AI41" s="11"/>
      <c r="AJ41" s="11">
        <f t="shared" ref="AJ41:AJ42" si="39">$D41</f>
        <v>40000</v>
      </c>
      <c r="AK41" s="11"/>
      <c r="AL41" s="11">
        <f t="shared" ref="AL41:AL42" si="40">$D41</f>
        <v>40000</v>
      </c>
      <c r="AM41" s="11"/>
      <c r="AN41" s="11">
        <f t="shared" ref="AN41:AN42" si="41">$D41</f>
        <v>40000</v>
      </c>
      <c r="AO41" s="11"/>
      <c r="AP41" s="11"/>
      <c r="AQ41" s="50"/>
      <c r="AR41" s="11"/>
      <c r="AS41" s="11"/>
      <c r="AT41" s="22"/>
      <c r="AU41" s="22"/>
      <c r="AV41" s="11"/>
      <c r="AW41" s="11"/>
      <c r="AX41" s="11"/>
      <c r="AY41" s="22"/>
      <c r="AZ41" s="22"/>
      <c r="BA41" s="11"/>
      <c r="BB41" s="11"/>
      <c r="BC41" s="50"/>
      <c r="BD41" s="50"/>
      <c r="BE41" s="11"/>
      <c r="BF41" s="11"/>
      <c r="BG41" s="11"/>
      <c r="BH41" s="50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</row>
    <row r="42" spans="1:79" ht="15" customHeight="1" outlineLevel="1" x14ac:dyDescent="0.25">
      <c r="A42" s="22" t="s">
        <v>163</v>
      </c>
      <c r="B42" s="22" t="s">
        <v>176</v>
      </c>
      <c r="C42" s="11">
        <v>150000</v>
      </c>
      <c r="D42" s="64">
        <f t="shared" si="31"/>
        <v>30000</v>
      </c>
      <c r="E42" s="22" t="s">
        <v>175</v>
      </c>
      <c r="G42" s="22"/>
      <c r="H42" s="11"/>
      <c r="I42" s="11"/>
      <c r="J42" s="11"/>
      <c r="K42" s="22"/>
      <c r="L42" s="22"/>
      <c r="M42" s="11"/>
      <c r="N42" s="11"/>
      <c r="O42" s="11"/>
      <c r="P42" s="22"/>
      <c r="Q42" s="22"/>
      <c r="R42" s="11"/>
      <c r="S42" s="50"/>
      <c r="T42" s="11">
        <f t="shared" si="32"/>
        <v>30000</v>
      </c>
      <c r="U42" s="11"/>
      <c r="V42" s="11">
        <f t="shared" si="33"/>
        <v>30000</v>
      </c>
      <c r="W42" s="11"/>
      <c r="X42" s="11">
        <f t="shared" si="34"/>
        <v>30000</v>
      </c>
      <c r="Y42" s="11"/>
      <c r="Z42" s="11">
        <f t="shared" si="35"/>
        <v>30000</v>
      </c>
      <c r="AA42" s="11"/>
      <c r="AB42" s="11">
        <f t="shared" si="36"/>
        <v>30000</v>
      </c>
      <c r="AC42" s="11"/>
      <c r="AD42" s="11"/>
      <c r="AE42" s="50"/>
      <c r="AF42" s="11">
        <f t="shared" si="37"/>
        <v>30000</v>
      </c>
      <c r="AG42" s="11"/>
      <c r="AH42" s="11">
        <f t="shared" si="38"/>
        <v>30000</v>
      </c>
      <c r="AI42" s="11"/>
      <c r="AJ42" s="11">
        <f t="shared" si="39"/>
        <v>30000</v>
      </c>
      <c r="AK42" s="11"/>
      <c r="AL42" s="11">
        <f t="shared" si="40"/>
        <v>30000</v>
      </c>
      <c r="AM42" s="11"/>
      <c r="AN42" s="11">
        <f t="shared" si="41"/>
        <v>30000</v>
      </c>
      <c r="AO42" s="11"/>
      <c r="AP42" s="11"/>
      <c r="AQ42" s="50"/>
      <c r="AR42" s="11"/>
      <c r="AS42" s="11"/>
      <c r="AT42" s="22"/>
      <c r="AU42" s="22"/>
      <c r="AV42" s="11"/>
      <c r="AW42" s="11"/>
      <c r="AX42" s="11"/>
      <c r="AY42" s="22"/>
      <c r="AZ42" s="22"/>
      <c r="BA42" s="11"/>
      <c r="BB42" s="11"/>
      <c r="BC42" s="50"/>
      <c r="BD42" s="50"/>
      <c r="BE42" s="11"/>
      <c r="BF42" s="11"/>
      <c r="BG42" s="11"/>
      <c r="BH42" s="50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</row>
    <row r="43" spans="1:79" ht="15" customHeight="1" outlineLevel="1" x14ac:dyDescent="0.25">
      <c r="A43" s="22" t="s">
        <v>163</v>
      </c>
      <c r="B43" s="22" t="s">
        <v>177</v>
      </c>
      <c r="C43" s="64">
        <v>300000</v>
      </c>
      <c r="D43" s="11">
        <f>C43</f>
        <v>300000</v>
      </c>
      <c r="E43" s="11" t="s">
        <v>178</v>
      </c>
      <c r="F43" s="22"/>
      <c r="G43" s="22"/>
      <c r="H43" s="11"/>
      <c r="I43" s="11"/>
      <c r="J43" s="11"/>
      <c r="K43" s="22"/>
      <c r="L43" s="22"/>
      <c r="M43" s="11"/>
      <c r="N43" s="11"/>
      <c r="O43" s="11"/>
      <c r="P43" s="22"/>
      <c r="Q43" s="22"/>
      <c r="R43" s="11"/>
      <c r="S43" s="50"/>
      <c r="T43" s="11"/>
      <c r="U43" s="22"/>
      <c r="V43" s="11">
        <f t="shared" si="33"/>
        <v>300000</v>
      </c>
      <c r="W43" s="11"/>
      <c r="X43" s="11"/>
      <c r="Y43" s="11"/>
      <c r="Z43" s="22"/>
      <c r="AA43" s="22"/>
      <c r="AB43" s="11"/>
      <c r="AC43" s="11"/>
      <c r="AD43" s="11"/>
      <c r="AE43" s="31"/>
      <c r="AF43" s="22"/>
      <c r="AG43" s="11"/>
      <c r="AH43" s="11">
        <f t="shared" si="38"/>
        <v>300000</v>
      </c>
      <c r="AI43" s="11"/>
      <c r="AJ43" s="22"/>
      <c r="AK43" s="22"/>
      <c r="AL43" s="11"/>
      <c r="AM43" s="11"/>
      <c r="AN43" s="11"/>
      <c r="AO43" s="22"/>
      <c r="AP43" s="22"/>
      <c r="AQ43" s="50"/>
      <c r="AR43" s="11"/>
      <c r="AS43" s="11"/>
      <c r="AT43" s="22"/>
      <c r="AU43" s="22"/>
      <c r="AV43" s="11"/>
      <c r="AW43" s="11"/>
      <c r="AX43" s="11"/>
      <c r="AY43" s="22"/>
      <c r="AZ43" s="22"/>
      <c r="BA43" s="11"/>
      <c r="BB43" s="11"/>
      <c r="BC43" s="50"/>
      <c r="BD43" s="50"/>
      <c r="BE43" s="11"/>
      <c r="BF43" s="11"/>
      <c r="BG43" s="11"/>
      <c r="BH43" s="50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</row>
    <row r="44" spans="1:79" ht="15" customHeight="1" outlineLevel="1" x14ac:dyDescent="0.25">
      <c r="A44" s="22" t="s">
        <v>163</v>
      </c>
      <c r="B44" s="22" t="s">
        <v>179</v>
      </c>
      <c r="C44" s="11">
        <v>320000</v>
      </c>
      <c r="D44" s="64">
        <v>28000</v>
      </c>
      <c r="E44" s="11" t="s">
        <v>160</v>
      </c>
      <c r="F44" s="22"/>
      <c r="G44" s="22"/>
      <c r="H44" s="11"/>
      <c r="I44" s="11"/>
      <c r="J44" s="11"/>
      <c r="K44" s="22"/>
      <c r="L44" s="22"/>
      <c r="M44" s="11"/>
      <c r="N44" s="11"/>
      <c r="O44" s="11"/>
      <c r="P44" s="22"/>
      <c r="Q44" s="22"/>
      <c r="R44" s="11"/>
      <c r="S44" s="50">
        <f t="shared" ref="S44:AP44" si="42">$D44</f>
        <v>28000</v>
      </c>
      <c r="T44" s="11">
        <f t="shared" si="42"/>
        <v>28000</v>
      </c>
      <c r="U44" s="11">
        <f t="shared" si="42"/>
        <v>28000</v>
      </c>
      <c r="V44" s="11">
        <f t="shared" si="42"/>
        <v>28000</v>
      </c>
      <c r="W44" s="11">
        <f t="shared" si="42"/>
        <v>28000</v>
      </c>
      <c r="X44" s="11">
        <f t="shared" si="42"/>
        <v>28000</v>
      </c>
      <c r="Y44" s="11">
        <f t="shared" si="42"/>
        <v>28000</v>
      </c>
      <c r="Z44" s="11">
        <f t="shared" si="42"/>
        <v>28000</v>
      </c>
      <c r="AA44" s="11">
        <f t="shared" si="42"/>
        <v>28000</v>
      </c>
      <c r="AB44" s="11">
        <f t="shared" si="42"/>
        <v>28000</v>
      </c>
      <c r="AC44" s="11">
        <f t="shared" si="42"/>
        <v>28000</v>
      </c>
      <c r="AD44" s="11">
        <f t="shared" si="42"/>
        <v>28000</v>
      </c>
      <c r="AE44" s="50">
        <f t="shared" si="42"/>
        <v>28000</v>
      </c>
      <c r="AF44" s="11">
        <f t="shared" si="42"/>
        <v>28000</v>
      </c>
      <c r="AG44" s="11">
        <f t="shared" si="42"/>
        <v>28000</v>
      </c>
      <c r="AH44" s="11">
        <f t="shared" si="42"/>
        <v>28000</v>
      </c>
      <c r="AI44" s="11">
        <f t="shared" si="42"/>
        <v>28000</v>
      </c>
      <c r="AJ44" s="11">
        <f t="shared" si="42"/>
        <v>28000</v>
      </c>
      <c r="AK44" s="11">
        <f t="shared" si="42"/>
        <v>28000</v>
      </c>
      <c r="AL44" s="11">
        <f t="shared" si="42"/>
        <v>28000</v>
      </c>
      <c r="AM44" s="11">
        <f t="shared" si="42"/>
        <v>28000</v>
      </c>
      <c r="AN44" s="11">
        <f t="shared" si="42"/>
        <v>28000</v>
      </c>
      <c r="AO44" s="11">
        <f t="shared" si="42"/>
        <v>28000</v>
      </c>
      <c r="AP44" s="11">
        <f t="shared" si="42"/>
        <v>28000</v>
      </c>
      <c r="AQ44" s="50"/>
      <c r="AR44" s="11"/>
      <c r="AS44" s="11"/>
      <c r="AT44" s="22"/>
      <c r="AU44" s="22"/>
      <c r="AV44" s="11"/>
      <c r="AW44" s="11"/>
      <c r="AX44" s="11"/>
      <c r="AY44" s="22"/>
      <c r="AZ44" s="22"/>
      <c r="BA44" s="11"/>
      <c r="BB44" s="11"/>
      <c r="BC44" s="50"/>
      <c r="BD44" s="50"/>
      <c r="BE44" s="11"/>
      <c r="BF44" s="11"/>
      <c r="BG44" s="11"/>
      <c r="BH44" s="50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</row>
    <row r="45" spans="1:79" ht="15" customHeight="1" outlineLevel="1" x14ac:dyDescent="0.25">
      <c r="A45" s="22" t="s">
        <v>163</v>
      </c>
      <c r="B45" s="22" t="s">
        <v>180</v>
      </c>
      <c r="C45" s="64">
        <v>75000</v>
      </c>
      <c r="D45" s="11">
        <f>C45/12</f>
        <v>6250</v>
      </c>
      <c r="E45" s="11" t="s">
        <v>160</v>
      </c>
      <c r="F45" s="22"/>
      <c r="G45" s="22"/>
      <c r="H45" s="11"/>
      <c r="I45" s="11"/>
      <c r="J45" s="11"/>
      <c r="K45" s="22"/>
      <c r="L45" s="22"/>
      <c r="M45" s="11"/>
      <c r="N45" s="11"/>
      <c r="O45" s="11"/>
      <c r="P45" s="22"/>
      <c r="Q45" s="22"/>
      <c r="R45" s="11"/>
      <c r="S45" s="50">
        <f t="shared" ref="S45:AP45" si="43">$D45</f>
        <v>6250</v>
      </c>
      <c r="T45" s="11">
        <f t="shared" si="43"/>
        <v>6250</v>
      </c>
      <c r="U45" s="11">
        <f t="shared" si="43"/>
        <v>6250</v>
      </c>
      <c r="V45" s="11">
        <f t="shared" si="43"/>
        <v>6250</v>
      </c>
      <c r="W45" s="11">
        <f t="shared" si="43"/>
        <v>6250</v>
      </c>
      <c r="X45" s="11">
        <f t="shared" si="43"/>
        <v>6250</v>
      </c>
      <c r="Y45" s="11">
        <f t="shared" si="43"/>
        <v>6250</v>
      </c>
      <c r="Z45" s="11">
        <f t="shared" si="43"/>
        <v>6250</v>
      </c>
      <c r="AA45" s="11">
        <f t="shared" si="43"/>
        <v>6250</v>
      </c>
      <c r="AB45" s="11">
        <f t="shared" si="43"/>
        <v>6250</v>
      </c>
      <c r="AC45" s="11">
        <f t="shared" si="43"/>
        <v>6250</v>
      </c>
      <c r="AD45" s="11">
        <f t="shared" si="43"/>
        <v>6250</v>
      </c>
      <c r="AE45" s="50">
        <f t="shared" si="43"/>
        <v>6250</v>
      </c>
      <c r="AF45" s="11">
        <f t="shared" si="43"/>
        <v>6250</v>
      </c>
      <c r="AG45" s="11">
        <f t="shared" si="43"/>
        <v>6250</v>
      </c>
      <c r="AH45" s="11">
        <f t="shared" si="43"/>
        <v>6250</v>
      </c>
      <c r="AI45" s="11">
        <f t="shared" si="43"/>
        <v>6250</v>
      </c>
      <c r="AJ45" s="11">
        <f t="shared" si="43"/>
        <v>6250</v>
      </c>
      <c r="AK45" s="11">
        <f t="shared" si="43"/>
        <v>6250</v>
      </c>
      <c r="AL45" s="11">
        <f t="shared" si="43"/>
        <v>6250</v>
      </c>
      <c r="AM45" s="11">
        <f t="shared" si="43"/>
        <v>6250</v>
      </c>
      <c r="AN45" s="11">
        <f t="shared" si="43"/>
        <v>6250</v>
      </c>
      <c r="AO45" s="11">
        <f t="shared" si="43"/>
        <v>6250</v>
      </c>
      <c r="AP45" s="11">
        <f t="shared" si="43"/>
        <v>6250</v>
      </c>
      <c r="AQ45" s="50"/>
      <c r="AR45" s="11"/>
      <c r="AS45" s="11"/>
      <c r="AT45" s="22"/>
      <c r="AU45" s="22"/>
      <c r="AV45" s="11"/>
      <c r="AW45" s="11"/>
      <c r="AX45" s="11"/>
      <c r="AY45" s="22"/>
      <c r="AZ45" s="22"/>
      <c r="BA45" s="11"/>
      <c r="BB45" s="11"/>
      <c r="BC45" s="50"/>
      <c r="BD45" s="50"/>
      <c r="BE45" s="11"/>
      <c r="BF45" s="11"/>
      <c r="BG45" s="11"/>
      <c r="BH45" s="50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</row>
    <row r="46" spans="1:79" ht="14.25" customHeight="1" outlineLevel="1" x14ac:dyDescent="0.25">
      <c r="A46" s="11" t="s">
        <v>163</v>
      </c>
      <c r="B46" s="11" t="s">
        <v>161</v>
      </c>
      <c r="C46" s="11"/>
      <c r="D46" s="11"/>
      <c r="E46" s="11"/>
      <c r="F46" s="11"/>
      <c r="G46" s="11">
        <f t="shared" ref="G46:BB46" si="44">G76+G77</f>
        <v>26224.104166666664</v>
      </c>
      <c r="H46" s="11">
        <f t="shared" si="44"/>
        <v>26224.104166666664</v>
      </c>
      <c r="I46" s="11">
        <f t="shared" si="44"/>
        <v>26224.104166666664</v>
      </c>
      <c r="J46" s="11">
        <f t="shared" si="44"/>
        <v>26224.104166666664</v>
      </c>
      <c r="K46" s="11">
        <f t="shared" si="44"/>
        <v>26224.104166666664</v>
      </c>
      <c r="L46" s="11">
        <f t="shared" si="44"/>
        <v>26224.104166666664</v>
      </c>
      <c r="M46" s="11">
        <f t="shared" si="44"/>
        <v>26224.104166666664</v>
      </c>
      <c r="N46" s="11">
        <f t="shared" si="44"/>
        <v>26224.104166666664</v>
      </c>
      <c r="O46" s="11">
        <f t="shared" si="44"/>
        <v>26224.104166666664</v>
      </c>
      <c r="P46" s="11">
        <f t="shared" si="44"/>
        <v>26224.104166666664</v>
      </c>
      <c r="Q46" s="11">
        <f t="shared" si="44"/>
        <v>26224.104166666664</v>
      </c>
      <c r="R46" s="11">
        <f t="shared" si="44"/>
        <v>26224.104166666664</v>
      </c>
      <c r="S46" s="50">
        <f t="shared" si="44"/>
        <v>105050.97916666666</v>
      </c>
      <c r="T46" s="11">
        <f t="shared" si="44"/>
        <v>105050.97916666666</v>
      </c>
      <c r="U46" s="11">
        <f t="shared" si="44"/>
        <v>105050.97916666666</v>
      </c>
      <c r="V46" s="11">
        <f t="shared" si="44"/>
        <v>117931.1875</v>
      </c>
      <c r="W46" s="11">
        <f t="shared" si="44"/>
        <v>127204.9375</v>
      </c>
      <c r="X46" s="11">
        <f t="shared" si="44"/>
        <v>140085.14583333331</v>
      </c>
      <c r="Y46" s="11">
        <f t="shared" si="44"/>
        <v>152965.35416666663</v>
      </c>
      <c r="Z46" s="11">
        <f t="shared" si="44"/>
        <v>162239.10416666663</v>
      </c>
      <c r="AA46" s="11">
        <f t="shared" si="44"/>
        <v>175119.31249999997</v>
      </c>
      <c r="AB46" s="11">
        <f t="shared" si="44"/>
        <v>187999.52083333331</v>
      </c>
      <c r="AC46" s="11">
        <f t="shared" si="44"/>
        <v>187999.52083333331</v>
      </c>
      <c r="AD46" s="11">
        <f t="shared" si="44"/>
        <v>187999.52083333331</v>
      </c>
      <c r="AE46" s="50">
        <f t="shared" si="44"/>
        <v>197273.27083333331</v>
      </c>
      <c r="AF46" s="11">
        <f t="shared" si="44"/>
        <v>210153.47916666666</v>
      </c>
      <c r="AG46" s="11">
        <f t="shared" si="44"/>
        <v>210153.47916666666</v>
      </c>
      <c r="AH46" s="11">
        <f t="shared" si="44"/>
        <v>210153.47916666666</v>
      </c>
      <c r="AI46" s="11">
        <f t="shared" si="44"/>
        <v>210153.47916666666</v>
      </c>
      <c r="AJ46" s="11">
        <f t="shared" si="44"/>
        <v>210153.47916666666</v>
      </c>
      <c r="AK46" s="11">
        <f t="shared" si="44"/>
        <v>210153.47916666666</v>
      </c>
      <c r="AL46" s="11">
        <f t="shared" si="44"/>
        <v>210153.47916666666</v>
      </c>
      <c r="AM46" s="11">
        <f t="shared" si="44"/>
        <v>210153.47916666666</v>
      </c>
      <c r="AN46" s="11">
        <f t="shared" si="44"/>
        <v>210153.47916666666</v>
      </c>
      <c r="AO46" s="11">
        <f t="shared" si="44"/>
        <v>210153.47916666666</v>
      </c>
      <c r="AP46" s="11">
        <f t="shared" si="44"/>
        <v>210153.47916666666</v>
      </c>
      <c r="AQ46" s="50">
        <f t="shared" si="44"/>
        <v>0</v>
      </c>
      <c r="AR46" s="11">
        <f t="shared" si="44"/>
        <v>0</v>
      </c>
      <c r="AS46" s="11">
        <f t="shared" si="44"/>
        <v>0</v>
      </c>
      <c r="AT46" s="11">
        <f t="shared" si="44"/>
        <v>0</v>
      </c>
      <c r="AU46" s="11">
        <f t="shared" si="44"/>
        <v>0</v>
      </c>
      <c r="AV46" s="11">
        <f t="shared" si="44"/>
        <v>0</v>
      </c>
      <c r="AW46" s="11">
        <f t="shared" si="44"/>
        <v>0</v>
      </c>
      <c r="AX46" s="11">
        <f t="shared" si="44"/>
        <v>0</v>
      </c>
      <c r="AY46" s="11">
        <f t="shared" si="44"/>
        <v>0</v>
      </c>
      <c r="AZ46" s="11">
        <f t="shared" si="44"/>
        <v>0</v>
      </c>
      <c r="BA46" s="11">
        <f t="shared" si="44"/>
        <v>0</v>
      </c>
      <c r="BB46" s="11">
        <f t="shared" si="44"/>
        <v>0</v>
      </c>
      <c r="BC46" s="50"/>
      <c r="BD46" s="50"/>
      <c r="BE46" s="11"/>
      <c r="BF46" s="11"/>
      <c r="BG46" s="11"/>
      <c r="BH46" s="50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</row>
    <row r="47" spans="1:79" ht="14.25" customHeight="1" outlineLevel="1" x14ac:dyDescent="0.25">
      <c r="A47" s="22"/>
      <c r="B47" s="22"/>
      <c r="C47" s="11"/>
      <c r="D47" s="11"/>
      <c r="E47" s="11"/>
      <c r="F47" s="11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50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50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31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31"/>
      <c r="BD47" s="31"/>
      <c r="BE47" s="22"/>
      <c r="BF47" s="22"/>
      <c r="BG47" s="22"/>
      <c r="BH47" s="31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</row>
    <row r="48" spans="1:79" ht="14.25" customHeight="1" outlineLevel="1" x14ac:dyDescent="0.25">
      <c r="A48" s="30"/>
      <c r="B48" s="30" t="s">
        <v>27</v>
      </c>
      <c r="C48" s="7">
        <f>SUM(C49:C51)</f>
        <v>1125000</v>
      </c>
      <c r="D48" s="7"/>
      <c r="E48" s="115"/>
      <c r="F48" s="113"/>
      <c r="G48" s="7">
        <f t="shared" ref="G48:AP48" si="45">SUM(G49:G55)</f>
        <v>26224.104166666664</v>
      </c>
      <c r="H48" s="7">
        <f t="shared" si="45"/>
        <v>26224.104166666664</v>
      </c>
      <c r="I48" s="7">
        <f t="shared" si="45"/>
        <v>26224.104166666664</v>
      </c>
      <c r="J48" s="7">
        <f t="shared" si="45"/>
        <v>26224.104166666664</v>
      </c>
      <c r="K48" s="7">
        <f t="shared" si="45"/>
        <v>26224.104166666664</v>
      </c>
      <c r="L48" s="7">
        <f t="shared" si="45"/>
        <v>26224.104166666664</v>
      </c>
      <c r="M48" s="7">
        <f t="shared" si="45"/>
        <v>26224.104166666664</v>
      </c>
      <c r="N48" s="7">
        <f t="shared" si="45"/>
        <v>26224.104166666664</v>
      </c>
      <c r="O48" s="7">
        <f t="shared" si="45"/>
        <v>26224.104166666664</v>
      </c>
      <c r="P48" s="7">
        <f t="shared" si="45"/>
        <v>26224.104166666664</v>
      </c>
      <c r="Q48" s="7">
        <f t="shared" si="45"/>
        <v>26224.104166666664</v>
      </c>
      <c r="R48" s="7">
        <f t="shared" si="45"/>
        <v>58724.104166666664</v>
      </c>
      <c r="S48" s="6">
        <f t="shared" si="45"/>
        <v>125600.28472222222</v>
      </c>
      <c r="T48" s="7">
        <f t="shared" si="45"/>
        <v>200600.28472222222</v>
      </c>
      <c r="U48" s="7">
        <f t="shared" si="45"/>
        <v>255600.28472222222</v>
      </c>
      <c r="V48" s="7">
        <f t="shared" si="45"/>
        <v>125600.28472222222</v>
      </c>
      <c r="W48" s="7">
        <f t="shared" si="45"/>
        <v>184874.03472222222</v>
      </c>
      <c r="X48" s="7">
        <f t="shared" si="45"/>
        <v>227754.24305555556</v>
      </c>
      <c r="Y48" s="7">
        <f t="shared" si="45"/>
        <v>197754.24305555556</v>
      </c>
      <c r="Z48" s="7">
        <f t="shared" si="45"/>
        <v>157027.99305555556</v>
      </c>
      <c r="AA48" s="7">
        <f t="shared" si="45"/>
        <v>299908.20138888888</v>
      </c>
      <c r="AB48" s="7">
        <f t="shared" si="45"/>
        <v>169908.20138888888</v>
      </c>
      <c r="AC48" s="7">
        <f t="shared" si="45"/>
        <v>107408.20138888888</v>
      </c>
      <c r="AD48" s="7">
        <f t="shared" si="45"/>
        <v>212408.20138888888</v>
      </c>
      <c r="AE48" s="6">
        <f t="shared" si="45"/>
        <v>116681.95138888888</v>
      </c>
      <c r="AF48" s="7">
        <f t="shared" si="45"/>
        <v>129562.15972222222</v>
      </c>
      <c r="AG48" s="7">
        <f t="shared" si="45"/>
        <v>209562.15972222222</v>
      </c>
      <c r="AH48" s="7">
        <f t="shared" si="45"/>
        <v>129562.15972222222</v>
      </c>
      <c r="AI48" s="7">
        <f t="shared" si="45"/>
        <v>129562.15972222222</v>
      </c>
      <c r="AJ48" s="7">
        <f t="shared" si="45"/>
        <v>209562.15972222222</v>
      </c>
      <c r="AK48" s="7">
        <f t="shared" si="45"/>
        <v>129562.15972222222</v>
      </c>
      <c r="AL48" s="7">
        <f t="shared" si="45"/>
        <v>129562.15972222222</v>
      </c>
      <c r="AM48" s="7">
        <f t="shared" si="45"/>
        <v>209562.15972222222</v>
      </c>
      <c r="AN48" s="7">
        <f t="shared" si="45"/>
        <v>129562.15972222222</v>
      </c>
      <c r="AO48" s="7">
        <f t="shared" si="45"/>
        <v>129562.15972222222</v>
      </c>
      <c r="AP48" s="7">
        <f t="shared" si="45"/>
        <v>234562.15972222222</v>
      </c>
      <c r="AQ48" s="111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111"/>
      <c r="BD48" s="111"/>
      <c r="BE48" s="30"/>
      <c r="BF48" s="30"/>
      <c r="BG48" s="30"/>
      <c r="BH48" s="111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</row>
    <row r="49" spans="1:79" ht="14.25" customHeight="1" outlineLevel="1" x14ac:dyDescent="0.25">
      <c r="A49" s="22" t="s">
        <v>181</v>
      </c>
      <c r="B49" s="22" t="s">
        <v>182</v>
      </c>
      <c r="C49" s="116">
        <v>675000</v>
      </c>
      <c r="D49" s="64">
        <v>2500</v>
      </c>
      <c r="E49" s="64">
        <v>25</v>
      </c>
      <c r="F49" s="114" t="s">
        <v>183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>
        <v>32500</v>
      </c>
      <c r="S49" s="50">
        <f t="shared" ref="S49:AB49" si="46">$E49*$D49</f>
        <v>62500</v>
      </c>
      <c r="T49" s="11">
        <f t="shared" si="46"/>
        <v>62500</v>
      </c>
      <c r="U49" s="11">
        <f t="shared" si="46"/>
        <v>62500</v>
      </c>
      <c r="V49" s="11">
        <f t="shared" si="46"/>
        <v>62500</v>
      </c>
      <c r="W49" s="11">
        <f t="shared" si="46"/>
        <v>62500</v>
      </c>
      <c r="X49" s="11">
        <f t="shared" si="46"/>
        <v>62500</v>
      </c>
      <c r="Y49" s="11">
        <f t="shared" si="46"/>
        <v>62500</v>
      </c>
      <c r="Z49" s="11">
        <f t="shared" si="46"/>
        <v>62500</v>
      </c>
      <c r="AA49" s="11">
        <f t="shared" si="46"/>
        <v>62500</v>
      </c>
      <c r="AB49" s="11">
        <f t="shared" si="46"/>
        <v>62500</v>
      </c>
      <c r="AC49" s="11"/>
      <c r="AD49" s="11"/>
      <c r="AE49" s="50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31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31"/>
      <c r="BD49" s="31"/>
      <c r="BE49" s="22"/>
      <c r="BF49" s="22"/>
      <c r="BG49" s="22"/>
      <c r="BH49" s="31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</row>
    <row r="50" spans="1:79" ht="14.25" customHeight="1" outlineLevel="1" x14ac:dyDescent="0.25">
      <c r="A50" s="22" t="s">
        <v>181</v>
      </c>
      <c r="B50" s="22" t="s">
        <v>184</v>
      </c>
      <c r="C50" s="11">
        <v>275000</v>
      </c>
      <c r="D50" s="64">
        <v>75000</v>
      </c>
      <c r="E50" s="64">
        <v>50000</v>
      </c>
      <c r="F50" s="114" t="s">
        <v>185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50"/>
      <c r="T50" s="11">
        <f>D50</f>
        <v>75000</v>
      </c>
      <c r="U50" s="11">
        <f>$E50</f>
        <v>50000</v>
      </c>
      <c r="V50" s="11"/>
      <c r="W50" s="11">
        <f>$E50</f>
        <v>50000</v>
      </c>
      <c r="X50" s="11"/>
      <c r="Y50" s="11">
        <f>$E50</f>
        <v>50000</v>
      </c>
      <c r="Z50" s="11"/>
      <c r="AA50" s="11">
        <f>$E50</f>
        <v>50000</v>
      </c>
      <c r="AB50" s="11"/>
      <c r="AC50" s="11"/>
      <c r="AD50" s="11"/>
      <c r="AE50" s="50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31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31"/>
      <c r="BD50" s="31"/>
      <c r="BE50" s="22"/>
      <c r="BF50" s="22"/>
      <c r="BG50" s="22"/>
      <c r="BH50" s="31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</row>
    <row r="51" spans="1:79" ht="14.25" customHeight="1" outlineLevel="1" x14ac:dyDescent="0.25">
      <c r="A51" s="22" t="s">
        <v>181</v>
      </c>
      <c r="B51" s="22" t="s">
        <v>186</v>
      </c>
      <c r="C51" s="11">
        <v>175000</v>
      </c>
      <c r="D51" s="11">
        <f>C51/E51</f>
        <v>9722.2222222222226</v>
      </c>
      <c r="E51" s="64">
        <v>18</v>
      </c>
      <c r="F51" s="114" t="s">
        <v>187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50">
        <f t="shared" ref="S51:AP51" si="47">$D51</f>
        <v>9722.2222222222226</v>
      </c>
      <c r="T51" s="11">
        <f t="shared" si="47"/>
        <v>9722.2222222222226</v>
      </c>
      <c r="U51" s="11">
        <f t="shared" si="47"/>
        <v>9722.2222222222226</v>
      </c>
      <c r="V51" s="11">
        <f t="shared" si="47"/>
        <v>9722.2222222222226</v>
      </c>
      <c r="W51" s="11">
        <f t="shared" si="47"/>
        <v>9722.2222222222226</v>
      </c>
      <c r="X51" s="11">
        <f t="shared" si="47"/>
        <v>9722.2222222222226</v>
      </c>
      <c r="Y51" s="11">
        <f t="shared" si="47"/>
        <v>9722.2222222222226</v>
      </c>
      <c r="Z51" s="11">
        <f t="shared" si="47"/>
        <v>9722.2222222222226</v>
      </c>
      <c r="AA51" s="11">
        <f t="shared" si="47"/>
        <v>9722.2222222222226</v>
      </c>
      <c r="AB51" s="11">
        <f t="shared" si="47"/>
        <v>9722.2222222222226</v>
      </c>
      <c r="AC51" s="11">
        <f t="shared" si="47"/>
        <v>9722.2222222222226</v>
      </c>
      <c r="AD51" s="11">
        <f t="shared" si="47"/>
        <v>9722.2222222222226</v>
      </c>
      <c r="AE51" s="50">
        <f t="shared" si="47"/>
        <v>9722.2222222222226</v>
      </c>
      <c r="AF51" s="11">
        <f t="shared" si="47"/>
        <v>9722.2222222222226</v>
      </c>
      <c r="AG51" s="11">
        <f t="shared" si="47"/>
        <v>9722.2222222222226</v>
      </c>
      <c r="AH51" s="11">
        <f t="shared" si="47"/>
        <v>9722.2222222222226</v>
      </c>
      <c r="AI51" s="11">
        <f t="shared" si="47"/>
        <v>9722.2222222222226</v>
      </c>
      <c r="AJ51" s="11">
        <f t="shared" si="47"/>
        <v>9722.2222222222226</v>
      </c>
      <c r="AK51" s="11">
        <f t="shared" si="47"/>
        <v>9722.2222222222226</v>
      </c>
      <c r="AL51" s="11">
        <f t="shared" si="47"/>
        <v>9722.2222222222226</v>
      </c>
      <c r="AM51" s="11">
        <f t="shared" si="47"/>
        <v>9722.2222222222226</v>
      </c>
      <c r="AN51" s="11">
        <f t="shared" si="47"/>
        <v>9722.2222222222226</v>
      </c>
      <c r="AO51" s="11">
        <f t="shared" si="47"/>
        <v>9722.2222222222226</v>
      </c>
      <c r="AP51" s="11">
        <f t="shared" si="47"/>
        <v>9722.2222222222226</v>
      </c>
      <c r="AQ51" s="31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31"/>
      <c r="BD51" s="31"/>
      <c r="BE51" s="22"/>
      <c r="BF51" s="22"/>
      <c r="BG51" s="22"/>
      <c r="BH51" s="31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</row>
    <row r="52" spans="1:79" ht="14.25" customHeight="1" outlineLevel="1" x14ac:dyDescent="0.25">
      <c r="A52" s="22" t="s">
        <v>181</v>
      </c>
      <c r="B52" s="22" t="s">
        <v>188</v>
      </c>
      <c r="C52" s="11">
        <v>325000</v>
      </c>
      <c r="D52" s="64">
        <v>75000</v>
      </c>
      <c r="E52" s="64">
        <v>100000</v>
      </c>
      <c r="F52" s="114" t="s">
        <v>189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50"/>
      <c r="T52" s="11"/>
      <c r="U52" s="11">
        <f>$D52</f>
        <v>75000</v>
      </c>
      <c r="V52" s="11"/>
      <c r="W52" s="11"/>
      <c r="X52" s="11">
        <f>$D52</f>
        <v>75000</v>
      </c>
      <c r="Y52" s="11"/>
      <c r="Z52" s="11"/>
      <c r="AA52" s="11">
        <f>$D52</f>
        <v>75000</v>
      </c>
      <c r="AB52" s="11"/>
      <c r="AC52" s="11"/>
      <c r="AD52" s="11">
        <f>$E52</f>
        <v>100000</v>
      </c>
      <c r="AE52" s="50"/>
      <c r="AF52" s="11"/>
      <c r="AG52" s="11">
        <f>$D52</f>
        <v>75000</v>
      </c>
      <c r="AH52" s="11"/>
      <c r="AI52" s="11"/>
      <c r="AJ52" s="11">
        <f>$D52</f>
        <v>75000</v>
      </c>
      <c r="AK52" s="11"/>
      <c r="AL52" s="11"/>
      <c r="AM52" s="11">
        <f>$D52</f>
        <v>75000</v>
      </c>
      <c r="AN52" s="11"/>
      <c r="AO52" s="11"/>
      <c r="AP52" s="11">
        <f>$E52</f>
        <v>100000</v>
      </c>
      <c r="AQ52" s="31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31"/>
      <c r="BD52" s="31"/>
      <c r="BE52" s="22"/>
      <c r="BF52" s="22"/>
      <c r="BG52" s="22"/>
      <c r="BH52" s="31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</row>
    <row r="53" spans="1:79" ht="14.25" customHeight="1" outlineLevel="1" x14ac:dyDescent="0.25">
      <c r="A53" s="22" t="s">
        <v>181</v>
      </c>
      <c r="B53" s="22" t="s">
        <v>190</v>
      </c>
      <c r="C53" s="11">
        <v>80000</v>
      </c>
      <c r="D53" s="64">
        <v>5000</v>
      </c>
      <c r="E53" s="64">
        <v>5000</v>
      </c>
      <c r="F53" s="114" t="s">
        <v>191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50">
        <f t="shared" ref="S53:T53" si="48">$D53</f>
        <v>5000</v>
      </c>
      <c r="T53" s="11">
        <f t="shared" si="48"/>
        <v>5000</v>
      </c>
      <c r="U53" s="11">
        <f>$D53+$E53</f>
        <v>10000</v>
      </c>
      <c r="V53" s="11">
        <f t="shared" ref="V53:W53" si="49">$D53</f>
        <v>5000</v>
      </c>
      <c r="W53" s="11">
        <f t="shared" si="49"/>
        <v>5000</v>
      </c>
      <c r="X53" s="11">
        <f>$D53+$E53</f>
        <v>10000</v>
      </c>
      <c r="Y53" s="11">
        <f t="shared" ref="Y53:Z53" si="50">$D53</f>
        <v>5000</v>
      </c>
      <c r="Z53" s="11">
        <f t="shared" si="50"/>
        <v>5000</v>
      </c>
      <c r="AA53" s="11">
        <f>$D53+$E53</f>
        <v>10000</v>
      </c>
      <c r="AB53" s="11">
        <f t="shared" ref="AB53:AC53" si="51">$D53</f>
        <v>5000</v>
      </c>
      <c r="AC53" s="11">
        <f t="shared" si="51"/>
        <v>5000</v>
      </c>
      <c r="AD53" s="11">
        <f>$D53+$E53</f>
        <v>10000</v>
      </c>
      <c r="AE53" s="50">
        <f t="shared" ref="AE53:AF53" si="52">$D53</f>
        <v>5000</v>
      </c>
      <c r="AF53" s="11">
        <f t="shared" si="52"/>
        <v>5000</v>
      </c>
      <c r="AG53" s="11">
        <f>$D53+$E53</f>
        <v>10000</v>
      </c>
      <c r="AH53" s="11">
        <f t="shared" ref="AH53:AI53" si="53">$D53</f>
        <v>5000</v>
      </c>
      <c r="AI53" s="11">
        <f t="shared" si="53"/>
        <v>5000</v>
      </c>
      <c r="AJ53" s="11">
        <f>$D53+$E53</f>
        <v>10000</v>
      </c>
      <c r="AK53" s="11">
        <f t="shared" ref="AK53:AL53" si="54">$D53</f>
        <v>5000</v>
      </c>
      <c r="AL53" s="11">
        <f t="shared" si="54"/>
        <v>5000</v>
      </c>
      <c r="AM53" s="11">
        <f>$D53+$E53</f>
        <v>10000</v>
      </c>
      <c r="AN53" s="11">
        <f t="shared" ref="AN53:AO53" si="55">$D53</f>
        <v>5000</v>
      </c>
      <c r="AO53" s="11">
        <f t="shared" si="55"/>
        <v>5000</v>
      </c>
      <c r="AP53" s="11">
        <f>$D53+$E53</f>
        <v>10000</v>
      </c>
      <c r="AQ53" s="31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31"/>
      <c r="BD53" s="31"/>
      <c r="BE53" s="22"/>
      <c r="BF53" s="22"/>
      <c r="BG53" s="22"/>
      <c r="BH53" s="31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</row>
    <row r="54" spans="1:79" ht="14.25" customHeight="1" outlineLevel="1" x14ac:dyDescent="0.25">
      <c r="A54" s="22" t="s">
        <v>181</v>
      </c>
      <c r="B54" s="22" t="s">
        <v>161</v>
      </c>
      <c r="C54" s="11"/>
      <c r="D54" s="11"/>
      <c r="E54" s="11"/>
      <c r="F54" s="114"/>
      <c r="G54" s="11">
        <f t="shared" ref="G54:BB54" si="56">G76</f>
        <v>26224.104166666664</v>
      </c>
      <c r="H54" s="11">
        <f t="shared" si="56"/>
        <v>26224.104166666664</v>
      </c>
      <c r="I54" s="11">
        <f t="shared" si="56"/>
        <v>26224.104166666664</v>
      </c>
      <c r="J54" s="11">
        <f t="shared" si="56"/>
        <v>26224.104166666664</v>
      </c>
      <c r="K54" s="11">
        <f t="shared" si="56"/>
        <v>26224.104166666664</v>
      </c>
      <c r="L54" s="11">
        <f t="shared" si="56"/>
        <v>26224.104166666664</v>
      </c>
      <c r="M54" s="11">
        <f t="shared" si="56"/>
        <v>26224.104166666664</v>
      </c>
      <c r="N54" s="11">
        <f t="shared" si="56"/>
        <v>26224.104166666664</v>
      </c>
      <c r="O54" s="11">
        <f t="shared" si="56"/>
        <v>26224.104166666664</v>
      </c>
      <c r="P54" s="11">
        <f t="shared" si="56"/>
        <v>26224.104166666664</v>
      </c>
      <c r="Q54" s="11">
        <f t="shared" si="56"/>
        <v>26224.104166666664</v>
      </c>
      <c r="R54" s="11">
        <f t="shared" si="56"/>
        <v>26224.104166666664</v>
      </c>
      <c r="S54" s="50">
        <f t="shared" si="56"/>
        <v>48378.0625</v>
      </c>
      <c r="T54" s="11">
        <f t="shared" si="56"/>
        <v>48378.0625</v>
      </c>
      <c r="U54" s="11">
        <f t="shared" si="56"/>
        <v>48378.0625</v>
      </c>
      <c r="V54" s="11">
        <f t="shared" si="56"/>
        <v>48378.0625</v>
      </c>
      <c r="W54" s="11">
        <f t="shared" si="56"/>
        <v>57651.8125</v>
      </c>
      <c r="X54" s="11">
        <f t="shared" si="56"/>
        <v>70532.020833333328</v>
      </c>
      <c r="Y54" s="11">
        <f t="shared" si="56"/>
        <v>70532.020833333328</v>
      </c>
      <c r="Z54" s="11">
        <f t="shared" si="56"/>
        <v>79805.770833333328</v>
      </c>
      <c r="AA54" s="11">
        <f t="shared" si="56"/>
        <v>92685.979166666657</v>
      </c>
      <c r="AB54" s="11">
        <f t="shared" si="56"/>
        <v>92685.979166666657</v>
      </c>
      <c r="AC54" s="11">
        <f t="shared" si="56"/>
        <v>92685.979166666657</v>
      </c>
      <c r="AD54" s="11">
        <f t="shared" si="56"/>
        <v>92685.979166666657</v>
      </c>
      <c r="AE54" s="50">
        <f t="shared" si="56"/>
        <v>101959.72916666666</v>
      </c>
      <c r="AF54" s="11">
        <f t="shared" si="56"/>
        <v>114839.9375</v>
      </c>
      <c r="AG54" s="11">
        <f t="shared" si="56"/>
        <v>114839.9375</v>
      </c>
      <c r="AH54" s="11">
        <f t="shared" si="56"/>
        <v>114839.9375</v>
      </c>
      <c r="AI54" s="11">
        <f t="shared" si="56"/>
        <v>114839.9375</v>
      </c>
      <c r="AJ54" s="11">
        <f t="shared" si="56"/>
        <v>114839.9375</v>
      </c>
      <c r="AK54" s="11">
        <f t="shared" si="56"/>
        <v>114839.9375</v>
      </c>
      <c r="AL54" s="11">
        <f t="shared" si="56"/>
        <v>114839.9375</v>
      </c>
      <c r="AM54" s="11">
        <f t="shared" si="56"/>
        <v>114839.9375</v>
      </c>
      <c r="AN54" s="11">
        <f t="shared" si="56"/>
        <v>114839.9375</v>
      </c>
      <c r="AO54" s="11">
        <f t="shared" si="56"/>
        <v>114839.9375</v>
      </c>
      <c r="AP54" s="11">
        <f t="shared" si="56"/>
        <v>114839.9375</v>
      </c>
      <c r="AQ54" s="50">
        <f t="shared" si="56"/>
        <v>0</v>
      </c>
      <c r="AR54" s="11">
        <f t="shared" si="56"/>
        <v>0</v>
      </c>
      <c r="AS54" s="11">
        <f t="shared" si="56"/>
        <v>0</v>
      </c>
      <c r="AT54" s="11">
        <f t="shared" si="56"/>
        <v>0</v>
      </c>
      <c r="AU54" s="11">
        <f t="shared" si="56"/>
        <v>0</v>
      </c>
      <c r="AV54" s="11">
        <f t="shared" si="56"/>
        <v>0</v>
      </c>
      <c r="AW54" s="11">
        <f t="shared" si="56"/>
        <v>0</v>
      </c>
      <c r="AX54" s="11">
        <f t="shared" si="56"/>
        <v>0</v>
      </c>
      <c r="AY54" s="11">
        <f t="shared" si="56"/>
        <v>0</v>
      </c>
      <c r="AZ54" s="11">
        <f t="shared" si="56"/>
        <v>0</v>
      </c>
      <c r="BA54" s="11">
        <f t="shared" si="56"/>
        <v>0</v>
      </c>
      <c r="BB54" s="11">
        <f t="shared" si="56"/>
        <v>0</v>
      </c>
      <c r="BC54" s="31"/>
      <c r="BD54" s="31"/>
      <c r="BE54" s="22"/>
      <c r="BF54" s="22"/>
      <c r="BG54" s="22"/>
      <c r="BH54" s="31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</row>
    <row r="55" spans="1:79" ht="14.25" customHeight="1" outlineLevel="1" x14ac:dyDescent="0.25">
      <c r="A55" s="22"/>
      <c r="B55" s="22"/>
      <c r="C55" s="11"/>
      <c r="D55" s="11"/>
      <c r="E55" s="11"/>
      <c r="F55" s="11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50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50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31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31"/>
      <c r="BD55" s="31"/>
      <c r="BE55" s="22"/>
      <c r="BF55" s="22"/>
      <c r="BG55" s="22"/>
      <c r="BH55" s="31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</row>
    <row r="56" spans="1:79" ht="14.25" customHeight="1" outlineLevel="1" x14ac:dyDescent="0.25">
      <c r="A56" s="30"/>
      <c r="B56" s="30" t="s">
        <v>28</v>
      </c>
      <c r="C56" s="7">
        <f>SUM(C57:C69)</f>
        <v>588794.14</v>
      </c>
      <c r="D56" s="7" t="s">
        <v>192</v>
      </c>
      <c r="E56" s="7" t="s">
        <v>193</v>
      </c>
      <c r="F56" s="113"/>
      <c r="G56" s="7">
        <f t="shared" ref="G56:H56" si="57">SUM(G57:G69)</f>
        <v>0</v>
      </c>
      <c r="H56" s="7">
        <f t="shared" si="57"/>
        <v>0</v>
      </c>
      <c r="I56" s="7">
        <f t="shared" ref="I56:AP56" si="58">SUM(I57:I73)</f>
        <v>37610.208333333336</v>
      </c>
      <c r="J56" s="7">
        <f t="shared" si="58"/>
        <v>51520.833333333336</v>
      </c>
      <c r="K56" s="7">
        <f t="shared" si="58"/>
        <v>51520.833333333336</v>
      </c>
      <c r="L56" s="7">
        <f t="shared" si="58"/>
        <v>51520.833333333336</v>
      </c>
      <c r="M56" s="7">
        <f t="shared" si="58"/>
        <v>115120.83333333334</v>
      </c>
      <c r="N56" s="7">
        <f t="shared" si="58"/>
        <v>121811.16666666666</v>
      </c>
      <c r="O56" s="7">
        <f t="shared" si="58"/>
        <v>122731.16666666666</v>
      </c>
      <c r="P56" s="7">
        <f t="shared" si="58"/>
        <v>128185</v>
      </c>
      <c r="Q56" s="7">
        <f t="shared" si="58"/>
        <v>129105</v>
      </c>
      <c r="R56" s="7">
        <f t="shared" si="58"/>
        <v>130025</v>
      </c>
      <c r="S56" s="6">
        <f t="shared" si="58"/>
        <v>261890.95833333328</v>
      </c>
      <c r="T56" s="7">
        <f t="shared" si="58"/>
        <v>270519.08333333326</v>
      </c>
      <c r="U56" s="7">
        <f t="shared" si="58"/>
        <v>279147.20833333326</v>
      </c>
      <c r="V56" s="7">
        <f t="shared" si="58"/>
        <v>280047.20833333326</v>
      </c>
      <c r="W56" s="7">
        <f t="shared" si="58"/>
        <v>280947.20833333326</v>
      </c>
      <c r="X56" s="7">
        <f t="shared" si="58"/>
        <v>281847.20833333326</v>
      </c>
      <c r="Y56" s="7">
        <f t="shared" si="58"/>
        <v>287899.29166666663</v>
      </c>
      <c r="Z56" s="7">
        <f t="shared" si="58"/>
        <v>288799.29166666663</v>
      </c>
      <c r="AA56" s="7">
        <f t="shared" si="58"/>
        <v>289699.29166666663</v>
      </c>
      <c r="AB56" s="7">
        <f t="shared" si="58"/>
        <v>290599.29166666663</v>
      </c>
      <c r="AC56" s="7">
        <f t="shared" si="58"/>
        <v>291499.29166666663</v>
      </c>
      <c r="AD56" s="7">
        <f t="shared" si="58"/>
        <v>292399.29166666663</v>
      </c>
      <c r="AE56" s="6">
        <f t="shared" si="58"/>
        <v>324211.79166666663</v>
      </c>
      <c r="AF56" s="7">
        <f t="shared" si="58"/>
        <v>325111.79166666663</v>
      </c>
      <c r="AG56" s="7">
        <f t="shared" si="58"/>
        <v>326011.79166666663</v>
      </c>
      <c r="AH56" s="7">
        <f t="shared" si="58"/>
        <v>326911.79166666663</v>
      </c>
      <c r="AI56" s="7">
        <f t="shared" si="58"/>
        <v>327811.79166666663</v>
      </c>
      <c r="AJ56" s="7">
        <f t="shared" si="58"/>
        <v>341591.99999999988</v>
      </c>
      <c r="AK56" s="7">
        <f t="shared" si="58"/>
        <v>342491.99999999988</v>
      </c>
      <c r="AL56" s="7">
        <f t="shared" si="58"/>
        <v>343391.99999999988</v>
      </c>
      <c r="AM56" s="7">
        <f t="shared" si="58"/>
        <v>344291.99999999988</v>
      </c>
      <c r="AN56" s="7">
        <f t="shared" si="58"/>
        <v>345191.99999999988</v>
      </c>
      <c r="AO56" s="7">
        <f t="shared" si="58"/>
        <v>346091.99999999988</v>
      </c>
      <c r="AP56" s="7">
        <f t="shared" si="58"/>
        <v>346991.99999999988</v>
      </c>
      <c r="AQ56" s="111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111"/>
      <c r="BD56" s="111"/>
      <c r="BE56" s="30"/>
      <c r="BF56" s="30"/>
      <c r="BG56" s="30"/>
      <c r="BH56" s="111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</row>
    <row r="57" spans="1:79" ht="14.25" customHeight="1" outlineLevel="1" x14ac:dyDescent="0.25">
      <c r="A57" s="22" t="s">
        <v>194</v>
      </c>
      <c r="B57" s="22" t="s">
        <v>195</v>
      </c>
      <c r="C57" s="11">
        <v>26115.07</v>
      </c>
      <c r="D57" s="64">
        <v>2000</v>
      </c>
      <c r="E57" s="64"/>
      <c r="F57" s="112" t="s">
        <v>196</v>
      </c>
      <c r="G57" s="82"/>
      <c r="H57" s="82"/>
      <c r="I57" s="82"/>
      <c r="J57" s="82"/>
      <c r="K57" s="82"/>
      <c r="L57" s="22"/>
      <c r="M57" s="11">
        <f t="shared" ref="M57:M59" si="59">$D57</f>
        <v>2000</v>
      </c>
      <c r="N57" s="11">
        <f t="shared" ref="N57:R57" si="60">M57</f>
        <v>2000</v>
      </c>
      <c r="O57" s="11">
        <f t="shared" si="60"/>
        <v>2000</v>
      </c>
      <c r="P57" s="11">
        <f t="shared" si="60"/>
        <v>2000</v>
      </c>
      <c r="Q57" s="11">
        <f t="shared" si="60"/>
        <v>2000</v>
      </c>
      <c r="R57" s="11">
        <f t="shared" si="60"/>
        <v>2000</v>
      </c>
      <c r="S57" s="50">
        <f t="shared" ref="S57:AP57" si="61">R57+$E57</f>
        <v>2000</v>
      </c>
      <c r="T57" s="11">
        <f t="shared" si="61"/>
        <v>2000</v>
      </c>
      <c r="U57" s="11">
        <f t="shared" si="61"/>
        <v>2000</v>
      </c>
      <c r="V57" s="11">
        <f t="shared" si="61"/>
        <v>2000</v>
      </c>
      <c r="W57" s="11">
        <f t="shared" si="61"/>
        <v>2000</v>
      </c>
      <c r="X57" s="11">
        <f t="shared" si="61"/>
        <v>2000</v>
      </c>
      <c r="Y57" s="11">
        <f t="shared" si="61"/>
        <v>2000</v>
      </c>
      <c r="Z57" s="11">
        <f t="shared" si="61"/>
        <v>2000</v>
      </c>
      <c r="AA57" s="11">
        <f t="shared" si="61"/>
        <v>2000</v>
      </c>
      <c r="AB57" s="11">
        <f t="shared" si="61"/>
        <v>2000</v>
      </c>
      <c r="AC57" s="11">
        <f t="shared" si="61"/>
        <v>2000</v>
      </c>
      <c r="AD57" s="11">
        <f t="shared" si="61"/>
        <v>2000</v>
      </c>
      <c r="AE57" s="50">
        <f t="shared" si="61"/>
        <v>2000</v>
      </c>
      <c r="AF57" s="11">
        <f t="shared" si="61"/>
        <v>2000</v>
      </c>
      <c r="AG57" s="11">
        <f t="shared" si="61"/>
        <v>2000</v>
      </c>
      <c r="AH57" s="11">
        <f t="shared" si="61"/>
        <v>2000</v>
      </c>
      <c r="AI57" s="11">
        <f t="shared" si="61"/>
        <v>2000</v>
      </c>
      <c r="AJ57" s="11">
        <f t="shared" si="61"/>
        <v>2000</v>
      </c>
      <c r="AK57" s="11">
        <f t="shared" si="61"/>
        <v>2000</v>
      </c>
      <c r="AL57" s="11">
        <f t="shared" si="61"/>
        <v>2000</v>
      </c>
      <c r="AM57" s="11">
        <f t="shared" si="61"/>
        <v>2000</v>
      </c>
      <c r="AN57" s="11">
        <f t="shared" si="61"/>
        <v>2000</v>
      </c>
      <c r="AO57" s="11">
        <f t="shared" si="61"/>
        <v>2000</v>
      </c>
      <c r="AP57" s="11">
        <f t="shared" si="61"/>
        <v>2000</v>
      </c>
      <c r="AQ57" s="31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31"/>
      <c r="BD57" s="31"/>
      <c r="BE57" s="22"/>
      <c r="BF57" s="22"/>
      <c r="BG57" s="22"/>
      <c r="BH57" s="31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</row>
    <row r="58" spans="1:79" ht="14.25" customHeight="1" outlineLevel="1" x14ac:dyDescent="0.25">
      <c r="A58" s="22" t="s">
        <v>194</v>
      </c>
      <c r="B58" s="22" t="s">
        <v>197</v>
      </c>
      <c r="C58" s="11">
        <v>1294.1500000000001</v>
      </c>
      <c r="D58" s="64">
        <v>800</v>
      </c>
      <c r="E58" s="64"/>
      <c r="F58" s="112" t="s">
        <v>196</v>
      </c>
      <c r="G58" s="82"/>
      <c r="H58" s="82"/>
      <c r="I58" s="82"/>
      <c r="J58" s="82"/>
      <c r="K58" s="82"/>
      <c r="L58" s="22"/>
      <c r="M58" s="11">
        <f t="shared" si="59"/>
        <v>800</v>
      </c>
      <c r="N58" s="11">
        <f t="shared" ref="N58:R58" si="62">M58+20</f>
        <v>820</v>
      </c>
      <c r="O58" s="11">
        <f t="shared" si="62"/>
        <v>840</v>
      </c>
      <c r="P58" s="11">
        <f t="shared" si="62"/>
        <v>860</v>
      </c>
      <c r="Q58" s="11">
        <f t="shared" si="62"/>
        <v>880</v>
      </c>
      <c r="R58" s="11">
        <f t="shared" si="62"/>
        <v>900</v>
      </c>
      <c r="S58" s="50">
        <f t="shared" ref="S58:AP58" si="63">R58+$E58</f>
        <v>900</v>
      </c>
      <c r="T58" s="11">
        <f t="shared" si="63"/>
        <v>900</v>
      </c>
      <c r="U58" s="11">
        <f t="shared" si="63"/>
        <v>900</v>
      </c>
      <c r="V58" s="11">
        <f t="shared" si="63"/>
        <v>900</v>
      </c>
      <c r="W58" s="11">
        <f t="shared" si="63"/>
        <v>900</v>
      </c>
      <c r="X58" s="11">
        <f t="shared" si="63"/>
        <v>900</v>
      </c>
      <c r="Y58" s="11">
        <f t="shared" si="63"/>
        <v>900</v>
      </c>
      <c r="Z58" s="11">
        <f t="shared" si="63"/>
        <v>900</v>
      </c>
      <c r="AA58" s="11">
        <f t="shared" si="63"/>
        <v>900</v>
      </c>
      <c r="AB58" s="11">
        <f t="shared" si="63"/>
        <v>900</v>
      </c>
      <c r="AC58" s="11">
        <f t="shared" si="63"/>
        <v>900</v>
      </c>
      <c r="AD58" s="11">
        <f t="shared" si="63"/>
        <v>900</v>
      </c>
      <c r="AE58" s="50">
        <f t="shared" si="63"/>
        <v>900</v>
      </c>
      <c r="AF58" s="11">
        <f t="shared" si="63"/>
        <v>900</v>
      </c>
      <c r="AG58" s="11">
        <f t="shared" si="63"/>
        <v>900</v>
      </c>
      <c r="AH58" s="11">
        <f t="shared" si="63"/>
        <v>900</v>
      </c>
      <c r="AI58" s="11">
        <f t="shared" si="63"/>
        <v>900</v>
      </c>
      <c r="AJ58" s="11">
        <f t="shared" si="63"/>
        <v>900</v>
      </c>
      <c r="AK58" s="11">
        <f t="shared" si="63"/>
        <v>900</v>
      </c>
      <c r="AL58" s="11">
        <f t="shared" si="63"/>
        <v>900</v>
      </c>
      <c r="AM58" s="11">
        <f t="shared" si="63"/>
        <v>900</v>
      </c>
      <c r="AN58" s="11">
        <f t="shared" si="63"/>
        <v>900</v>
      </c>
      <c r="AO58" s="11">
        <f t="shared" si="63"/>
        <v>900</v>
      </c>
      <c r="AP58" s="11">
        <f t="shared" si="63"/>
        <v>900</v>
      </c>
      <c r="AQ58" s="31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31"/>
      <c r="BD58" s="31"/>
      <c r="BE58" s="22"/>
      <c r="BF58" s="22"/>
      <c r="BG58" s="22"/>
      <c r="BH58" s="31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</row>
    <row r="59" spans="1:79" ht="14.25" customHeight="1" outlineLevel="1" x14ac:dyDescent="0.25">
      <c r="A59" s="22" t="s">
        <v>194</v>
      </c>
      <c r="B59" s="22" t="s">
        <v>198</v>
      </c>
      <c r="C59" s="11">
        <v>8786.5400000000009</v>
      </c>
      <c r="D59" s="64">
        <v>1800</v>
      </c>
      <c r="E59" s="64"/>
      <c r="F59" s="112" t="s">
        <v>196</v>
      </c>
      <c r="G59" s="82"/>
      <c r="H59" s="82"/>
      <c r="I59" s="82"/>
      <c r="J59" s="82"/>
      <c r="K59" s="82"/>
      <c r="L59" s="22"/>
      <c r="M59" s="11">
        <f t="shared" si="59"/>
        <v>1800</v>
      </c>
      <c r="N59" s="11">
        <f t="shared" ref="N59:R59" si="64">$D59</f>
        <v>1800</v>
      </c>
      <c r="O59" s="11">
        <f t="shared" si="64"/>
        <v>1800</v>
      </c>
      <c r="P59" s="11">
        <f t="shared" si="64"/>
        <v>1800</v>
      </c>
      <c r="Q59" s="11">
        <f t="shared" si="64"/>
        <v>1800</v>
      </c>
      <c r="R59" s="11">
        <f t="shared" si="64"/>
        <v>1800</v>
      </c>
      <c r="S59" s="50">
        <f t="shared" ref="S59:AP59" si="65">R59+$E59</f>
        <v>1800</v>
      </c>
      <c r="T59" s="11">
        <f t="shared" si="65"/>
        <v>1800</v>
      </c>
      <c r="U59" s="11">
        <f t="shared" si="65"/>
        <v>1800</v>
      </c>
      <c r="V59" s="11">
        <f t="shared" si="65"/>
        <v>1800</v>
      </c>
      <c r="W59" s="11">
        <f t="shared" si="65"/>
        <v>1800</v>
      </c>
      <c r="X59" s="11">
        <f t="shared" si="65"/>
        <v>1800</v>
      </c>
      <c r="Y59" s="11">
        <f t="shared" si="65"/>
        <v>1800</v>
      </c>
      <c r="Z59" s="11">
        <f t="shared" si="65"/>
        <v>1800</v>
      </c>
      <c r="AA59" s="11">
        <f t="shared" si="65"/>
        <v>1800</v>
      </c>
      <c r="AB59" s="11">
        <f t="shared" si="65"/>
        <v>1800</v>
      </c>
      <c r="AC59" s="11">
        <f t="shared" si="65"/>
        <v>1800</v>
      </c>
      <c r="AD59" s="11">
        <f t="shared" si="65"/>
        <v>1800</v>
      </c>
      <c r="AE59" s="50">
        <f t="shared" si="65"/>
        <v>1800</v>
      </c>
      <c r="AF59" s="11">
        <f t="shared" si="65"/>
        <v>1800</v>
      </c>
      <c r="AG59" s="11">
        <f t="shared" si="65"/>
        <v>1800</v>
      </c>
      <c r="AH59" s="11">
        <f t="shared" si="65"/>
        <v>1800</v>
      </c>
      <c r="AI59" s="11">
        <f t="shared" si="65"/>
        <v>1800</v>
      </c>
      <c r="AJ59" s="11">
        <f t="shared" si="65"/>
        <v>1800</v>
      </c>
      <c r="AK59" s="11">
        <f t="shared" si="65"/>
        <v>1800</v>
      </c>
      <c r="AL59" s="11">
        <f t="shared" si="65"/>
        <v>1800</v>
      </c>
      <c r="AM59" s="11">
        <f t="shared" si="65"/>
        <v>1800</v>
      </c>
      <c r="AN59" s="11">
        <f t="shared" si="65"/>
        <v>1800</v>
      </c>
      <c r="AO59" s="11">
        <f t="shared" si="65"/>
        <v>1800</v>
      </c>
      <c r="AP59" s="11">
        <f t="shared" si="65"/>
        <v>1800</v>
      </c>
      <c r="AQ59" s="31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31"/>
      <c r="BD59" s="31"/>
      <c r="BE59" s="22"/>
      <c r="BF59" s="22"/>
      <c r="BG59" s="22"/>
      <c r="BH59" s="31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</row>
    <row r="60" spans="1:79" ht="14.25" customHeight="1" outlineLevel="1" x14ac:dyDescent="0.25">
      <c r="A60" s="22" t="s">
        <v>194</v>
      </c>
      <c r="B60" s="22" t="s">
        <v>199</v>
      </c>
      <c r="C60" s="11">
        <v>27466.39</v>
      </c>
      <c r="D60" s="64">
        <v>4200</v>
      </c>
      <c r="E60" s="64">
        <v>100</v>
      </c>
      <c r="F60" s="112" t="s">
        <v>196</v>
      </c>
      <c r="G60" s="82"/>
      <c r="H60" s="82"/>
      <c r="I60" s="82"/>
      <c r="J60" s="82"/>
      <c r="K60" s="82"/>
      <c r="L60" s="22"/>
      <c r="M60" s="11">
        <f t="shared" ref="M60:M61" si="66">D60</f>
        <v>4200</v>
      </c>
      <c r="N60" s="11">
        <f t="shared" ref="N60:AP60" si="67">M60+$E60</f>
        <v>4300</v>
      </c>
      <c r="O60" s="11">
        <f t="shared" si="67"/>
        <v>4400</v>
      </c>
      <c r="P60" s="11">
        <f t="shared" si="67"/>
        <v>4500</v>
      </c>
      <c r="Q60" s="11">
        <f t="shared" si="67"/>
        <v>4600</v>
      </c>
      <c r="R60" s="11">
        <f t="shared" si="67"/>
        <v>4700</v>
      </c>
      <c r="S60" s="50">
        <f t="shared" si="67"/>
        <v>4800</v>
      </c>
      <c r="T60" s="11">
        <f t="shared" si="67"/>
        <v>4900</v>
      </c>
      <c r="U60" s="11">
        <f t="shared" si="67"/>
        <v>5000</v>
      </c>
      <c r="V60" s="11">
        <f t="shared" si="67"/>
        <v>5100</v>
      </c>
      <c r="W60" s="11">
        <f t="shared" si="67"/>
        <v>5200</v>
      </c>
      <c r="X60" s="11">
        <f t="shared" si="67"/>
        <v>5300</v>
      </c>
      <c r="Y60" s="11">
        <f t="shared" si="67"/>
        <v>5400</v>
      </c>
      <c r="Z60" s="11">
        <f t="shared" si="67"/>
        <v>5500</v>
      </c>
      <c r="AA60" s="11">
        <f t="shared" si="67"/>
        <v>5600</v>
      </c>
      <c r="AB60" s="11">
        <f t="shared" si="67"/>
        <v>5700</v>
      </c>
      <c r="AC60" s="11">
        <f t="shared" si="67"/>
        <v>5800</v>
      </c>
      <c r="AD60" s="11">
        <f t="shared" si="67"/>
        <v>5900</v>
      </c>
      <c r="AE60" s="50">
        <f t="shared" si="67"/>
        <v>6000</v>
      </c>
      <c r="AF60" s="11">
        <f t="shared" si="67"/>
        <v>6100</v>
      </c>
      <c r="AG60" s="11">
        <f t="shared" si="67"/>
        <v>6200</v>
      </c>
      <c r="AH60" s="11">
        <f t="shared" si="67"/>
        <v>6300</v>
      </c>
      <c r="AI60" s="11">
        <f t="shared" si="67"/>
        <v>6400</v>
      </c>
      <c r="AJ60" s="11">
        <f t="shared" si="67"/>
        <v>6500</v>
      </c>
      <c r="AK60" s="11">
        <f t="shared" si="67"/>
        <v>6600</v>
      </c>
      <c r="AL60" s="11">
        <f t="shared" si="67"/>
        <v>6700</v>
      </c>
      <c r="AM60" s="11">
        <f t="shared" si="67"/>
        <v>6800</v>
      </c>
      <c r="AN60" s="11">
        <f t="shared" si="67"/>
        <v>6900</v>
      </c>
      <c r="AO60" s="11">
        <f t="shared" si="67"/>
        <v>7000</v>
      </c>
      <c r="AP60" s="11">
        <f t="shared" si="67"/>
        <v>7100</v>
      </c>
      <c r="AQ60" s="31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31"/>
      <c r="BD60" s="31"/>
      <c r="BE60" s="22"/>
      <c r="BF60" s="22"/>
      <c r="BG60" s="22"/>
      <c r="BH60" s="31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</row>
    <row r="61" spans="1:79" ht="14.25" customHeight="1" outlineLevel="1" x14ac:dyDescent="0.25">
      <c r="A61" s="22" t="s">
        <v>194</v>
      </c>
      <c r="B61" s="22" t="s">
        <v>200</v>
      </c>
      <c r="C61" s="11">
        <f>40819.99+3235</f>
        <v>44054.99</v>
      </c>
      <c r="D61" s="64">
        <v>7500</v>
      </c>
      <c r="E61" s="64">
        <v>250</v>
      </c>
      <c r="F61" s="112" t="s">
        <v>196</v>
      </c>
      <c r="G61" s="82"/>
      <c r="H61" s="82"/>
      <c r="I61" s="82"/>
      <c r="J61" s="82"/>
      <c r="K61" s="82"/>
      <c r="L61" s="22"/>
      <c r="M61" s="11">
        <f t="shared" si="66"/>
        <v>7500</v>
      </c>
      <c r="N61" s="11">
        <f t="shared" ref="N61:AP61" si="68">M61+$E61</f>
        <v>7750</v>
      </c>
      <c r="O61" s="11">
        <f t="shared" si="68"/>
        <v>8000</v>
      </c>
      <c r="P61" s="11">
        <f t="shared" si="68"/>
        <v>8250</v>
      </c>
      <c r="Q61" s="11">
        <f t="shared" si="68"/>
        <v>8500</v>
      </c>
      <c r="R61" s="11">
        <f t="shared" si="68"/>
        <v>8750</v>
      </c>
      <c r="S61" s="50">
        <f t="shared" si="68"/>
        <v>9000</v>
      </c>
      <c r="T61" s="11">
        <f t="shared" si="68"/>
        <v>9250</v>
      </c>
      <c r="U61" s="11">
        <f t="shared" si="68"/>
        <v>9500</v>
      </c>
      <c r="V61" s="11">
        <f t="shared" si="68"/>
        <v>9750</v>
      </c>
      <c r="W61" s="11">
        <f t="shared" si="68"/>
        <v>10000</v>
      </c>
      <c r="X61" s="11">
        <f t="shared" si="68"/>
        <v>10250</v>
      </c>
      <c r="Y61" s="11">
        <f t="shared" si="68"/>
        <v>10500</v>
      </c>
      <c r="Z61" s="11">
        <f t="shared" si="68"/>
        <v>10750</v>
      </c>
      <c r="AA61" s="11">
        <f t="shared" si="68"/>
        <v>11000</v>
      </c>
      <c r="AB61" s="11">
        <f t="shared" si="68"/>
        <v>11250</v>
      </c>
      <c r="AC61" s="11">
        <f t="shared" si="68"/>
        <v>11500</v>
      </c>
      <c r="AD61" s="11">
        <f t="shared" si="68"/>
        <v>11750</v>
      </c>
      <c r="AE61" s="50">
        <f t="shared" si="68"/>
        <v>12000</v>
      </c>
      <c r="AF61" s="11">
        <f t="shared" si="68"/>
        <v>12250</v>
      </c>
      <c r="AG61" s="11">
        <f t="shared" si="68"/>
        <v>12500</v>
      </c>
      <c r="AH61" s="11">
        <f t="shared" si="68"/>
        <v>12750</v>
      </c>
      <c r="AI61" s="11">
        <f t="shared" si="68"/>
        <v>13000</v>
      </c>
      <c r="AJ61" s="11">
        <f t="shared" si="68"/>
        <v>13250</v>
      </c>
      <c r="AK61" s="11">
        <f t="shared" si="68"/>
        <v>13500</v>
      </c>
      <c r="AL61" s="11">
        <f t="shared" si="68"/>
        <v>13750</v>
      </c>
      <c r="AM61" s="11">
        <f t="shared" si="68"/>
        <v>14000</v>
      </c>
      <c r="AN61" s="11">
        <f t="shared" si="68"/>
        <v>14250</v>
      </c>
      <c r="AO61" s="11">
        <f t="shared" si="68"/>
        <v>14500</v>
      </c>
      <c r="AP61" s="11">
        <f t="shared" si="68"/>
        <v>14750</v>
      </c>
      <c r="AQ61" s="31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31"/>
      <c r="BD61" s="31"/>
      <c r="BE61" s="22"/>
      <c r="BF61" s="22"/>
      <c r="BG61" s="22"/>
      <c r="BH61" s="31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</row>
    <row r="62" spans="1:79" ht="14.25" customHeight="1" outlineLevel="1" x14ac:dyDescent="0.25">
      <c r="A62" s="22" t="s">
        <v>194</v>
      </c>
      <c r="B62" s="22" t="s">
        <v>201</v>
      </c>
      <c r="C62" s="11">
        <v>36851.29</v>
      </c>
      <c r="D62" s="64">
        <v>4500</v>
      </c>
      <c r="E62" s="64">
        <v>100</v>
      </c>
      <c r="F62" s="112" t="s">
        <v>196</v>
      </c>
      <c r="G62" s="82"/>
      <c r="H62" s="82"/>
      <c r="I62" s="82"/>
      <c r="J62" s="82"/>
      <c r="K62" s="82"/>
      <c r="L62" s="22"/>
      <c r="M62" s="11">
        <f>$D62</f>
        <v>4500</v>
      </c>
      <c r="N62" s="11">
        <f t="shared" ref="N62:AP62" si="69">M62+$E62</f>
        <v>4600</v>
      </c>
      <c r="O62" s="11">
        <f t="shared" si="69"/>
        <v>4700</v>
      </c>
      <c r="P62" s="11">
        <f t="shared" si="69"/>
        <v>4800</v>
      </c>
      <c r="Q62" s="11">
        <f t="shared" si="69"/>
        <v>4900</v>
      </c>
      <c r="R62" s="11">
        <f t="shared" si="69"/>
        <v>5000</v>
      </c>
      <c r="S62" s="50">
        <f t="shared" si="69"/>
        <v>5100</v>
      </c>
      <c r="T62" s="11">
        <f t="shared" si="69"/>
        <v>5200</v>
      </c>
      <c r="U62" s="11">
        <f t="shared" si="69"/>
        <v>5300</v>
      </c>
      <c r="V62" s="11">
        <f t="shared" si="69"/>
        <v>5400</v>
      </c>
      <c r="W62" s="11">
        <f t="shared" si="69"/>
        <v>5500</v>
      </c>
      <c r="X62" s="11">
        <f t="shared" si="69"/>
        <v>5600</v>
      </c>
      <c r="Y62" s="11">
        <f t="shared" si="69"/>
        <v>5700</v>
      </c>
      <c r="Z62" s="11">
        <f t="shared" si="69"/>
        <v>5800</v>
      </c>
      <c r="AA62" s="11">
        <f t="shared" si="69"/>
        <v>5900</v>
      </c>
      <c r="AB62" s="11">
        <f t="shared" si="69"/>
        <v>6000</v>
      </c>
      <c r="AC62" s="11">
        <f t="shared" si="69"/>
        <v>6100</v>
      </c>
      <c r="AD62" s="11">
        <f t="shared" si="69"/>
        <v>6200</v>
      </c>
      <c r="AE62" s="50">
        <f t="shared" si="69"/>
        <v>6300</v>
      </c>
      <c r="AF62" s="11">
        <f t="shared" si="69"/>
        <v>6400</v>
      </c>
      <c r="AG62" s="11">
        <f t="shared" si="69"/>
        <v>6500</v>
      </c>
      <c r="AH62" s="11">
        <f t="shared" si="69"/>
        <v>6600</v>
      </c>
      <c r="AI62" s="11">
        <f t="shared" si="69"/>
        <v>6700</v>
      </c>
      <c r="AJ62" s="11">
        <f t="shared" si="69"/>
        <v>6800</v>
      </c>
      <c r="AK62" s="11">
        <f t="shared" si="69"/>
        <v>6900</v>
      </c>
      <c r="AL62" s="11">
        <f t="shared" si="69"/>
        <v>7000</v>
      </c>
      <c r="AM62" s="11">
        <f t="shared" si="69"/>
        <v>7100</v>
      </c>
      <c r="AN62" s="11">
        <f t="shared" si="69"/>
        <v>7200</v>
      </c>
      <c r="AO62" s="11">
        <f t="shared" si="69"/>
        <v>7300</v>
      </c>
      <c r="AP62" s="11">
        <f t="shared" si="69"/>
        <v>7400</v>
      </c>
      <c r="AQ62" s="31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31"/>
      <c r="BD62" s="31"/>
      <c r="BE62" s="22"/>
      <c r="BF62" s="22"/>
      <c r="BG62" s="22"/>
      <c r="BH62" s="31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</row>
    <row r="63" spans="1:79" ht="14.25" customHeight="1" outlineLevel="1" x14ac:dyDescent="0.25">
      <c r="A63" s="22" t="s">
        <v>194</v>
      </c>
      <c r="B63" s="22" t="s">
        <v>202</v>
      </c>
      <c r="C63" s="11">
        <v>28976.73</v>
      </c>
      <c r="D63" s="64">
        <v>3600</v>
      </c>
      <c r="E63" s="64">
        <v>50</v>
      </c>
      <c r="F63" s="112" t="s">
        <v>196</v>
      </c>
      <c r="G63" s="82"/>
      <c r="H63" s="82"/>
      <c r="I63" s="82"/>
      <c r="J63" s="82"/>
      <c r="K63" s="82"/>
      <c r="L63" s="22"/>
      <c r="M63" s="11">
        <f t="shared" ref="M63:M69" si="70">D63</f>
        <v>3600</v>
      </c>
      <c r="N63" s="11">
        <f t="shared" ref="N63:AP63" si="71">M63+$E63</f>
        <v>3650</v>
      </c>
      <c r="O63" s="11">
        <f t="shared" si="71"/>
        <v>3700</v>
      </c>
      <c r="P63" s="11">
        <f t="shared" si="71"/>
        <v>3750</v>
      </c>
      <c r="Q63" s="11">
        <f t="shared" si="71"/>
        <v>3800</v>
      </c>
      <c r="R63" s="11">
        <f t="shared" si="71"/>
        <v>3850</v>
      </c>
      <c r="S63" s="50">
        <f t="shared" si="71"/>
        <v>3900</v>
      </c>
      <c r="T63" s="11">
        <f t="shared" si="71"/>
        <v>3950</v>
      </c>
      <c r="U63" s="11">
        <f t="shared" si="71"/>
        <v>4000</v>
      </c>
      <c r="V63" s="11">
        <f t="shared" si="71"/>
        <v>4050</v>
      </c>
      <c r="W63" s="11">
        <f t="shared" si="71"/>
        <v>4100</v>
      </c>
      <c r="X63" s="11">
        <f t="shared" si="71"/>
        <v>4150</v>
      </c>
      <c r="Y63" s="11">
        <f t="shared" si="71"/>
        <v>4200</v>
      </c>
      <c r="Z63" s="11">
        <f t="shared" si="71"/>
        <v>4250</v>
      </c>
      <c r="AA63" s="11">
        <f t="shared" si="71"/>
        <v>4300</v>
      </c>
      <c r="AB63" s="11">
        <f t="shared" si="71"/>
        <v>4350</v>
      </c>
      <c r="AC63" s="11">
        <f t="shared" si="71"/>
        <v>4400</v>
      </c>
      <c r="AD63" s="11">
        <f t="shared" si="71"/>
        <v>4450</v>
      </c>
      <c r="AE63" s="50">
        <f t="shared" si="71"/>
        <v>4500</v>
      </c>
      <c r="AF63" s="11">
        <f t="shared" si="71"/>
        <v>4550</v>
      </c>
      <c r="AG63" s="11">
        <f t="shared" si="71"/>
        <v>4600</v>
      </c>
      <c r="AH63" s="11">
        <f t="shared" si="71"/>
        <v>4650</v>
      </c>
      <c r="AI63" s="11">
        <f t="shared" si="71"/>
        <v>4700</v>
      </c>
      <c r="AJ63" s="11">
        <f t="shared" si="71"/>
        <v>4750</v>
      </c>
      <c r="AK63" s="11">
        <f t="shared" si="71"/>
        <v>4800</v>
      </c>
      <c r="AL63" s="11">
        <f t="shared" si="71"/>
        <v>4850</v>
      </c>
      <c r="AM63" s="11">
        <f t="shared" si="71"/>
        <v>4900</v>
      </c>
      <c r="AN63" s="11">
        <f t="shared" si="71"/>
        <v>4950</v>
      </c>
      <c r="AO63" s="11">
        <f t="shared" si="71"/>
        <v>5000</v>
      </c>
      <c r="AP63" s="11">
        <f t="shared" si="71"/>
        <v>5050</v>
      </c>
      <c r="AQ63" s="31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31"/>
      <c r="BD63" s="31"/>
      <c r="BE63" s="22"/>
      <c r="BF63" s="22"/>
      <c r="BG63" s="22"/>
      <c r="BH63" s="31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</row>
    <row r="64" spans="1:79" ht="14.25" customHeight="1" outlineLevel="1" x14ac:dyDescent="0.25">
      <c r="A64" s="22" t="s">
        <v>194</v>
      </c>
      <c r="B64" s="22" t="s">
        <v>203</v>
      </c>
      <c r="C64" s="11">
        <f>13071.42+3141+2897</f>
        <v>19109.419999999998</v>
      </c>
      <c r="D64" s="64">
        <v>6200</v>
      </c>
      <c r="E64" s="64">
        <v>100</v>
      </c>
      <c r="F64" s="112" t="s">
        <v>196</v>
      </c>
      <c r="G64" s="82"/>
      <c r="H64" s="82"/>
      <c r="I64" s="82"/>
      <c r="J64" s="82"/>
      <c r="K64" s="82"/>
      <c r="L64" s="22"/>
      <c r="M64" s="11">
        <f t="shared" si="70"/>
        <v>6200</v>
      </c>
      <c r="N64" s="11">
        <f t="shared" ref="N64:AP64" si="72">M64+$E64</f>
        <v>6300</v>
      </c>
      <c r="O64" s="11">
        <f t="shared" si="72"/>
        <v>6400</v>
      </c>
      <c r="P64" s="11">
        <f t="shared" si="72"/>
        <v>6500</v>
      </c>
      <c r="Q64" s="11">
        <f t="shared" si="72"/>
        <v>6600</v>
      </c>
      <c r="R64" s="11">
        <f t="shared" si="72"/>
        <v>6700</v>
      </c>
      <c r="S64" s="50">
        <f t="shared" si="72"/>
        <v>6800</v>
      </c>
      <c r="T64" s="11">
        <f t="shared" si="72"/>
        <v>6900</v>
      </c>
      <c r="U64" s="11">
        <f t="shared" si="72"/>
        <v>7000</v>
      </c>
      <c r="V64" s="11">
        <f t="shared" si="72"/>
        <v>7100</v>
      </c>
      <c r="W64" s="11">
        <f t="shared" si="72"/>
        <v>7200</v>
      </c>
      <c r="X64" s="11">
        <f t="shared" si="72"/>
        <v>7300</v>
      </c>
      <c r="Y64" s="11">
        <f t="shared" si="72"/>
        <v>7400</v>
      </c>
      <c r="Z64" s="11">
        <f t="shared" si="72"/>
        <v>7500</v>
      </c>
      <c r="AA64" s="11">
        <f t="shared" si="72"/>
        <v>7600</v>
      </c>
      <c r="AB64" s="11">
        <f t="shared" si="72"/>
        <v>7700</v>
      </c>
      <c r="AC64" s="11">
        <f t="shared" si="72"/>
        <v>7800</v>
      </c>
      <c r="AD64" s="11">
        <f t="shared" si="72"/>
        <v>7900</v>
      </c>
      <c r="AE64" s="50">
        <f t="shared" si="72"/>
        <v>8000</v>
      </c>
      <c r="AF64" s="11">
        <f t="shared" si="72"/>
        <v>8100</v>
      </c>
      <c r="AG64" s="11">
        <f t="shared" si="72"/>
        <v>8200</v>
      </c>
      <c r="AH64" s="11">
        <f t="shared" si="72"/>
        <v>8300</v>
      </c>
      <c r="AI64" s="11">
        <f t="shared" si="72"/>
        <v>8400</v>
      </c>
      <c r="AJ64" s="11">
        <f t="shared" si="72"/>
        <v>8500</v>
      </c>
      <c r="AK64" s="11">
        <f t="shared" si="72"/>
        <v>8600</v>
      </c>
      <c r="AL64" s="11">
        <f t="shared" si="72"/>
        <v>8700</v>
      </c>
      <c r="AM64" s="11">
        <f t="shared" si="72"/>
        <v>8800</v>
      </c>
      <c r="AN64" s="11">
        <f t="shared" si="72"/>
        <v>8900</v>
      </c>
      <c r="AO64" s="11">
        <f t="shared" si="72"/>
        <v>9000</v>
      </c>
      <c r="AP64" s="11">
        <f t="shared" si="72"/>
        <v>9100</v>
      </c>
      <c r="AQ64" s="31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31"/>
      <c r="BD64" s="31"/>
      <c r="BE64" s="22"/>
      <c r="BF64" s="22"/>
      <c r="BG64" s="22"/>
      <c r="BH64" s="31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</row>
    <row r="65" spans="1:79" ht="14.25" customHeight="1" outlineLevel="1" x14ac:dyDescent="0.25">
      <c r="A65" s="22" t="s">
        <v>194</v>
      </c>
      <c r="B65" s="22" t="s">
        <v>204</v>
      </c>
      <c r="C65" s="11">
        <v>77828.27</v>
      </c>
      <c r="D65" s="64">
        <v>6000</v>
      </c>
      <c r="E65" s="64">
        <v>100</v>
      </c>
      <c r="F65" s="112" t="s">
        <v>196</v>
      </c>
      <c r="G65" s="82"/>
      <c r="H65" s="82"/>
      <c r="I65" s="82"/>
      <c r="J65" s="82"/>
      <c r="K65" s="82"/>
      <c r="L65" s="22"/>
      <c r="M65" s="11">
        <f t="shared" si="70"/>
        <v>6000</v>
      </c>
      <c r="N65" s="11">
        <f t="shared" ref="N65:AP65" si="73">M65+$E65</f>
        <v>6100</v>
      </c>
      <c r="O65" s="11">
        <f t="shared" si="73"/>
        <v>6200</v>
      </c>
      <c r="P65" s="11">
        <f t="shared" si="73"/>
        <v>6300</v>
      </c>
      <c r="Q65" s="11">
        <f t="shared" si="73"/>
        <v>6400</v>
      </c>
      <c r="R65" s="11">
        <f t="shared" si="73"/>
        <v>6500</v>
      </c>
      <c r="S65" s="50">
        <f t="shared" si="73"/>
        <v>6600</v>
      </c>
      <c r="T65" s="11">
        <f t="shared" si="73"/>
        <v>6700</v>
      </c>
      <c r="U65" s="11">
        <f t="shared" si="73"/>
        <v>6800</v>
      </c>
      <c r="V65" s="11">
        <f t="shared" si="73"/>
        <v>6900</v>
      </c>
      <c r="W65" s="11">
        <f t="shared" si="73"/>
        <v>7000</v>
      </c>
      <c r="X65" s="11">
        <f t="shared" si="73"/>
        <v>7100</v>
      </c>
      <c r="Y65" s="11">
        <f t="shared" si="73"/>
        <v>7200</v>
      </c>
      <c r="Z65" s="11">
        <f t="shared" si="73"/>
        <v>7300</v>
      </c>
      <c r="AA65" s="11">
        <f t="shared" si="73"/>
        <v>7400</v>
      </c>
      <c r="AB65" s="11">
        <f t="shared" si="73"/>
        <v>7500</v>
      </c>
      <c r="AC65" s="11">
        <f t="shared" si="73"/>
        <v>7600</v>
      </c>
      <c r="AD65" s="11">
        <f t="shared" si="73"/>
        <v>7700</v>
      </c>
      <c r="AE65" s="50">
        <f t="shared" si="73"/>
        <v>7800</v>
      </c>
      <c r="AF65" s="11">
        <f t="shared" si="73"/>
        <v>7900</v>
      </c>
      <c r="AG65" s="11">
        <f t="shared" si="73"/>
        <v>8000</v>
      </c>
      <c r="AH65" s="11">
        <f t="shared" si="73"/>
        <v>8100</v>
      </c>
      <c r="AI65" s="11">
        <f t="shared" si="73"/>
        <v>8200</v>
      </c>
      <c r="AJ65" s="11">
        <f t="shared" si="73"/>
        <v>8300</v>
      </c>
      <c r="AK65" s="11">
        <f t="shared" si="73"/>
        <v>8400</v>
      </c>
      <c r="AL65" s="11">
        <f t="shared" si="73"/>
        <v>8500</v>
      </c>
      <c r="AM65" s="11">
        <f t="shared" si="73"/>
        <v>8600</v>
      </c>
      <c r="AN65" s="11">
        <f t="shared" si="73"/>
        <v>8700</v>
      </c>
      <c r="AO65" s="11">
        <f t="shared" si="73"/>
        <v>8800</v>
      </c>
      <c r="AP65" s="11">
        <f t="shared" si="73"/>
        <v>8900</v>
      </c>
      <c r="AQ65" s="31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31"/>
      <c r="BD65" s="31"/>
      <c r="BE65" s="22"/>
      <c r="BF65" s="22"/>
      <c r="BG65" s="22"/>
      <c r="BH65" s="31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</row>
    <row r="66" spans="1:79" ht="14.25" customHeight="1" outlineLevel="1" x14ac:dyDescent="0.25">
      <c r="A66" s="22" t="s">
        <v>194</v>
      </c>
      <c r="B66" s="22" t="s">
        <v>205</v>
      </c>
      <c r="C66" s="11">
        <v>26641.64</v>
      </c>
      <c r="D66" s="64">
        <v>4000</v>
      </c>
      <c r="E66" s="64">
        <v>100</v>
      </c>
      <c r="F66" s="112" t="s">
        <v>196</v>
      </c>
      <c r="G66" s="82"/>
      <c r="H66" s="82"/>
      <c r="I66" s="82"/>
      <c r="J66" s="82"/>
      <c r="K66" s="82"/>
      <c r="L66" s="22"/>
      <c r="M66" s="11">
        <f t="shared" si="70"/>
        <v>4000</v>
      </c>
      <c r="N66" s="11">
        <f t="shared" ref="N66:AP66" si="74">M66+$E66</f>
        <v>4100</v>
      </c>
      <c r="O66" s="11">
        <f t="shared" si="74"/>
        <v>4200</v>
      </c>
      <c r="P66" s="11">
        <f t="shared" si="74"/>
        <v>4300</v>
      </c>
      <c r="Q66" s="11">
        <f t="shared" si="74"/>
        <v>4400</v>
      </c>
      <c r="R66" s="11">
        <f t="shared" si="74"/>
        <v>4500</v>
      </c>
      <c r="S66" s="50">
        <f t="shared" si="74"/>
        <v>4600</v>
      </c>
      <c r="T66" s="11">
        <f t="shared" si="74"/>
        <v>4700</v>
      </c>
      <c r="U66" s="11">
        <f t="shared" si="74"/>
        <v>4800</v>
      </c>
      <c r="V66" s="11">
        <f t="shared" si="74"/>
        <v>4900</v>
      </c>
      <c r="W66" s="11">
        <f t="shared" si="74"/>
        <v>5000</v>
      </c>
      <c r="X66" s="11">
        <f t="shared" si="74"/>
        <v>5100</v>
      </c>
      <c r="Y66" s="11">
        <f t="shared" si="74"/>
        <v>5200</v>
      </c>
      <c r="Z66" s="11">
        <f t="shared" si="74"/>
        <v>5300</v>
      </c>
      <c r="AA66" s="11">
        <f t="shared" si="74"/>
        <v>5400</v>
      </c>
      <c r="AB66" s="11">
        <f t="shared" si="74"/>
        <v>5500</v>
      </c>
      <c r="AC66" s="11">
        <f t="shared" si="74"/>
        <v>5600</v>
      </c>
      <c r="AD66" s="11">
        <f t="shared" si="74"/>
        <v>5700</v>
      </c>
      <c r="AE66" s="50">
        <f t="shared" si="74"/>
        <v>5800</v>
      </c>
      <c r="AF66" s="11">
        <f t="shared" si="74"/>
        <v>5900</v>
      </c>
      <c r="AG66" s="11">
        <f t="shared" si="74"/>
        <v>6000</v>
      </c>
      <c r="AH66" s="11">
        <f t="shared" si="74"/>
        <v>6100</v>
      </c>
      <c r="AI66" s="11">
        <f t="shared" si="74"/>
        <v>6200</v>
      </c>
      <c r="AJ66" s="11">
        <f t="shared" si="74"/>
        <v>6300</v>
      </c>
      <c r="AK66" s="11">
        <f t="shared" si="74"/>
        <v>6400</v>
      </c>
      <c r="AL66" s="11">
        <f t="shared" si="74"/>
        <v>6500</v>
      </c>
      <c r="AM66" s="11">
        <f t="shared" si="74"/>
        <v>6600</v>
      </c>
      <c r="AN66" s="11">
        <f t="shared" si="74"/>
        <v>6700</v>
      </c>
      <c r="AO66" s="11">
        <f t="shared" si="74"/>
        <v>6800</v>
      </c>
      <c r="AP66" s="11">
        <f t="shared" si="74"/>
        <v>6900</v>
      </c>
      <c r="AQ66" s="31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31"/>
      <c r="BD66" s="31"/>
      <c r="BE66" s="22"/>
      <c r="BF66" s="22"/>
      <c r="BG66" s="22"/>
      <c r="BH66" s="31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</row>
    <row r="67" spans="1:79" ht="14.25" customHeight="1" outlineLevel="1" x14ac:dyDescent="0.25">
      <c r="A67" s="22" t="s">
        <v>194</v>
      </c>
      <c r="B67" s="22" t="s">
        <v>206</v>
      </c>
      <c r="C67" s="11">
        <v>214658.97999999998</v>
      </c>
      <c r="D67" s="64">
        <v>18000</v>
      </c>
      <c r="E67" s="64"/>
      <c r="F67" s="112" t="s">
        <v>207</v>
      </c>
      <c r="G67" s="82"/>
      <c r="H67" s="82"/>
      <c r="I67" s="82"/>
      <c r="J67" s="82"/>
      <c r="K67" s="82"/>
      <c r="L67" s="22"/>
      <c r="M67" s="11">
        <f t="shared" si="70"/>
        <v>18000</v>
      </c>
      <c r="N67" s="11">
        <f t="shared" ref="N67:R67" si="75">M67</f>
        <v>18000</v>
      </c>
      <c r="O67" s="11">
        <f t="shared" si="75"/>
        <v>18000</v>
      </c>
      <c r="P67" s="11">
        <f t="shared" si="75"/>
        <v>18000</v>
      </c>
      <c r="Q67" s="11">
        <f t="shared" si="75"/>
        <v>18000</v>
      </c>
      <c r="R67" s="11">
        <f t="shared" si="75"/>
        <v>18000</v>
      </c>
      <c r="S67" s="50">
        <f>R67+$E67</f>
        <v>18000</v>
      </c>
      <c r="T67" s="11">
        <f t="shared" ref="T67:X67" si="76">S67</f>
        <v>18000</v>
      </c>
      <c r="U67" s="11">
        <f t="shared" si="76"/>
        <v>18000</v>
      </c>
      <c r="V67" s="11">
        <f t="shared" si="76"/>
        <v>18000</v>
      </c>
      <c r="W67" s="11">
        <f t="shared" si="76"/>
        <v>18000</v>
      </c>
      <c r="X67" s="11">
        <f t="shared" si="76"/>
        <v>18000</v>
      </c>
      <c r="Y67" s="11">
        <f>X67+$E67</f>
        <v>18000</v>
      </c>
      <c r="Z67" s="11">
        <f t="shared" ref="Z67:AC67" si="77">Y67</f>
        <v>18000</v>
      </c>
      <c r="AA67" s="11">
        <f t="shared" si="77"/>
        <v>18000</v>
      </c>
      <c r="AB67" s="11">
        <f t="shared" si="77"/>
        <v>18000</v>
      </c>
      <c r="AC67" s="11">
        <f t="shared" si="77"/>
        <v>18000</v>
      </c>
      <c r="AD67" s="11">
        <f>AC67+$E67</f>
        <v>18000</v>
      </c>
      <c r="AE67" s="50">
        <f t="shared" ref="AE67:AJ67" si="78">AD67</f>
        <v>18000</v>
      </c>
      <c r="AF67" s="11">
        <f t="shared" si="78"/>
        <v>18000</v>
      </c>
      <c r="AG67" s="11">
        <f t="shared" si="78"/>
        <v>18000</v>
      </c>
      <c r="AH67" s="11">
        <f t="shared" si="78"/>
        <v>18000</v>
      </c>
      <c r="AI67" s="11">
        <f t="shared" si="78"/>
        <v>18000</v>
      </c>
      <c r="AJ67" s="11">
        <f t="shared" si="78"/>
        <v>18000</v>
      </c>
      <c r="AK67" s="11">
        <f>AJ67+$E67</f>
        <v>18000</v>
      </c>
      <c r="AL67" s="11">
        <f t="shared" ref="AL67:AP67" si="79">AK67</f>
        <v>18000</v>
      </c>
      <c r="AM67" s="11">
        <f t="shared" si="79"/>
        <v>18000</v>
      </c>
      <c r="AN67" s="11">
        <f t="shared" si="79"/>
        <v>18000</v>
      </c>
      <c r="AO67" s="11">
        <f t="shared" si="79"/>
        <v>18000</v>
      </c>
      <c r="AP67" s="11">
        <f t="shared" si="79"/>
        <v>18000</v>
      </c>
      <c r="AQ67" s="31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1"/>
      <c r="BD67" s="31"/>
      <c r="BE67" s="22"/>
      <c r="BF67" s="22"/>
      <c r="BG67" s="22"/>
      <c r="BH67" s="31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</row>
    <row r="68" spans="1:79" ht="14.25" customHeight="1" outlineLevel="1" x14ac:dyDescent="0.25">
      <c r="A68" s="22" t="s">
        <v>194</v>
      </c>
      <c r="B68" s="22" t="s">
        <v>208</v>
      </c>
      <c r="C68" s="11">
        <v>6358.04</v>
      </c>
      <c r="D68" s="64">
        <v>500</v>
      </c>
      <c r="E68" s="64">
        <v>0</v>
      </c>
      <c r="F68" s="112"/>
      <c r="G68" s="82"/>
      <c r="H68" s="82"/>
      <c r="I68" s="82"/>
      <c r="J68" s="82"/>
      <c r="K68" s="82"/>
      <c r="L68" s="22"/>
      <c r="M68" s="11">
        <f t="shared" si="70"/>
        <v>500</v>
      </c>
      <c r="N68" s="11">
        <f t="shared" ref="N68:AP68" si="80">M68</f>
        <v>500</v>
      </c>
      <c r="O68" s="11">
        <f t="shared" si="80"/>
        <v>500</v>
      </c>
      <c r="P68" s="11">
        <f t="shared" si="80"/>
        <v>500</v>
      </c>
      <c r="Q68" s="11">
        <f t="shared" si="80"/>
        <v>500</v>
      </c>
      <c r="R68" s="11">
        <f t="shared" si="80"/>
        <v>500</v>
      </c>
      <c r="S68" s="50">
        <f t="shared" si="80"/>
        <v>500</v>
      </c>
      <c r="T68" s="11">
        <f t="shared" si="80"/>
        <v>500</v>
      </c>
      <c r="U68" s="11">
        <f t="shared" si="80"/>
        <v>500</v>
      </c>
      <c r="V68" s="11">
        <f t="shared" si="80"/>
        <v>500</v>
      </c>
      <c r="W68" s="11">
        <f t="shared" si="80"/>
        <v>500</v>
      </c>
      <c r="X68" s="11">
        <f t="shared" si="80"/>
        <v>500</v>
      </c>
      <c r="Y68" s="11">
        <f t="shared" si="80"/>
        <v>500</v>
      </c>
      <c r="Z68" s="11">
        <f t="shared" si="80"/>
        <v>500</v>
      </c>
      <c r="AA68" s="11">
        <f t="shared" si="80"/>
        <v>500</v>
      </c>
      <c r="AB68" s="11">
        <f t="shared" si="80"/>
        <v>500</v>
      </c>
      <c r="AC68" s="11">
        <f t="shared" si="80"/>
        <v>500</v>
      </c>
      <c r="AD68" s="11">
        <f t="shared" si="80"/>
        <v>500</v>
      </c>
      <c r="AE68" s="50">
        <f t="shared" si="80"/>
        <v>500</v>
      </c>
      <c r="AF68" s="11">
        <f t="shared" si="80"/>
        <v>500</v>
      </c>
      <c r="AG68" s="11">
        <f t="shared" si="80"/>
        <v>500</v>
      </c>
      <c r="AH68" s="11">
        <f t="shared" si="80"/>
        <v>500</v>
      </c>
      <c r="AI68" s="11">
        <f t="shared" si="80"/>
        <v>500</v>
      </c>
      <c r="AJ68" s="11">
        <f t="shared" si="80"/>
        <v>500</v>
      </c>
      <c r="AK68" s="11">
        <f t="shared" si="80"/>
        <v>500</v>
      </c>
      <c r="AL68" s="11">
        <f t="shared" si="80"/>
        <v>500</v>
      </c>
      <c r="AM68" s="11">
        <f t="shared" si="80"/>
        <v>500</v>
      </c>
      <c r="AN68" s="11">
        <f t="shared" si="80"/>
        <v>500</v>
      </c>
      <c r="AO68" s="11">
        <f t="shared" si="80"/>
        <v>500</v>
      </c>
      <c r="AP68" s="11">
        <f t="shared" si="80"/>
        <v>500</v>
      </c>
      <c r="AQ68" s="31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31"/>
      <c r="BD68" s="31"/>
      <c r="BE68" s="22"/>
      <c r="BF68" s="22"/>
      <c r="BG68" s="22"/>
      <c r="BH68" s="31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</row>
    <row r="69" spans="1:79" ht="14.25" customHeight="1" outlineLevel="1" x14ac:dyDescent="0.25">
      <c r="A69" s="22" t="s">
        <v>194</v>
      </c>
      <c r="B69" s="22" t="s">
        <v>209</v>
      </c>
      <c r="C69" s="11">
        <v>70652.63</v>
      </c>
      <c r="D69" s="64">
        <v>4500</v>
      </c>
      <c r="E69" s="64">
        <v>100</v>
      </c>
      <c r="F69" s="112" t="s">
        <v>210</v>
      </c>
      <c r="G69" s="82"/>
      <c r="H69" s="82"/>
      <c r="I69" s="82"/>
      <c r="J69" s="82"/>
      <c r="K69" s="82"/>
      <c r="L69" s="22"/>
      <c r="M69" s="11">
        <f t="shared" si="70"/>
        <v>4500</v>
      </c>
      <c r="N69" s="11">
        <f t="shared" ref="N69:AP69" si="81">M69+$E69</f>
        <v>4600</v>
      </c>
      <c r="O69" s="11">
        <f t="shared" si="81"/>
        <v>4700</v>
      </c>
      <c r="P69" s="11">
        <f t="shared" si="81"/>
        <v>4800</v>
      </c>
      <c r="Q69" s="11">
        <f t="shared" si="81"/>
        <v>4900</v>
      </c>
      <c r="R69" s="11">
        <f t="shared" si="81"/>
        <v>5000</v>
      </c>
      <c r="S69" s="50">
        <f t="shared" si="81"/>
        <v>5100</v>
      </c>
      <c r="T69" s="11">
        <f t="shared" si="81"/>
        <v>5200</v>
      </c>
      <c r="U69" s="11">
        <f t="shared" si="81"/>
        <v>5300</v>
      </c>
      <c r="V69" s="11">
        <f t="shared" si="81"/>
        <v>5400</v>
      </c>
      <c r="W69" s="11">
        <f t="shared" si="81"/>
        <v>5500</v>
      </c>
      <c r="X69" s="11">
        <f t="shared" si="81"/>
        <v>5600</v>
      </c>
      <c r="Y69" s="11">
        <f t="shared" si="81"/>
        <v>5700</v>
      </c>
      <c r="Z69" s="11">
        <f t="shared" si="81"/>
        <v>5800</v>
      </c>
      <c r="AA69" s="11">
        <f t="shared" si="81"/>
        <v>5900</v>
      </c>
      <c r="AB69" s="11">
        <f t="shared" si="81"/>
        <v>6000</v>
      </c>
      <c r="AC69" s="11">
        <f t="shared" si="81"/>
        <v>6100</v>
      </c>
      <c r="AD69" s="11">
        <f t="shared" si="81"/>
        <v>6200</v>
      </c>
      <c r="AE69" s="50">
        <f t="shared" si="81"/>
        <v>6300</v>
      </c>
      <c r="AF69" s="11">
        <f t="shared" si="81"/>
        <v>6400</v>
      </c>
      <c r="AG69" s="11">
        <f t="shared" si="81"/>
        <v>6500</v>
      </c>
      <c r="AH69" s="11">
        <f t="shared" si="81"/>
        <v>6600</v>
      </c>
      <c r="AI69" s="11">
        <f t="shared" si="81"/>
        <v>6700</v>
      </c>
      <c r="AJ69" s="11">
        <f t="shared" si="81"/>
        <v>6800</v>
      </c>
      <c r="AK69" s="11">
        <f t="shared" si="81"/>
        <v>6900</v>
      </c>
      <c r="AL69" s="11">
        <f t="shared" si="81"/>
        <v>7000</v>
      </c>
      <c r="AM69" s="11">
        <f t="shared" si="81"/>
        <v>7100</v>
      </c>
      <c r="AN69" s="11">
        <f t="shared" si="81"/>
        <v>7200</v>
      </c>
      <c r="AO69" s="11">
        <f t="shared" si="81"/>
        <v>7300</v>
      </c>
      <c r="AP69" s="11">
        <f t="shared" si="81"/>
        <v>7400</v>
      </c>
      <c r="AQ69" s="31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31"/>
      <c r="BD69" s="31"/>
      <c r="BE69" s="22"/>
      <c r="BF69" s="22"/>
      <c r="BG69" s="22"/>
      <c r="BH69" s="31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</row>
    <row r="70" spans="1:79" ht="14.25" customHeight="1" outlineLevel="1" x14ac:dyDescent="0.25">
      <c r="A70" s="22" t="s">
        <v>194</v>
      </c>
      <c r="B70" s="22" t="s">
        <v>161</v>
      </c>
      <c r="C70" s="11"/>
      <c r="D70" s="11"/>
      <c r="E70" s="11"/>
      <c r="F70" s="112"/>
      <c r="G70" s="11">
        <f t="shared" ref="G70:BB70" si="82">G75</f>
        <v>25245.208333333332</v>
      </c>
      <c r="H70" s="11">
        <f t="shared" si="82"/>
        <v>25245.208333333332</v>
      </c>
      <c r="I70" s="11">
        <f t="shared" si="82"/>
        <v>37610.208333333336</v>
      </c>
      <c r="J70" s="11">
        <f t="shared" si="82"/>
        <v>51520.833333333336</v>
      </c>
      <c r="K70" s="11">
        <f t="shared" si="82"/>
        <v>51520.833333333336</v>
      </c>
      <c r="L70" s="11">
        <f t="shared" si="82"/>
        <v>51520.833333333336</v>
      </c>
      <c r="M70" s="11">
        <f t="shared" si="82"/>
        <v>51520.833333333336</v>
      </c>
      <c r="N70" s="11">
        <f t="shared" si="82"/>
        <v>57291.166666666664</v>
      </c>
      <c r="O70" s="11">
        <f t="shared" si="82"/>
        <v>57291.166666666664</v>
      </c>
      <c r="P70" s="11">
        <f t="shared" si="82"/>
        <v>61825</v>
      </c>
      <c r="Q70" s="11">
        <f t="shared" si="82"/>
        <v>61825</v>
      </c>
      <c r="R70" s="11">
        <f t="shared" si="82"/>
        <v>61825</v>
      </c>
      <c r="S70" s="50">
        <f t="shared" si="82"/>
        <v>192790.95833333328</v>
      </c>
      <c r="T70" s="11">
        <f t="shared" si="82"/>
        <v>200519.08333333328</v>
      </c>
      <c r="U70" s="11">
        <f t="shared" si="82"/>
        <v>208247.20833333328</v>
      </c>
      <c r="V70" s="11">
        <f t="shared" si="82"/>
        <v>208247.20833333328</v>
      </c>
      <c r="W70" s="11">
        <f t="shared" si="82"/>
        <v>208247.20833333328</v>
      </c>
      <c r="X70" s="11">
        <f t="shared" si="82"/>
        <v>208247.20833333328</v>
      </c>
      <c r="Y70" s="11">
        <f t="shared" si="82"/>
        <v>213399.2916666666</v>
      </c>
      <c r="Z70" s="11">
        <f t="shared" si="82"/>
        <v>213399.2916666666</v>
      </c>
      <c r="AA70" s="11">
        <f t="shared" si="82"/>
        <v>213399.2916666666</v>
      </c>
      <c r="AB70" s="11">
        <f t="shared" si="82"/>
        <v>213399.2916666666</v>
      </c>
      <c r="AC70" s="11">
        <f t="shared" si="82"/>
        <v>213399.2916666666</v>
      </c>
      <c r="AD70" s="11">
        <f t="shared" si="82"/>
        <v>213399.2916666666</v>
      </c>
      <c r="AE70" s="50">
        <f t="shared" si="82"/>
        <v>244311.7916666666</v>
      </c>
      <c r="AF70" s="11">
        <f t="shared" si="82"/>
        <v>244311.7916666666</v>
      </c>
      <c r="AG70" s="11">
        <f t="shared" si="82"/>
        <v>244311.7916666666</v>
      </c>
      <c r="AH70" s="11">
        <f t="shared" si="82"/>
        <v>244311.7916666666</v>
      </c>
      <c r="AI70" s="11">
        <f t="shared" si="82"/>
        <v>244311.7916666666</v>
      </c>
      <c r="AJ70" s="11">
        <f t="shared" si="82"/>
        <v>257191.99999999991</v>
      </c>
      <c r="AK70" s="11">
        <f t="shared" si="82"/>
        <v>257191.99999999991</v>
      </c>
      <c r="AL70" s="11">
        <f t="shared" si="82"/>
        <v>257191.99999999991</v>
      </c>
      <c r="AM70" s="11">
        <f t="shared" si="82"/>
        <v>257191.99999999991</v>
      </c>
      <c r="AN70" s="11">
        <f t="shared" si="82"/>
        <v>257191.99999999991</v>
      </c>
      <c r="AO70" s="11">
        <f t="shared" si="82"/>
        <v>257191.99999999991</v>
      </c>
      <c r="AP70" s="11">
        <f t="shared" si="82"/>
        <v>257191.99999999991</v>
      </c>
      <c r="AQ70" s="50">
        <f t="shared" si="82"/>
        <v>0</v>
      </c>
      <c r="AR70" s="11">
        <f t="shared" si="82"/>
        <v>0</v>
      </c>
      <c r="AS70" s="11">
        <f t="shared" si="82"/>
        <v>0</v>
      </c>
      <c r="AT70" s="11">
        <f t="shared" si="82"/>
        <v>0</v>
      </c>
      <c r="AU70" s="11">
        <f t="shared" si="82"/>
        <v>0</v>
      </c>
      <c r="AV70" s="11">
        <f t="shared" si="82"/>
        <v>0</v>
      </c>
      <c r="AW70" s="11">
        <f t="shared" si="82"/>
        <v>0</v>
      </c>
      <c r="AX70" s="11">
        <f t="shared" si="82"/>
        <v>0</v>
      </c>
      <c r="AY70" s="11">
        <f t="shared" si="82"/>
        <v>0</v>
      </c>
      <c r="AZ70" s="11">
        <f t="shared" si="82"/>
        <v>0</v>
      </c>
      <c r="BA70" s="11">
        <f t="shared" si="82"/>
        <v>0</v>
      </c>
      <c r="BB70" s="11">
        <f t="shared" si="82"/>
        <v>0</v>
      </c>
      <c r="BC70" s="31"/>
      <c r="BD70" s="31"/>
      <c r="BE70" s="22"/>
      <c r="BF70" s="22"/>
      <c r="BG70" s="22"/>
      <c r="BH70" s="31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</row>
    <row r="71" spans="1:79" ht="14.25" customHeight="1" outlineLevel="1" x14ac:dyDescent="0.25">
      <c r="A71" s="22"/>
      <c r="B71" s="22"/>
      <c r="C71" s="11"/>
      <c r="D71" s="11"/>
      <c r="E71" s="11"/>
      <c r="F71" s="11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50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50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50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31"/>
      <c r="BD71" s="31"/>
      <c r="BE71" s="22"/>
      <c r="BF71" s="22"/>
      <c r="BG71" s="22"/>
      <c r="BH71" s="31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</row>
    <row r="72" spans="1:79" ht="14.25" customHeight="1" outlineLevel="1" x14ac:dyDescent="0.25">
      <c r="A72" s="22"/>
      <c r="B72" s="22"/>
      <c r="C72" s="22"/>
      <c r="D72" s="22"/>
      <c r="E72" s="22"/>
      <c r="F72" s="80"/>
      <c r="G72" s="82"/>
      <c r="H72" s="82"/>
      <c r="I72" s="82"/>
      <c r="J72" s="82"/>
      <c r="K72" s="82"/>
      <c r="L72" s="22"/>
      <c r="M72" s="22"/>
      <c r="N72" s="22"/>
      <c r="O72" s="22"/>
      <c r="P72" s="22"/>
      <c r="Q72" s="22"/>
      <c r="R72" s="22"/>
      <c r="S72" s="31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31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31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31"/>
      <c r="BD72" s="31"/>
      <c r="BE72" s="22"/>
      <c r="BF72" s="22"/>
      <c r="BG72" s="22"/>
      <c r="BH72" s="31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</row>
    <row r="73" spans="1:79" ht="14.25" customHeight="1" outlineLevel="1" x14ac:dyDescent="0.25">
      <c r="A73" s="22"/>
      <c r="B73" s="22"/>
      <c r="C73" s="22"/>
      <c r="D73" s="22"/>
      <c r="E73" s="22"/>
      <c r="F73" s="80"/>
      <c r="G73" s="82"/>
      <c r="H73" s="82"/>
      <c r="I73" s="82"/>
      <c r="J73" s="82"/>
      <c r="K73" s="82"/>
      <c r="L73" s="22"/>
      <c r="M73" s="22"/>
      <c r="N73" s="22"/>
      <c r="O73" s="22"/>
      <c r="P73" s="22"/>
      <c r="Q73" s="22"/>
      <c r="R73" s="22"/>
      <c r="S73" s="31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31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31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31"/>
      <c r="BD73" s="31"/>
      <c r="BE73" s="22"/>
      <c r="BF73" s="22"/>
      <c r="BG73" s="22"/>
      <c r="BH73" s="31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</row>
    <row r="74" spans="1:79" ht="14.25" customHeight="1" outlineLevel="1" x14ac:dyDescent="0.25">
      <c r="A74" s="30" t="s">
        <v>211</v>
      </c>
      <c r="B74" s="30" t="s">
        <v>212</v>
      </c>
      <c r="C74" s="7"/>
      <c r="D74" s="7"/>
      <c r="E74" s="7">
        <f>D74/6</f>
        <v>0</v>
      </c>
      <c r="F74" s="110"/>
      <c r="G74" s="7">
        <f>Staffing!K121</f>
        <v>79805.770833333343</v>
      </c>
      <c r="H74" s="7">
        <f>Staffing!L121</f>
        <v>79805.770833333343</v>
      </c>
      <c r="I74" s="7">
        <f>Staffing!M121</f>
        <v>102577.97916666669</v>
      </c>
      <c r="J74" s="7">
        <f>Staffing!N121</f>
        <v>116488.60416666669</v>
      </c>
      <c r="K74" s="7">
        <f>Staffing!O121</f>
        <v>129368.81250000001</v>
      </c>
      <c r="L74" s="7">
        <f>Staffing!P121</f>
        <v>142249.02083333337</v>
      </c>
      <c r="M74" s="7">
        <f>Staffing!Q121</f>
        <v>153789.68750000003</v>
      </c>
      <c r="N74" s="7">
        <f>Staffing!R121</f>
        <v>159560.02083333337</v>
      </c>
      <c r="O74" s="7">
        <f>Staffing!S121</f>
        <v>159560.02083333337</v>
      </c>
      <c r="P74" s="7">
        <f>Staffing!T121</f>
        <v>164093.85416666669</v>
      </c>
      <c r="Q74" s="7">
        <f>Staffing!U121</f>
        <v>164093.85416666669</v>
      </c>
      <c r="R74" s="7">
        <f>Staffing!V121</f>
        <v>164093.85416666669</v>
      </c>
      <c r="S74" s="6">
        <f>Staffing!W121</f>
        <v>422316.27083333331</v>
      </c>
      <c r="T74" s="7">
        <f>Staffing!X121</f>
        <v>451167.93749999994</v>
      </c>
      <c r="U74" s="7">
        <f>Staffing!Y121</f>
        <v>474352.31249999994</v>
      </c>
      <c r="V74" s="7">
        <f>Staffing!Z121</f>
        <v>505264.8125</v>
      </c>
      <c r="W74" s="7">
        <f>Staffing!AA121</f>
        <v>529994.81249999988</v>
      </c>
      <c r="X74" s="7">
        <f>Staffing!AB121</f>
        <v>542875.02083333326</v>
      </c>
      <c r="Y74" s="7">
        <f>Staffing!AC121</f>
        <v>597487.10416666663</v>
      </c>
      <c r="Z74" s="7">
        <f>Staffing!AD121</f>
        <v>641795.02083333326</v>
      </c>
      <c r="AA74" s="7">
        <f>Staffing!AE121</f>
        <v>660342.52083333314</v>
      </c>
      <c r="AB74" s="7">
        <f>Staffing!AF121</f>
        <v>683526.89583333314</v>
      </c>
      <c r="AC74" s="7">
        <f>Staffing!AG121</f>
        <v>683526.89583333314</v>
      </c>
      <c r="AD74" s="7">
        <f>Staffing!AH121</f>
        <v>711863.3541666664</v>
      </c>
      <c r="AE74" s="6">
        <f>Staffing!AI121</f>
        <v>782962.1041666664</v>
      </c>
      <c r="AF74" s="7">
        <f>Staffing!AJ121</f>
        <v>795842.31249999988</v>
      </c>
      <c r="AG74" s="7">
        <f>Staffing!AK121</f>
        <v>795842.31249999988</v>
      </c>
      <c r="AH74" s="7">
        <f>Staffing!AL121</f>
        <v>808722.52083333314</v>
      </c>
      <c r="AI74" s="7">
        <f>Staffing!AM121</f>
        <v>814389.81249999977</v>
      </c>
      <c r="AJ74" s="7">
        <f>Staffing!AN121</f>
        <v>842726.27083333302</v>
      </c>
      <c r="AK74" s="7">
        <f>Staffing!AO121</f>
        <v>850454.39583333314</v>
      </c>
      <c r="AL74" s="7">
        <f>Staffing!AP121</f>
        <v>860758.56249999988</v>
      </c>
      <c r="AM74" s="7">
        <f>Staffing!AQ121</f>
        <v>876214.81249999988</v>
      </c>
      <c r="AN74" s="7">
        <f>Staffing!AR121</f>
        <v>898368.77083333314</v>
      </c>
      <c r="AO74" s="7">
        <f>Staffing!AS121</f>
        <v>911764.18749999977</v>
      </c>
      <c r="AP74" s="7">
        <f>Staffing!AT121</f>
        <v>922068.3541666664</v>
      </c>
      <c r="AQ74" s="111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111"/>
      <c r="BD74" s="111"/>
      <c r="BE74" s="30"/>
      <c r="BF74" s="30"/>
      <c r="BG74" s="30"/>
      <c r="BH74" s="111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</row>
    <row r="75" spans="1:79" ht="14.25" customHeight="1" outlineLevel="1" x14ac:dyDescent="0.25">
      <c r="A75" s="22"/>
      <c r="B75" s="117" t="s">
        <v>213</v>
      </c>
      <c r="C75" s="11" t="s">
        <v>24</v>
      </c>
      <c r="D75" s="11"/>
      <c r="E75" s="11"/>
      <c r="F75" s="80"/>
      <c r="G75" s="11">
        <f>Staffing!K138</f>
        <v>25245.208333333332</v>
      </c>
      <c r="H75" s="11">
        <f>Staffing!L138</f>
        <v>25245.208333333332</v>
      </c>
      <c r="I75" s="11">
        <f>Staffing!M138</f>
        <v>37610.208333333336</v>
      </c>
      <c r="J75" s="11">
        <f>Staffing!N138</f>
        <v>51520.833333333336</v>
      </c>
      <c r="K75" s="11">
        <f>Staffing!O138</f>
        <v>51520.833333333336</v>
      </c>
      <c r="L75" s="11">
        <f>Staffing!P138</f>
        <v>51520.833333333336</v>
      </c>
      <c r="M75" s="11">
        <f>Staffing!Q138</f>
        <v>51520.833333333336</v>
      </c>
      <c r="N75" s="11">
        <f>Staffing!R138</f>
        <v>57291.166666666664</v>
      </c>
      <c r="O75" s="11">
        <f>Staffing!S138</f>
        <v>57291.166666666664</v>
      </c>
      <c r="P75" s="11">
        <f>Staffing!T138</f>
        <v>61825</v>
      </c>
      <c r="Q75" s="11">
        <f>Staffing!U138</f>
        <v>61825</v>
      </c>
      <c r="R75" s="11">
        <f>Staffing!V138</f>
        <v>61825</v>
      </c>
      <c r="S75" s="50">
        <f>Staffing!W138</f>
        <v>192790.95833333328</v>
      </c>
      <c r="T75" s="11">
        <f>Staffing!X138</f>
        <v>200519.08333333328</v>
      </c>
      <c r="U75" s="11">
        <f>Staffing!Y138</f>
        <v>208247.20833333328</v>
      </c>
      <c r="V75" s="11">
        <f>Staffing!Z138</f>
        <v>208247.20833333328</v>
      </c>
      <c r="W75" s="11">
        <f>Staffing!AA138</f>
        <v>208247.20833333328</v>
      </c>
      <c r="X75" s="11">
        <f>Staffing!AB138</f>
        <v>208247.20833333328</v>
      </c>
      <c r="Y75" s="11">
        <f>Staffing!AC138</f>
        <v>213399.2916666666</v>
      </c>
      <c r="Z75" s="11">
        <f>Staffing!AD138</f>
        <v>213399.2916666666</v>
      </c>
      <c r="AA75" s="11">
        <f>Staffing!AE138</f>
        <v>213399.2916666666</v>
      </c>
      <c r="AB75" s="11">
        <f>Staffing!AF138</f>
        <v>213399.2916666666</v>
      </c>
      <c r="AC75" s="11">
        <f>Staffing!AG138</f>
        <v>213399.2916666666</v>
      </c>
      <c r="AD75" s="11">
        <f>Staffing!AH138</f>
        <v>213399.2916666666</v>
      </c>
      <c r="AE75" s="50">
        <f>Staffing!AI138</f>
        <v>244311.7916666666</v>
      </c>
      <c r="AF75" s="11">
        <f>Staffing!AJ138</f>
        <v>244311.7916666666</v>
      </c>
      <c r="AG75" s="11">
        <f>Staffing!AK138</f>
        <v>244311.7916666666</v>
      </c>
      <c r="AH75" s="11">
        <f>Staffing!AL138</f>
        <v>244311.7916666666</v>
      </c>
      <c r="AI75" s="11">
        <f>Staffing!AM138</f>
        <v>244311.7916666666</v>
      </c>
      <c r="AJ75" s="11">
        <f>Staffing!AN138</f>
        <v>257191.99999999991</v>
      </c>
      <c r="AK75" s="11">
        <f>Staffing!AO138</f>
        <v>257191.99999999991</v>
      </c>
      <c r="AL75" s="11">
        <f>Staffing!AP138</f>
        <v>257191.99999999991</v>
      </c>
      <c r="AM75" s="11">
        <f>Staffing!AQ138</f>
        <v>257191.99999999991</v>
      </c>
      <c r="AN75" s="11">
        <f>Staffing!AR138</f>
        <v>257191.99999999991</v>
      </c>
      <c r="AO75" s="11">
        <f>Staffing!AS138</f>
        <v>257191.99999999991</v>
      </c>
      <c r="AP75" s="11">
        <f>Staffing!AT138</f>
        <v>257191.99999999991</v>
      </c>
      <c r="AQ75" s="31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31"/>
      <c r="BD75" s="31"/>
      <c r="BE75" s="22"/>
      <c r="BF75" s="22"/>
      <c r="BG75" s="22"/>
      <c r="BH75" s="31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</row>
    <row r="76" spans="1:79" ht="14.25" customHeight="1" outlineLevel="1" x14ac:dyDescent="0.25">
      <c r="A76" s="22"/>
      <c r="B76" s="117" t="s">
        <v>214</v>
      </c>
      <c r="C76" s="11" t="s">
        <v>24</v>
      </c>
      <c r="D76" s="11"/>
      <c r="E76" s="11"/>
      <c r="F76" s="80"/>
      <c r="G76" s="11">
        <f>Staffing!K139</f>
        <v>26224.104166666664</v>
      </c>
      <c r="H76" s="11">
        <f>Staffing!L139</f>
        <v>26224.104166666664</v>
      </c>
      <c r="I76" s="11">
        <f>Staffing!M139</f>
        <v>26224.104166666664</v>
      </c>
      <c r="J76" s="11">
        <f>Staffing!N139</f>
        <v>26224.104166666664</v>
      </c>
      <c r="K76" s="11">
        <f>Staffing!O139</f>
        <v>26224.104166666664</v>
      </c>
      <c r="L76" s="11">
        <f>Staffing!P139</f>
        <v>26224.104166666664</v>
      </c>
      <c r="M76" s="11">
        <f>Staffing!Q139</f>
        <v>26224.104166666664</v>
      </c>
      <c r="N76" s="11">
        <f>Staffing!R139</f>
        <v>26224.104166666664</v>
      </c>
      <c r="O76" s="11">
        <f>Staffing!S139</f>
        <v>26224.104166666664</v>
      </c>
      <c r="P76" s="11">
        <f>Staffing!T139</f>
        <v>26224.104166666664</v>
      </c>
      <c r="Q76" s="11">
        <f>Staffing!U139</f>
        <v>26224.104166666664</v>
      </c>
      <c r="R76" s="11">
        <f>Staffing!V139</f>
        <v>26224.104166666664</v>
      </c>
      <c r="S76" s="50">
        <f>Staffing!W139</f>
        <v>48378.0625</v>
      </c>
      <c r="T76" s="11">
        <f>Staffing!X139</f>
        <v>48378.0625</v>
      </c>
      <c r="U76" s="11">
        <f>Staffing!Y139</f>
        <v>48378.0625</v>
      </c>
      <c r="V76" s="11">
        <f>Staffing!Z139</f>
        <v>48378.0625</v>
      </c>
      <c r="W76" s="11">
        <f>Staffing!AA139</f>
        <v>57651.8125</v>
      </c>
      <c r="X76" s="11">
        <f>Staffing!AB139</f>
        <v>70532.020833333328</v>
      </c>
      <c r="Y76" s="11">
        <f>Staffing!AC139</f>
        <v>70532.020833333328</v>
      </c>
      <c r="Z76" s="11">
        <f>Staffing!AD139</f>
        <v>79805.770833333328</v>
      </c>
      <c r="AA76" s="11">
        <f>Staffing!AE139</f>
        <v>92685.979166666657</v>
      </c>
      <c r="AB76" s="11">
        <f>Staffing!AF139</f>
        <v>92685.979166666657</v>
      </c>
      <c r="AC76" s="11">
        <f>Staffing!AG139</f>
        <v>92685.979166666657</v>
      </c>
      <c r="AD76" s="11">
        <f>Staffing!AH139</f>
        <v>92685.979166666657</v>
      </c>
      <c r="AE76" s="50">
        <f>Staffing!AI139</f>
        <v>101959.72916666666</v>
      </c>
      <c r="AF76" s="11">
        <f>Staffing!AJ139</f>
        <v>114839.9375</v>
      </c>
      <c r="AG76" s="11">
        <f>Staffing!AK139</f>
        <v>114839.9375</v>
      </c>
      <c r="AH76" s="11">
        <f>Staffing!AL139</f>
        <v>114839.9375</v>
      </c>
      <c r="AI76" s="11">
        <f>Staffing!AM139</f>
        <v>114839.9375</v>
      </c>
      <c r="AJ76" s="11">
        <f>Staffing!AN139</f>
        <v>114839.9375</v>
      </c>
      <c r="AK76" s="11">
        <f>Staffing!AO139</f>
        <v>114839.9375</v>
      </c>
      <c r="AL76" s="11">
        <f>Staffing!AP139</f>
        <v>114839.9375</v>
      </c>
      <c r="AM76" s="11">
        <f>Staffing!AQ139</f>
        <v>114839.9375</v>
      </c>
      <c r="AN76" s="11">
        <f>Staffing!AR139</f>
        <v>114839.9375</v>
      </c>
      <c r="AO76" s="11">
        <f>Staffing!AS139</f>
        <v>114839.9375</v>
      </c>
      <c r="AP76" s="11">
        <f>Staffing!AT139</f>
        <v>114839.9375</v>
      </c>
      <c r="AQ76" s="31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31"/>
      <c r="BD76" s="31"/>
      <c r="BE76" s="22"/>
      <c r="BF76" s="22"/>
      <c r="BG76" s="22"/>
      <c r="BH76" s="31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</row>
    <row r="77" spans="1:79" ht="14.25" customHeight="1" outlineLevel="1" x14ac:dyDescent="0.25">
      <c r="A77" s="22"/>
      <c r="B77" s="117" t="s">
        <v>215</v>
      </c>
      <c r="C77" s="11" t="s">
        <v>24</v>
      </c>
      <c r="D77" s="11"/>
      <c r="E77" s="11"/>
      <c r="F77" s="80"/>
      <c r="G77" s="11">
        <f>Staffing!K140</f>
        <v>0</v>
      </c>
      <c r="H77" s="11">
        <f>Staffing!L140</f>
        <v>0</v>
      </c>
      <c r="I77" s="11">
        <f>Staffing!M140</f>
        <v>0</v>
      </c>
      <c r="J77" s="11">
        <f>Staffing!N140</f>
        <v>0</v>
      </c>
      <c r="K77" s="11">
        <f>Staffing!O140</f>
        <v>0</v>
      </c>
      <c r="L77" s="11">
        <f>Staffing!P140</f>
        <v>0</v>
      </c>
      <c r="M77" s="11">
        <f>Staffing!Q140</f>
        <v>0</v>
      </c>
      <c r="N77" s="11">
        <f>Staffing!R140</f>
        <v>0</v>
      </c>
      <c r="O77" s="11">
        <f>Staffing!S140</f>
        <v>0</v>
      </c>
      <c r="P77" s="11">
        <f>Staffing!T140</f>
        <v>0</v>
      </c>
      <c r="Q77" s="11">
        <f>Staffing!U140</f>
        <v>0</v>
      </c>
      <c r="R77" s="11">
        <f>Staffing!V140</f>
        <v>0</v>
      </c>
      <c r="S77" s="50">
        <f>Staffing!W140</f>
        <v>56672.916666666664</v>
      </c>
      <c r="T77" s="11">
        <f>Staffing!X140</f>
        <v>56672.916666666664</v>
      </c>
      <c r="U77" s="11">
        <f>Staffing!Y140</f>
        <v>56672.916666666664</v>
      </c>
      <c r="V77" s="11">
        <f>Staffing!Z140</f>
        <v>69553.125</v>
      </c>
      <c r="W77" s="11">
        <f>Staffing!AA140</f>
        <v>69553.125</v>
      </c>
      <c r="X77" s="11">
        <f>Staffing!AB140</f>
        <v>69553.125</v>
      </c>
      <c r="Y77" s="11">
        <f>Staffing!AC140</f>
        <v>82433.333333333314</v>
      </c>
      <c r="Z77" s="11">
        <f>Staffing!AD140</f>
        <v>82433.333333333314</v>
      </c>
      <c r="AA77" s="11">
        <f>Staffing!AE140</f>
        <v>82433.333333333314</v>
      </c>
      <c r="AB77" s="11">
        <f>Staffing!AF140</f>
        <v>95313.541666666657</v>
      </c>
      <c r="AC77" s="11">
        <f>Staffing!AG140</f>
        <v>95313.541666666657</v>
      </c>
      <c r="AD77" s="11">
        <f>Staffing!AH140</f>
        <v>95313.541666666657</v>
      </c>
      <c r="AE77" s="50">
        <f>Staffing!AI140</f>
        <v>95313.541666666657</v>
      </c>
      <c r="AF77" s="11">
        <f>Staffing!AJ140</f>
        <v>95313.541666666657</v>
      </c>
      <c r="AG77" s="11">
        <f>Staffing!AK140</f>
        <v>95313.541666666657</v>
      </c>
      <c r="AH77" s="11">
        <f>Staffing!AL140</f>
        <v>95313.541666666657</v>
      </c>
      <c r="AI77" s="11">
        <f>Staffing!AM140</f>
        <v>95313.541666666657</v>
      </c>
      <c r="AJ77" s="11">
        <f>Staffing!AN140</f>
        <v>95313.541666666657</v>
      </c>
      <c r="AK77" s="11">
        <f>Staffing!AO140</f>
        <v>95313.541666666657</v>
      </c>
      <c r="AL77" s="11">
        <f>Staffing!AP140</f>
        <v>95313.541666666657</v>
      </c>
      <c r="AM77" s="11">
        <f>Staffing!AQ140</f>
        <v>95313.541666666657</v>
      </c>
      <c r="AN77" s="11">
        <f>Staffing!AR140</f>
        <v>95313.541666666657</v>
      </c>
      <c r="AO77" s="11">
        <f>Staffing!AS140</f>
        <v>95313.541666666657</v>
      </c>
      <c r="AP77" s="11">
        <f>Staffing!AT140</f>
        <v>95313.541666666657</v>
      </c>
      <c r="AQ77" s="31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31"/>
      <c r="BD77" s="31"/>
      <c r="BE77" s="22"/>
      <c r="BF77" s="22"/>
      <c r="BG77" s="22"/>
      <c r="BH77" s="31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</row>
    <row r="78" spans="1:79" ht="14.25" customHeight="1" outlineLevel="1" x14ac:dyDescent="0.25">
      <c r="A78" s="22"/>
      <c r="B78" s="118" t="s">
        <v>216</v>
      </c>
      <c r="C78" s="11" t="s">
        <v>24</v>
      </c>
      <c r="D78" s="11"/>
      <c r="E78" s="11"/>
      <c r="F78" s="80"/>
      <c r="G78" s="11">
        <f>Staffing!K141</f>
        <v>20608.333333333332</v>
      </c>
      <c r="H78" s="11">
        <f>Staffing!L141</f>
        <v>20608.333333333332</v>
      </c>
      <c r="I78" s="11">
        <f>Staffing!M141</f>
        <v>20608.333333333332</v>
      </c>
      <c r="J78" s="11">
        <f>Staffing!N141</f>
        <v>20608.333333333332</v>
      </c>
      <c r="K78" s="11">
        <f>Staffing!O141</f>
        <v>20608.333333333332</v>
      </c>
      <c r="L78" s="11">
        <f>Staffing!P141</f>
        <v>20608.333333333332</v>
      </c>
      <c r="M78" s="11">
        <f>Staffing!Q141</f>
        <v>0</v>
      </c>
      <c r="N78" s="11">
        <f>Staffing!R141</f>
        <v>0</v>
      </c>
      <c r="O78" s="11">
        <f>Staffing!S141</f>
        <v>0</v>
      </c>
      <c r="P78" s="11">
        <f>Staffing!T141</f>
        <v>0</v>
      </c>
      <c r="Q78" s="11">
        <f>Staffing!U141</f>
        <v>0</v>
      </c>
      <c r="R78" s="11">
        <f>Staffing!V141</f>
        <v>0</v>
      </c>
      <c r="S78" s="50">
        <f>Staffing!W141</f>
        <v>35034.166666666664</v>
      </c>
      <c r="T78" s="11">
        <f>Staffing!X141</f>
        <v>35034.166666666664</v>
      </c>
      <c r="U78" s="11">
        <f>Staffing!Y141</f>
        <v>35034.166666666664</v>
      </c>
      <c r="V78" s="11">
        <f>Staffing!Z141</f>
        <v>47399.166666666664</v>
      </c>
      <c r="W78" s="11">
        <f>Staffing!AA141</f>
        <v>47399.166666666664</v>
      </c>
      <c r="X78" s="11">
        <f>Staffing!AB141</f>
        <v>47399.166666666664</v>
      </c>
      <c r="Y78" s="11">
        <f>Staffing!AC141</f>
        <v>57703.333333333336</v>
      </c>
      <c r="Z78" s="11">
        <f>Staffing!AD141</f>
        <v>57703.333333333336</v>
      </c>
      <c r="AA78" s="11">
        <f>Staffing!AE141</f>
        <v>57703.333333333336</v>
      </c>
      <c r="AB78" s="11">
        <f>Staffing!AF141</f>
        <v>68007.5</v>
      </c>
      <c r="AC78" s="11">
        <f>Staffing!AG141</f>
        <v>68007.5</v>
      </c>
      <c r="AD78" s="11">
        <f>Staffing!AH141</f>
        <v>68007.5</v>
      </c>
      <c r="AE78" s="50">
        <f>Staffing!AI141</f>
        <v>78311.666666666672</v>
      </c>
      <c r="AF78" s="11">
        <f>Staffing!AJ141</f>
        <v>78311.666666666672</v>
      </c>
      <c r="AG78" s="11">
        <f>Staffing!AK141</f>
        <v>78311.666666666672</v>
      </c>
      <c r="AH78" s="11">
        <f>Staffing!AL141</f>
        <v>78311.666666666672</v>
      </c>
      <c r="AI78" s="11">
        <f>Staffing!AM141</f>
        <v>78311.666666666672</v>
      </c>
      <c r="AJ78" s="11">
        <f>Staffing!AN141</f>
        <v>78311.666666666672</v>
      </c>
      <c r="AK78" s="11">
        <f>Staffing!AO141</f>
        <v>78311.666666666672</v>
      </c>
      <c r="AL78" s="11">
        <f>Staffing!AP141</f>
        <v>78311.666666666672</v>
      </c>
      <c r="AM78" s="11">
        <f>Staffing!AQ141</f>
        <v>78311.666666666672</v>
      </c>
      <c r="AN78" s="11">
        <f>Staffing!AR141</f>
        <v>78311.666666666672</v>
      </c>
      <c r="AO78" s="11">
        <f>Staffing!AS141</f>
        <v>78311.666666666672</v>
      </c>
      <c r="AP78" s="11">
        <f>Staffing!AT141</f>
        <v>78311.666666666672</v>
      </c>
      <c r="AQ78" s="31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31"/>
      <c r="BD78" s="31"/>
      <c r="BE78" s="22"/>
      <c r="BF78" s="22"/>
      <c r="BG78" s="22"/>
      <c r="BH78" s="31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</row>
    <row r="79" spans="1:79" ht="14.25" customHeight="1" outlineLevel="1" x14ac:dyDescent="0.25">
      <c r="A79" s="22"/>
      <c r="B79" s="117" t="s">
        <v>25</v>
      </c>
      <c r="C79" s="11" t="s">
        <v>24</v>
      </c>
      <c r="D79" s="11"/>
      <c r="E79" s="11"/>
      <c r="F79" s="80"/>
      <c r="G79" s="11">
        <f>Staffing!K142</f>
        <v>7728.125</v>
      </c>
      <c r="H79" s="11">
        <f>Staffing!L142</f>
        <v>7728.125</v>
      </c>
      <c r="I79" s="11">
        <f>Staffing!M142</f>
        <v>7728.125</v>
      </c>
      <c r="J79" s="11">
        <f>Staffing!N142</f>
        <v>7728.125</v>
      </c>
      <c r="K79" s="11">
        <f>Staffing!O142</f>
        <v>7728.125</v>
      </c>
      <c r="L79" s="11">
        <f>Staffing!P142</f>
        <v>7728.125</v>
      </c>
      <c r="M79" s="11">
        <f>Staffing!Q142</f>
        <v>7728.125</v>
      </c>
      <c r="N79" s="11">
        <f>Staffing!R142</f>
        <v>7728.125</v>
      </c>
      <c r="O79" s="11">
        <f>Staffing!S142</f>
        <v>7728.125</v>
      </c>
      <c r="P79" s="11">
        <f>Staffing!T142</f>
        <v>7728.125</v>
      </c>
      <c r="Q79" s="11">
        <f>Staffing!U142</f>
        <v>7728.125</v>
      </c>
      <c r="R79" s="11">
        <f>Staffing!V142</f>
        <v>7728.125</v>
      </c>
      <c r="S79" s="50">
        <f>Staffing!W142</f>
        <v>23184.375</v>
      </c>
      <c r="T79" s="11">
        <f>Staffing!X142</f>
        <v>38640.625</v>
      </c>
      <c r="U79" s="11">
        <f>Staffing!Y142</f>
        <v>54096.875</v>
      </c>
      <c r="V79" s="11">
        <f>Staffing!Z142</f>
        <v>54096.875</v>
      </c>
      <c r="W79" s="11">
        <f>Staffing!AA142</f>
        <v>54096.875</v>
      </c>
      <c r="X79" s="11">
        <f>Staffing!AB142</f>
        <v>54096.875</v>
      </c>
      <c r="Y79" s="11">
        <f>Staffing!AC142</f>
        <v>54096.875</v>
      </c>
      <c r="Z79" s="11">
        <f>Staffing!AD142</f>
        <v>65946.666666666672</v>
      </c>
      <c r="AA79" s="11">
        <f>Staffing!AE142</f>
        <v>65946.666666666672</v>
      </c>
      <c r="AB79" s="11">
        <f>Staffing!AF142</f>
        <v>65946.666666666672</v>
      </c>
      <c r="AC79" s="11">
        <f>Staffing!AG142</f>
        <v>65946.666666666672</v>
      </c>
      <c r="AD79" s="11">
        <f>Staffing!AH142</f>
        <v>65946.666666666672</v>
      </c>
      <c r="AE79" s="50">
        <f>Staffing!AI142</f>
        <v>65946.666666666672</v>
      </c>
      <c r="AF79" s="11">
        <f>Staffing!AJ142</f>
        <v>65946.666666666672</v>
      </c>
      <c r="AG79" s="11">
        <f>Staffing!AK142</f>
        <v>65946.666666666672</v>
      </c>
      <c r="AH79" s="11">
        <f>Staffing!AL142</f>
        <v>65946.666666666672</v>
      </c>
      <c r="AI79" s="11">
        <f>Staffing!AM142</f>
        <v>65946.666666666672</v>
      </c>
      <c r="AJ79" s="11">
        <f>Staffing!AN142</f>
        <v>65946.666666666672</v>
      </c>
      <c r="AK79" s="11">
        <f>Staffing!AO142</f>
        <v>65946.666666666672</v>
      </c>
      <c r="AL79" s="11">
        <f>Staffing!AP142</f>
        <v>65946.666666666672</v>
      </c>
      <c r="AM79" s="11">
        <f>Staffing!AQ142</f>
        <v>65946.666666666672</v>
      </c>
      <c r="AN79" s="11">
        <f>Staffing!AR142</f>
        <v>77796.458333333328</v>
      </c>
      <c r="AO79" s="11">
        <f>Staffing!AS142</f>
        <v>77796.458333333328</v>
      </c>
      <c r="AP79" s="11">
        <f>Staffing!AT142</f>
        <v>77796.458333333328</v>
      </c>
      <c r="AQ79" s="31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31"/>
      <c r="BD79" s="31"/>
      <c r="BE79" s="22"/>
      <c r="BF79" s="22"/>
      <c r="BG79" s="22"/>
      <c r="BH79" s="31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</row>
    <row r="80" spans="1:79" ht="14.25" customHeight="1" outlineLevel="1" x14ac:dyDescent="0.25">
      <c r="A80" s="22"/>
      <c r="B80" s="117" t="s">
        <v>217</v>
      </c>
      <c r="C80" s="11" t="s">
        <v>21</v>
      </c>
      <c r="D80" s="11"/>
      <c r="E80" s="11"/>
      <c r="F80" s="80"/>
      <c r="G80" s="11">
        <f>Staffing!K144</f>
        <v>0</v>
      </c>
      <c r="H80" s="11">
        <f>Staffing!L144</f>
        <v>0</v>
      </c>
      <c r="I80" s="11">
        <f>Staffing!M144</f>
        <v>10407.208333333334</v>
      </c>
      <c r="J80" s="11">
        <f>Staffing!N144</f>
        <v>10407.208333333334</v>
      </c>
      <c r="K80" s="11">
        <f>Staffing!O144</f>
        <v>23287.416666666664</v>
      </c>
      <c r="L80" s="11">
        <f>Staffing!P144</f>
        <v>36167.625</v>
      </c>
      <c r="M80" s="11">
        <f>Staffing!Q144</f>
        <v>47708.291666666657</v>
      </c>
      <c r="N80" s="11">
        <f>Staffing!R144</f>
        <v>47708.291666666657</v>
      </c>
      <c r="O80" s="11">
        <f>Staffing!S144</f>
        <v>47708.291666666657</v>
      </c>
      <c r="P80" s="11">
        <f>Staffing!T144</f>
        <v>47708.291666666657</v>
      </c>
      <c r="Q80" s="11">
        <f>Staffing!U144</f>
        <v>47708.291666666657</v>
      </c>
      <c r="R80" s="11">
        <f>Staffing!V144</f>
        <v>47708.291666666657</v>
      </c>
      <c r="S80" s="50">
        <f>Staffing!W144</f>
        <v>53375.583333333328</v>
      </c>
      <c r="T80" s="11">
        <f>Staffing!X144</f>
        <v>59042.875</v>
      </c>
      <c r="U80" s="11">
        <f>Staffing!Y144</f>
        <v>59042.875</v>
      </c>
      <c r="V80" s="11">
        <f>Staffing!Z144</f>
        <v>64710.166666666664</v>
      </c>
      <c r="W80" s="11">
        <f>Staffing!AA144</f>
        <v>64710.166666666664</v>
      </c>
      <c r="X80" s="11">
        <f>Staffing!AB144</f>
        <v>64710.166666666664</v>
      </c>
      <c r="Y80" s="11">
        <f>Staffing!AC144</f>
        <v>70377.458333333328</v>
      </c>
      <c r="Z80" s="11">
        <f>Staffing!AD144</f>
        <v>70377.458333333328</v>
      </c>
      <c r="AA80" s="11">
        <f>Staffing!AE144</f>
        <v>76044.75</v>
      </c>
      <c r="AB80" s="11">
        <f>Staffing!AF144</f>
        <v>76044.75</v>
      </c>
      <c r="AC80" s="11">
        <f>Staffing!AG144</f>
        <v>76044.75</v>
      </c>
      <c r="AD80" s="11">
        <f>Staffing!AH144</f>
        <v>76044.75</v>
      </c>
      <c r="AE80" s="50">
        <f>Staffing!AI144</f>
        <v>88924.958333333328</v>
      </c>
      <c r="AF80" s="11">
        <f>Staffing!AJ144</f>
        <v>88924.958333333328</v>
      </c>
      <c r="AG80" s="11">
        <f>Staffing!AK144</f>
        <v>88924.958333333328</v>
      </c>
      <c r="AH80" s="11">
        <f>Staffing!AL144</f>
        <v>88924.958333333328</v>
      </c>
      <c r="AI80" s="11">
        <f>Staffing!AM144</f>
        <v>94592.25</v>
      </c>
      <c r="AJ80" s="11">
        <f>Staffing!AN144</f>
        <v>94592.25</v>
      </c>
      <c r="AK80" s="11">
        <f>Staffing!AO144</f>
        <v>94592.25</v>
      </c>
      <c r="AL80" s="11">
        <f>Staffing!AP144</f>
        <v>94592.25</v>
      </c>
      <c r="AM80" s="11">
        <f>Staffing!AQ144</f>
        <v>94592.25</v>
      </c>
      <c r="AN80" s="11">
        <f>Staffing!AR144</f>
        <v>94592.25</v>
      </c>
      <c r="AO80" s="11">
        <f>Staffing!AS144</f>
        <v>100259.54166666666</v>
      </c>
      <c r="AP80" s="11">
        <f>Staffing!AT144</f>
        <v>100259.54166666666</v>
      </c>
      <c r="AQ80" s="31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31"/>
      <c r="BD80" s="31"/>
      <c r="BE80" s="22"/>
      <c r="BF80" s="22"/>
      <c r="BG80" s="22"/>
      <c r="BH80" s="31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</row>
    <row r="81" spans="1:79" ht="14.25" customHeight="1" outlineLevel="1" x14ac:dyDescent="0.25">
      <c r="A81" s="22"/>
      <c r="B81" s="117" t="s">
        <v>17</v>
      </c>
      <c r="C81" s="11" t="s">
        <v>21</v>
      </c>
      <c r="D81" s="11"/>
      <c r="E81" s="11"/>
      <c r="F81" s="80"/>
      <c r="G81" s="11">
        <f>Staffing!K145</f>
        <v>0</v>
      </c>
      <c r="H81" s="11">
        <f>Staffing!L145</f>
        <v>0</v>
      </c>
      <c r="I81" s="11">
        <f>Staffing!M145</f>
        <v>0</v>
      </c>
      <c r="J81" s="11">
        <f>Staffing!N145</f>
        <v>0</v>
      </c>
      <c r="K81" s="11">
        <f>Staffing!O145</f>
        <v>0</v>
      </c>
      <c r="L81" s="11">
        <f>Staffing!P145</f>
        <v>0</v>
      </c>
      <c r="M81" s="11">
        <f>Staffing!Q145</f>
        <v>0</v>
      </c>
      <c r="N81" s="11">
        <f>Staffing!R145</f>
        <v>0</v>
      </c>
      <c r="O81" s="11">
        <f>Staffing!S145</f>
        <v>0</v>
      </c>
      <c r="P81" s="11">
        <f>Staffing!T145</f>
        <v>0</v>
      </c>
      <c r="Q81" s="11">
        <f>Staffing!U145</f>
        <v>0</v>
      </c>
      <c r="R81" s="11">
        <f>Staffing!V145</f>
        <v>0</v>
      </c>
      <c r="S81" s="50">
        <f>Staffing!W145</f>
        <v>12880.208333333332</v>
      </c>
      <c r="T81" s="11">
        <f>Staffing!X145</f>
        <v>12880.208333333332</v>
      </c>
      <c r="U81" s="11">
        <f>Staffing!Y145</f>
        <v>12880.208333333332</v>
      </c>
      <c r="V81" s="11">
        <f>Staffing!Z145</f>
        <v>12880.208333333332</v>
      </c>
      <c r="W81" s="11">
        <f>Staffing!AA145</f>
        <v>28336.458333333328</v>
      </c>
      <c r="X81" s="11">
        <f>Staffing!AB145</f>
        <v>28336.458333333328</v>
      </c>
      <c r="Y81" s="11">
        <f>Staffing!AC145</f>
        <v>28336.458333333328</v>
      </c>
      <c r="Z81" s="11">
        <f>Staffing!AD145</f>
        <v>36064.583333333328</v>
      </c>
      <c r="AA81" s="11">
        <f>Staffing!AE145</f>
        <v>36064.583333333328</v>
      </c>
      <c r="AB81" s="11">
        <f>Staffing!AF145</f>
        <v>36064.583333333328</v>
      </c>
      <c r="AC81" s="11">
        <f>Staffing!AG145</f>
        <v>36064.583333333328</v>
      </c>
      <c r="AD81" s="11">
        <f>Staffing!AH145</f>
        <v>36064.583333333328</v>
      </c>
      <c r="AE81" s="50">
        <f>Staffing!AI145</f>
        <v>43792.708333333328</v>
      </c>
      <c r="AF81" s="11">
        <f>Staffing!AJ145</f>
        <v>43792.708333333328</v>
      </c>
      <c r="AG81" s="11">
        <f>Staffing!AK145</f>
        <v>43792.708333333328</v>
      </c>
      <c r="AH81" s="11">
        <f>Staffing!AL145</f>
        <v>43792.708333333328</v>
      </c>
      <c r="AI81" s="11">
        <f>Staffing!AM145</f>
        <v>43792.708333333328</v>
      </c>
      <c r="AJ81" s="11">
        <f>Staffing!AN145</f>
        <v>43792.708333333328</v>
      </c>
      <c r="AK81" s="11">
        <f>Staffing!AO145</f>
        <v>51520.833333333328</v>
      </c>
      <c r="AL81" s="11">
        <f>Staffing!AP145</f>
        <v>51520.833333333328</v>
      </c>
      <c r="AM81" s="11">
        <f>Staffing!AQ145</f>
        <v>51520.833333333328</v>
      </c>
      <c r="AN81" s="11">
        <f>Staffing!AR145</f>
        <v>51520.833333333328</v>
      </c>
      <c r="AO81" s="11">
        <f>Staffing!AS145</f>
        <v>59248.958333333328</v>
      </c>
      <c r="AP81" s="11">
        <f>Staffing!AT145</f>
        <v>59248.958333333328</v>
      </c>
      <c r="AQ81" s="31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31"/>
      <c r="BD81" s="31"/>
      <c r="BE81" s="22"/>
      <c r="BF81" s="22"/>
      <c r="BG81" s="22"/>
      <c r="BH81" s="31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</row>
    <row r="82" spans="1:79" ht="14.25" customHeight="1" outlineLevel="1" x14ac:dyDescent="0.25">
      <c r="A82" s="22"/>
      <c r="B82" s="117" t="s">
        <v>218</v>
      </c>
      <c r="C82" s="11" t="s">
        <v>21</v>
      </c>
      <c r="D82" s="11"/>
      <c r="E82" s="11"/>
      <c r="F82" s="80"/>
      <c r="G82" s="11">
        <f>Staffing!K146</f>
        <v>0</v>
      </c>
      <c r="H82" s="11">
        <f>Staffing!L146</f>
        <v>0</v>
      </c>
      <c r="I82" s="11">
        <f>Staffing!M146</f>
        <v>0</v>
      </c>
      <c r="J82" s="11">
        <f>Staffing!N146</f>
        <v>0</v>
      </c>
      <c r="K82" s="11">
        <f>Staffing!O146</f>
        <v>0</v>
      </c>
      <c r="L82" s="11">
        <f>Staffing!P146</f>
        <v>0</v>
      </c>
      <c r="M82" s="11">
        <f>Staffing!Q146</f>
        <v>0</v>
      </c>
      <c r="N82" s="11">
        <f>Staffing!R146</f>
        <v>0</v>
      </c>
      <c r="O82" s="11">
        <f>Staffing!S146</f>
        <v>0</v>
      </c>
      <c r="P82" s="11">
        <f>Staffing!T146</f>
        <v>0</v>
      </c>
      <c r="Q82" s="11">
        <f>Staffing!U146</f>
        <v>0</v>
      </c>
      <c r="R82" s="11">
        <f>Staffing!V146</f>
        <v>0</v>
      </c>
      <c r="S82" s="50">
        <f>Staffing!W146</f>
        <v>0</v>
      </c>
      <c r="T82" s="11">
        <f>Staffing!X146</f>
        <v>0</v>
      </c>
      <c r="U82" s="11">
        <f>Staffing!Y146</f>
        <v>0</v>
      </c>
      <c r="V82" s="11">
        <f>Staffing!Z146</f>
        <v>0</v>
      </c>
      <c r="W82" s="11">
        <f>Staffing!AA146</f>
        <v>0</v>
      </c>
      <c r="X82" s="11">
        <f>Staffing!AB146</f>
        <v>0</v>
      </c>
      <c r="Y82" s="11">
        <f>Staffing!AC146</f>
        <v>20608.333333333332</v>
      </c>
      <c r="Z82" s="11">
        <f>Staffing!AD146</f>
        <v>36064.583333333336</v>
      </c>
      <c r="AA82" s="11">
        <f>Staffing!AE146</f>
        <v>36064.583333333336</v>
      </c>
      <c r="AB82" s="11">
        <f>Staffing!AF146</f>
        <v>36064.583333333336</v>
      </c>
      <c r="AC82" s="11">
        <f>Staffing!AG146</f>
        <v>36064.583333333336</v>
      </c>
      <c r="AD82" s="11">
        <f>Staffing!AH146</f>
        <v>64401.041666666664</v>
      </c>
      <c r="AE82" s="50">
        <f>Staffing!AI146</f>
        <v>64401.041666666664</v>
      </c>
      <c r="AF82" s="11">
        <f>Staffing!AJ146</f>
        <v>64401.041666666664</v>
      </c>
      <c r="AG82" s="11">
        <f>Staffing!AK146</f>
        <v>64401.041666666664</v>
      </c>
      <c r="AH82" s="11">
        <f>Staffing!AL146</f>
        <v>77281.25</v>
      </c>
      <c r="AI82" s="11">
        <f>Staffing!AM146</f>
        <v>77281.25</v>
      </c>
      <c r="AJ82" s="11">
        <f>Staffing!AN146</f>
        <v>92737.5</v>
      </c>
      <c r="AK82" s="11">
        <f>Staffing!AO146</f>
        <v>92737.5</v>
      </c>
      <c r="AL82" s="11">
        <f>Staffing!AP146</f>
        <v>103041.66666666666</v>
      </c>
      <c r="AM82" s="11">
        <f>Staffing!AQ146</f>
        <v>118497.91666666667</v>
      </c>
      <c r="AN82" s="11">
        <f>Staffing!AR146</f>
        <v>128802.08333333333</v>
      </c>
      <c r="AO82" s="11">
        <f>Staffing!AS146</f>
        <v>128802.08333333333</v>
      </c>
      <c r="AP82" s="11">
        <f>Staffing!AT146</f>
        <v>139106.25</v>
      </c>
      <c r="AQ82" s="31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31"/>
      <c r="BD82" s="31"/>
      <c r="BE82" s="22"/>
      <c r="BF82" s="22"/>
      <c r="BG82" s="22"/>
      <c r="BH82" s="31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</row>
    <row r="83" spans="1:79" ht="14.25" customHeight="1" outlineLevel="1" x14ac:dyDescent="0.25">
      <c r="A83" s="22"/>
      <c r="B83" s="22"/>
      <c r="C83" s="22"/>
      <c r="D83" s="22"/>
      <c r="E83" s="22"/>
      <c r="F83" s="80"/>
      <c r="G83" s="82"/>
      <c r="H83" s="82"/>
      <c r="I83" s="82"/>
      <c r="J83" s="82"/>
      <c r="K83" s="82"/>
      <c r="L83" s="22"/>
      <c r="M83" s="22"/>
      <c r="N83" s="22"/>
      <c r="O83" s="22"/>
      <c r="P83" s="22"/>
      <c r="Q83" s="22"/>
      <c r="R83" s="22"/>
      <c r="S83" s="31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31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31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31"/>
      <c r="BD83" s="31"/>
      <c r="BE83" s="22"/>
      <c r="BF83" s="22"/>
      <c r="BG83" s="22"/>
      <c r="BH83" s="31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</row>
    <row r="84" spans="1:79" ht="14.25" customHeight="1" x14ac:dyDescent="0.25">
      <c r="A84" s="22"/>
      <c r="B84" s="22"/>
      <c r="C84" s="22"/>
      <c r="D84" s="22"/>
      <c r="E84" s="22"/>
      <c r="F84" s="80"/>
      <c r="G84" s="109">
        <v>424809.87</v>
      </c>
      <c r="H84" s="109">
        <v>428219.25</v>
      </c>
      <c r="I84" s="109">
        <v>642221.24833333341</v>
      </c>
      <c r="J84" s="109">
        <v>708475.8583333334</v>
      </c>
      <c r="K84" s="109">
        <v>504172.00666666671</v>
      </c>
      <c r="L84" s="11">
        <v>578488.92500000005</v>
      </c>
      <c r="M84" s="11">
        <v>532259.03014147002</v>
      </c>
      <c r="N84" s="22"/>
      <c r="O84" s="22"/>
      <c r="P84" s="22"/>
      <c r="Q84" s="22"/>
      <c r="R84" s="22"/>
      <c r="S84" s="31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31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31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31"/>
      <c r="BD84" s="31"/>
      <c r="BE84" s="22"/>
      <c r="BF84" s="22"/>
      <c r="BG84" s="22"/>
      <c r="BH84" s="31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</row>
    <row r="85" spans="1:79" ht="14.25" customHeight="1" x14ac:dyDescent="0.25">
      <c r="A85" s="119" t="s">
        <v>21</v>
      </c>
      <c r="B85" s="119"/>
      <c r="C85" s="119"/>
      <c r="D85" s="119"/>
      <c r="E85" s="119"/>
      <c r="F85" s="120"/>
      <c r="G85" s="121">
        <f t="shared" ref="G85:BB85" si="83">SUM(G87:G95)</f>
        <v>421971.95</v>
      </c>
      <c r="H85" s="121">
        <f t="shared" si="83"/>
        <v>421351.94</v>
      </c>
      <c r="I85" s="121">
        <f t="shared" si="83"/>
        <v>635516.67999999993</v>
      </c>
      <c r="J85" s="121">
        <f t="shared" si="83"/>
        <v>697639.88833333331</v>
      </c>
      <c r="K85" s="121">
        <f t="shared" si="83"/>
        <v>496271.1511347518</v>
      </c>
      <c r="L85" s="121">
        <f t="shared" si="83"/>
        <v>521036.82923877303</v>
      </c>
      <c r="M85" s="121">
        <f t="shared" si="83"/>
        <v>560159.03014147002</v>
      </c>
      <c r="N85" s="121">
        <f t="shared" si="83"/>
        <v>690003.29166666663</v>
      </c>
      <c r="O85" s="121">
        <f t="shared" si="83"/>
        <v>822973.29166666663</v>
      </c>
      <c r="P85" s="121">
        <f t="shared" si="83"/>
        <v>840548.29166666663</v>
      </c>
      <c r="Q85" s="121">
        <f t="shared" si="83"/>
        <v>1025453.2916666666</v>
      </c>
      <c r="R85" s="121">
        <f t="shared" si="83"/>
        <v>1140278.2916666665</v>
      </c>
      <c r="S85" s="122">
        <f t="shared" si="83"/>
        <v>1344937.25</v>
      </c>
      <c r="T85" s="123">
        <f t="shared" si="83"/>
        <v>1546596.2083333333</v>
      </c>
      <c r="U85" s="121">
        <f t="shared" si="83"/>
        <v>1740387.875</v>
      </c>
      <c r="V85" s="121">
        <f t="shared" si="83"/>
        <v>1934646.8333333333</v>
      </c>
      <c r="W85" s="121">
        <f t="shared" si="83"/>
        <v>2120238.5</v>
      </c>
      <c r="X85" s="121">
        <f t="shared" si="83"/>
        <v>2359866.6250000005</v>
      </c>
      <c r="Y85" s="121">
        <f t="shared" si="83"/>
        <v>3273282.5833333335</v>
      </c>
      <c r="Z85" s="121">
        <f t="shared" si="83"/>
        <v>3458206.665</v>
      </c>
      <c r="AA85" s="121">
        <f t="shared" si="83"/>
        <v>3636586.3846333334</v>
      </c>
      <c r="AB85" s="121">
        <f t="shared" si="83"/>
        <v>4559262.9164276673</v>
      </c>
      <c r="AC85" s="121">
        <f t="shared" si="83"/>
        <v>4723248.6516015036</v>
      </c>
      <c r="AD85" s="121">
        <f t="shared" si="83"/>
        <v>4906718.5739867911</v>
      </c>
      <c r="AE85" s="122">
        <f t="shared" si="83"/>
        <v>5816674.3975051874</v>
      </c>
      <c r="AF85" s="121">
        <f t="shared" si="83"/>
        <v>5973801.0020437399</v>
      </c>
      <c r="AG85" s="121">
        <f t="shared" si="83"/>
        <v>6853408.5016298965</v>
      </c>
      <c r="AH85" s="121">
        <f t="shared" si="83"/>
        <v>7014588.2555336012</v>
      </c>
      <c r="AI85" s="121">
        <f t="shared" si="83"/>
        <v>7893654.7634697352</v>
      </c>
      <c r="AJ85" s="121">
        <f t="shared" si="83"/>
        <v>8052476.9706326239</v>
      </c>
      <c r="AK85" s="121">
        <f t="shared" si="83"/>
        <v>8204743.9853526503</v>
      </c>
      <c r="AL85" s="121">
        <f t="shared" si="83"/>
        <v>10735816.462388197</v>
      </c>
      <c r="AM85" s="121">
        <f t="shared" si="83"/>
        <v>11617282.405107034</v>
      </c>
      <c r="AN85" s="121">
        <f t="shared" si="83"/>
        <v>11767926.140071543</v>
      </c>
      <c r="AO85" s="121">
        <f t="shared" si="83"/>
        <v>11922303.384489868</v>
      </c>
      <c r="AP85" s="121">
        <f t="shared" si="83"/>
        <v>14449426.993965283</v>
      </c>
      <c r="AQ85" s="122">
        <f t="shared" si="83"/>
        <v>0</v>
      </c>
      <c r="AR85" s="121">
        <f t="shared" si="83"/>
        <v>0</v>
      </c>
      <c r="AS85" s="121">
        <f t="shared" si="83"/>
        <v>0</v>
      </c>
      <c r="AT85" s="121">
        <f t="shared" si="83"/>
        <v>0</v>
      </c>
      <c r="AU85" s="121">
        <f t="shared" si="83"/>
        <v>0</v>
      </c>
      <c r="AV85" s="121">
        <f t="shared" si="83"/>
        <v>0</v>
      </c>
      <c r="AW85" s="121">
        <f t="shared" si="83"/>
        <v>0</v>
      </c>
      <c r="AX85" s="121">
        <f t="shared" si="83"/>
        <v>0</v>
      </c>
      <c r="AY85" s="121">
        <f t="shared" si="83"/>
        <v>0</v>
      </c>
      <c r="AZ85" s="121">
        <f t="shared" si="83"/>
        <v>0</v>
      </c>
      <c r="BA85" s="121">
        <f t="shared" si="83"/>
        <v>0</v>
      </c>
      <c r="BB85" s="121">
        <f t="shared" si="83"/>
        <v>0</v>
      </c>
      <c r="BC85" s="122"/>
      <c r="BD85" s="122">
        <f t="shared" ref="BD85:BG85" si="84">SUM(BD87:BD95)</f>
        <v>0</v>
      </c>
      <c r="BE85" s="121">
        <f t="shared" si="84"/>
        <v>8273203.9271816611</v>
      </c>
      <c r="BF85" s="121">
        <f t="shared" si="84"/>
        <v>35603979.066649295</v>
      </c>
      <c r="BG85" s="121">
        <f t="shared" si="84"/>
        <v>110302103.26218936</v>
      </c>
      <c r="BH85" s="124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9"/>
      <c r="CA85" s="119"/>
    </row>
    <row r="86" spans="1:79" ht="14.25" customHeight="1" outlineLevel="1" x14ac:dyDescent="0.25">
      <c r="A86" s="22"/>
      <c r="B86" s="22"/>
      <c r="C86" s="22"/>
      <c r="D86" s="22"/>
      <c r="E86" s="22"/>
      <c r="F86" s="80"/>
      <c r="G86" s="82"/>
      <c r="H86" s="82"/>
      <c r="I86" s="82"/>
      <c r="J86" s="82"/>
      <c r="K86" s="82"/>
      <c r="L86" s="22"/>
      <c r="M86" s="22"/>
      <c r="N86" s="22"/>
      <c r="O86" s="22"/>
      <c r="P86" s="22"/>
      <c r="Q86" s="22"/>
      <c r="R86" s="22"/>
      <c r="S86" s="31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31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31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31"/>
      <c r="BD86" s="31"/>
      <c r="BE86" s="22"/>
      <c r="BF86" s="22"/>
      <c r="BG86" s="22"/>
      <c r="BH86" s="31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</row>
    <row r="87" spans="1:79" ht="14.25" customHeight="1" outlineLevel="1" x14ac:dyDescent="0.25">
      <c r="A87" s="22"/>
      <c r="B87" s="22" t="str">
        <f t="shared" ref="B87:B88" si="85">B178</f>
        <v>VA Mental Health</v>
      </c>
      <c r="C87" s="22"/>
      <c r="D87" s="22"/>
      <c r="E87" s="22"/>
      <c r="F87" s="80"/>
      <c r="G87" s="116">
        <f t="shared" ref="G87:K87" si="86">G178*(1-G107)</f>
        <v>406561.95</v>
      </c>
      <c r="H87" s="116">
        <f t="shared" si="86"/>
        <v>402721.94</v>
      </c>
      <c r="I87" s="116">
        <f t="shared" si="86"/>
        <v>607456.67999999993</v>
      </c>
      <c r="J87" s="116">
        <f t="shared" si="86"/>
        <v>651253.67999999993</v>
      </c>
      <c r="K87" s="116">
        <f t="shared" si="86"/>
        <v>414476.16</v>
      </c>
      <c r="L87" s="116">
        <f t="shared" ref="L87:AP87" si="87">L200</f>
        <v>366159.20423877303</v>
      </c>
      <c r="M87" s="116">
        <f t="shared" si="87"/>
        <v>372590.73847480334</v>
      </c>
      <c r="N87" s="116">
        <f t="shared" si="87"/>
        <v>540575</v>
      </c>
      <c r="O87" s="116">
        <f t="shared" si="87"/>
        <v>618975</v>
      </c>
      <c r="P87" s="116">
        <f t="shared" si="87"/>
        <v>583450</v>
      </c>
      <c r="Q87" s="116">
        <f t="shared" si="87"/>
        <v>640850</v>
      </c>
      <c r="R87" s="116">
        <f t="shared" si="87"/>
        <v>662725</v>
      </c>
      <c r="S87" s="125">
        <f t="shared" si="87"/>
        <v>677250</v>
      </c>
      <c r="T87" s="116">
        <f t="shared" si="87"/>
        <v>691775</v>
      </c>
      <c r="U87" s="116">
        <f t="shared" si="87"/>
        <v>706300</v>
      </c>
      <c r="V87" s="116">
        <f t="shared" si="87"/>
        <v>720825</v>
      </c>
      <c r="W87" s="116">
        <f t="shared" si="87"/>
        <v>735350</v>
      </c>
      <c r="X87" s="116">
        <f t="shared" si="87"/>
        <v>749875</v>
      </c>
      <c r="Y87" s="116">
        <f t="shared" si="87"/>
        <v>764400</v>
      </c>
      <c r="Z87" s="116">
        <f t="shared" si="87"/>
        <v>778925</v>
      </c>
      <c r="AA87" s="116">
        <f t="shared" si="87"/>
        <v>793450</v>
      </c>
      <c r="AB87" s="116">
        <f t="shared" si="87"/>
        <v>807975</v>
      </c>
      <c r="AC87" s="116">
        <f t="shared" si="87"/>
        <v>822500</v>
      </c>
      <c r="AD87" s="116">
        <f t="shared" si="87"/>
        <v>837025</v>
      </c>
      <c r="AE87" s="125">
        <f t="shared" si="87"/>
        <v>851550</v>
      </c>
      <c r="AF87" s="116">
        <f t="shared" si="87"/>
        <v>866075</v>
      </c>
      <c r="AG87" s="116">
        <f t="shared" si="87"/>
        <v>880600</v>
      </c>
      <c r="AH87" s="116">
        <f t="shared" si="87"/>
        <v>895125</v>
      </c>
      <c r="AI87" s="116">
        <f t="shared" si="87"/>
        <v>909650</v>
      </c>
      <c r="AJ87" s="116">
        <f t="shared" si="87"/>
        <v>924175</v>
      </c>
      <c r="AK87" s="116">
        <f t="shared" si="87"/>
        <v>938700</v>
      </c>
      <c r="AL87" s="116">
        <f t="shared" si="87"/>
        <v>953225</v>
      </c>
      <c r="AM87" s="116">
        <f t="shared" si="87"/>
        <v>967750</v>
      </c>
      <c r="AN87" s="116">
        <f t="shared" si="87"/>
        <v>982275</v>
      </c>
      <c r="AO87" s="116">
        <f t="shared" si="87"/>
        <v>996800</v>
      </c>
      <c r="AP87" s="116">
        <f t="shared" si="87"/>
        <v>1011325</v>
      </c>
      <c r="AQ87" s="31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31"/>
      <c r="BD87" s="31"/>
      <c r="BE87" s="116">
        <f t="shared" ref="BE87:BE94" si="88">SUM(G87:R87)</f>
        <v>6267795.3527135756</v>
      </c>
      <c r="BF87" s="116">
        <f t="shared" ref="BF87:BF94" si="89">SUM(S87:AD87)</f>
        <v>9085650</v>
      </c>
      <c r="BG87" s="116">
        <f t="shared" ref="BG87:BG94" si="90">SUM(AE87:AP87)</f>
        <v>11177250</v>
      </c>
      <c r="BH87" s="31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</row>
    <row r="88" spans="1:79" ht="14.25" customHeight="1" outlineLevel="1" x14ac:dyDescent="0.25">
      <c r="A88" s="22"/>
      <c r="B88" s="22" t="str">
        <f t="shared" si="85"/>
        <v>VA Medical Evaluations</v>
      </c>
      <c r="C88" s="22"/>
      <c r="D88" s="22"/>
      <c r="E88" s="22"/>
      <c r="F88" s="80"/>
      <c r="G88" s="116">
        <f t="shared" ref="G88:AP88" si="91">G243+G244</f>
        <v>15410</v>
      </c>
      <c r="H88" s="116">
        <f t="shared" si="91"/>
        <v>18630</v>
      </c>
      <c r="I88" s="116">
        <f t="shared" si="91"/>
        <v>28060</v>
      </c>
      <c r="J88" s="116">
        <f t="shared" si="91"/>
        <v>30935</v>
      </c>
      <c r="K88" s="116">
        <f t="shared" si="91"/>
        <v>34059.574468085106</v>
      </c>
      <c r="L88" s="116">
        <f t="shared" si="91"/>
        <v>45310</v>
      </c>
      <c r="M88" s="116">
        <f t="shared" si="91"/>
        <v>46460</v>
      </c>
      <c r="N88" s="116">
        <f t="shared" si="91"/>
        <v>31320</v>
      </c>
      <c r="O88" s="116">
        <f t="shared" si="91"/>
        <v>32490</v>
      </c>
      <c r="P88" s="116">
        <f t="shared" si="91"/>
        <v>35190</v>
      </c>
      <c r="Q88" s="116">
        <f t="shared" si="91"/>
        <v>60895</v>
      </c>
      <c r="R88" s="116">
        <f t="shared" si="91"/>
        <v>84645</v>
      </c>
      <c r="S88" s="125">
        <f t="shared" si="91"/>
        <v>97311.666666666672</v>
      </c>
      <c r="T88" s="116">
        <f t="shared" si="91"/>
        <v>109978.33333333331</v>
      </c>
      <c r="U88" s="116">
        <f t="shared" si="91"/>
        <v>122644.99999999999</v>
      </c>
      <c r="V88" s="116">
        <f t="shared" si="91"/>
        <v>135311.66666666663</v>
      </c>
      <c r="W88" s="116">
        <f t="shared" si="91"/>
        <v>147978.33333333331</v>
      </c>
      <c r="X88" s="116">
        <f t="shared" si="91"/>
        <v>160644.99999999997</v>
      </c>
      <c r="Y88" s="116">
        <f t="shared" si="91"/>
        <v>173311.6666666666</v>
      </c>
      <c r="Z88" s="116">
        <f t="shared" si="91"/>
        <v>185978.33333333328</v>
      </c>
      <c r="AA88" s="116">
        <f t="shared" si="91"/>
        <v>198644.99999999997</v>
      </c>
      <c r="AB88" s="116">
        <f t="shared" si="91"/>
        <v>211311.66666666663</v>
      </c>
      <c r="AC88" s="116">
        <f t="shared" si="91"/>
        <v>223978.33333333334</v>
      </c>
      <c r="AD88" s="116">
        <f t="shared" si="91"/>
        <v>236645</v>
      </c>
      <c r="AE88" s="125">
        <f t="shared" si="91"/>
        <v>249311.66666666666</v>
      </c>
      <c r="AF88" s="116">
        <f t="shared" si="91"/>
        <v>261978.33333333337</v>
      </c>
      <c r="AG88" s="116">
        <f t="shared" si="91"/>
        <v>274645.00000000006</v>
      </c>
      <c r="AH88" s="116">
        <f t="shared" si="91"/>
        <v>287311.66666666674</v>
      </c>
      <c r="AI88" s="116">
        <f t="shared" si="91"/>
        <v>299978.33333333337</v>
      </c>
      <c r="AJ88" s="116">
        <f t="shared" si="91"/>
        <v>312645.00000000006</v>
      </c>
      <c r="AK88" s="116">
        <f t="shared" si="91"/>
        <v>325311.6666666668</v>
      </c>
      <c r="AL88" s="116">
        <f t="shared" si="91"/>
        <v>337978.33333333343</v>
      </c>
      <c r="AM88" s="116">
        <f t="shared" si="91"/>
        <v>350645.00000000012</v>
      </c>
      <c r="AN88" s="116">
        <f t="shared" si="91"/>
        <v>363311.6666666668</v>
      </c>
      <c r="AO88" s="116">
        <f t="shared" si="91"/>
        <v>375978.33333333349</v>
      </c>
      <c r="AP88" s="116">
        <f t="shared" si="91"/>
        <v>388645.00000000017</v>
      </c>
      <c r="AQ88" s="31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31"/>
      <c r="BD88" s="31"/>
      <c r="BE88" s="116">
        <f t="shared" si="88"/>
        <v>463404.57446808508</v>
      </c>
      <c r="BF88" s="116">
        <f t="shared" si="89"/>
        <v>2003739.9999999998</v>
      </c>
      <c r="BG88" s="116">
        <f t="shared" si="90"/>
        <v>3827740.0000000005</v>
      </c>
      <c r="BH88" s="31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</row>
    <row r="89" spans="1:79" ht="14.25" customHeight="1" outlineLevel="1" x14ac:dyDescent="0.25">
      <c r="A89" s="22"/>
      <c r="B89" s="22" t="str">
        <f t="shared" ref="B89:B90" si="92">B181</f>
        <v>Personal Injury</v>
      </c>
      <c r="C89" s="22"/>
      <c r="D89" s="22"/>
      <c r="E89" s="22"/>
      <c r="F89" s="80"/>
      <c r="G89" s="116">
        <f t="shared" ref="G89:AP89" si="93">G287</f>
        <v>0</v>
      </c>
      <c r="H89" s="116">
        <f t="shared" si="93"/>
        <v>0</v>
      </c>
      <c r="I89" s="116">
        <f t="shared" si="93"/>
        <v>0</v>
      </c>
      <c r="J89" s="116">
        <f t="shared" si="93"/>
        <v>15451.208333333334</v>
      </c>
      <c r="K89" s="116">
        <f t="shared" si="93"/>
        <v>47735.416666666664</v>
      </c>
      <c r="L89" s="116">
        <f t="shared" si="93"/>
        <v>109567.625</v>
      </c>
      <c r="M89" s="116">
        <f t="shared" si="93"/>
        <v>141108.29166666666</v>
      </c>
      <c r="N89" s="116">
        <f t="shared" si="93"/>
        <v>118108.29166666666</v>
      </c>
      <c r="O89" s="116">
        <f t="shared" si="93"/>
        <v>171508.29166666666</v>
      </c>
      <c r="P89" s="116">
        <f t="shared" si="93"/>
        <v>221908.29166666666</v>
      </c>
      <c r="Q89" s="116">
        <f t="shared" si="93"/>
        <v>299708.29166666663</v>
      </c>
      <c r="R89" s="116">
        <f t="shared" si="93"/>
        <v>344908.29166666663</v>
      </c>
      <c r="S89" s="125">
        <f t="shared" si="93"/>
        <v>474375.58333333331</v>
      </c>
      <c r="T89" s="116">
        <f t="shared" si="93"/>
        <v>600842.875</v>
      </c>
      <c r="U89" s="116">
        <f t="shared" si="93"/>
        <v>719442.875</v>
      </c>
      <c r="V89" s="116">
        <f t="shared" si="93"/>
        <v>838510.16666666663</v>
      </c>
      <c r="W89" s="116">
        <f t="shared" si="93"/>
        <v>948910.16666666663</v>
      </c>
      <c r="X89" s="116">
        <f t="shared" si="93"/>
        <v>1054910.1666666667</v>
      </c>
      <c r="Y89" s="116">
        <f t="shared" si="93"/>
        <v>1159177.4583333333</v>
      </c>
      <c r="Z89" s="116">
        <f t="shared" si="93"/>
        <v>1252577.4583333333</v>
      </c>
      <c r="AA89" s="116">
        <f t="shared" si="93"/>
        <v>1346444.75</v>
      </c>
      <c r="AB89" s="116">
        <f t="shared" si="93"/>
        <v>1426444.75</v>
      </c>
      <c r="AC89" s="116">
        <f t="shared" si="93"/>
        <v>1502044.75</v>
      </c>
      <c r="AD89" s="116">
        <f t="shared" si="93"/>
        <v>1573244.75</v>
      </c>
      <c r="AE89" s="125">
        <f t="shared" si="93"/>
        <v>1653524.9583333333</v>
      </c>
      <c r="AF89" s="116">
        <f t="shared" si="93"/>
        <v>1716524.9583333333</v>
      </c>
      <c r="AG89" s="116">
        <f t="shared" si="93"/>
        <v>1775124.9583333333</v>
      </c>
      <c r="AH89" s="116">
        <f t="shared" si="93"/>
        <v>1829924.9583333333</v>
      </c>
      <c r="AI89" s="116">
        <f t="shared" si="93"/>
        <v>1885992.25</v>
      </c>
      <c r="AJ89" s="116">
        <f t="shared" si="93"/>
        <v>1934192.25</v>
      </c>
      <c r="AK89" s="116">
        <f t="shared" si="93"/>
        <v>1979392.25</v>
      </c>
      <c r="AL89" s="116">
        <f t="shared" si="93"/>
        <v>2022392.25</v>
      </c>
      <c r="AM89" s="116">
        <f t="shared" si="93"/>
        <v>2060192.25</v>
      </c>
      <c r="AN89" s="116">
        <f t="shared" si="93"/>
        <v>2095792.25</v>
      </c>
      <c r="AO89" s="116">
        <f t="shared" si="93"/>
        <v>2134059.5416666665</v>
      </c>
      <c r="AP89" s="116">
        <f t="shared" si="93"/>
        <v>2166659.5416666665</v>
      </c>
      <c r="AQ89" s="31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31"/>
      <c r="BD89" s="31"/>
      <c r="BE89" s="116">
        <f t="shared" si="88"/>
        <v>1470003.9999999995</v>
      </c>
      <c r="BF89" s="116">
        <f t="shared" si="89"/>
        <v>12896925.75</v>
      </c>
      <c r="BG89" s="116">
        <f t="shared" si="90"/>
        <v>23253772.416666668</v>
      </c>
      <c r="BH89" s="31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</row>
    <row r="90" spans="1:79" ht="14.25" customHeight="1" outlineLevel="1" x14ac:dyDescent="0.25">
      <c r="A90" s="22"/>
      <c r="B90" s="22" t="str">
        <f t="shared" si="92"/>
        <v>Workers Comp</v>
      </c>
      <c r="C90" s="22"/>
      <c r="D90" s="22"/>
      <c r="E90" s="22"/>
      <c r="F90" s="80"/>
      <c r="G90" s="116">
        <f t="shared" ref="G90:AP90" si="94">G320+G321</f>
        <v>0</v>
      </c>
      <c r="H90" s="116">
        <f t="shared" si="94"/>
        <v>0</v>
      </c>
      <c r="I90" s="116">
        <f t="shared" si="94"/>
        <v>0</v>
      </c>
      <c r="J90" s="116">
        <f t="shared" si="94"/>
        <v>0</v>
      </c>
      <c r="K90" s="116">
        <f t="shared" si="94"/>
        <v>0</v>
      </c>
      <c r="L90" s="116">
        <f t="shared" si="94"/>
        <v>0</v>
      </c>
      <c r="M90" s="116">
        <f t="shared" si="94"/>
        <v>0</v>
      </c>
      <c r="N90" s="116">
        <f t="shared" si="94"/>
        <v>0</v>
      </c>
      <c r="O90" s="116">
        <f t="shared" si="94"/>
        <v>0</v>
      </c>
      <c r="P90" s="116">
        <f t="shared" si="94"/>
        <v>0</v>
      </c>
      <c r="Q90" s="116">
        <f t="shared" si="94"/>
        <v>24000</v>
      </c>
      <c r="R90" s="116">
        <f t="shared" si="94"/>
        <v>48000</v>
      </c>
      <c r="S90" s="125">
        <f t="shared" si="94"/>
        <v>96000</v>
      </c>
      <c r="T90" s="116">
        <f t="shared" si="94"/>
        <v>144000</v>
      </c>
      <c r="U90" s="116">
        <f t="shared" si="94"/>
        <v>192000</v>
      </c>
      <c r="V90" s="116">
        <f t="shared" si="94"/>
        <v>240000</v>
      </c>
      <c r="W90" s="116">
        <f t="shared" si="94"/>
        <v>288000</v>
      </c>
      <c r="X90" s="116">
        <f t="shared" si="94"/>
        <v>336000</v>
      </c>
      <c r="Y90" s="116">
        <f t="shared" si="94"/>
        <v>384000</v>
      </c>
      <c r="Z90" s="116">
        <f t="shared" si="94"/>
        <v>432000</v>
      </c>
      <c r="AA90" s="116">
        <f t="shared" si="94"/>
        <v>480000</v>
      </c>
      <c r="AB90" s="116">
        <f t="shared" si="94"/>
        <v>528000</v>
      </c>
      <c r="AC90" s="116">
        <f t="shared" si="94"/>
        <v>576000</v>
      </c>
      <c r="AD90" s="116">
        <f t="shared" si="94"/>
        <v>624000</v>
      </c>
      <c r="AE90" s="125">
        <f t="shared" si="94"/>
        <v>672000</v>
      </c>
      <c r="AF90" s="116">
        <f t="shared" si="94"/>
        <v>720000</v>
      </c>
      <c r="AG90" s="116">
        <f t="shared" si="94"/>
        <v>768000</v>
      </c>
      <c r="AH90" s="116">
        <f t="shared" si="94"/>
        <v>816000</v>
      </c>
      <c r="AI90" s="116">
        <f t="shared" si="94"/>
        <v>864000</v>
      </c>
      <c r="AJ90" s="116">
        <f t="shared" si="94"/>
        <v>912000</v>
      </c>
      <c r="AK90" s="116">
        <f t="shared" si="94"/>
        <v>960000</v>
      </c>
      <c r="AL90" s="116">
        <f t="shared" si="94"/>
        <v>1008000</v>
      </c>
      <c r="AM90" s="116">
        <f t="shared" si="94"/>
        <v>1056000</v>
      </c>
      <c r="AN90" s="116">
        <f t="shared" si="94"/>
        <v>1104000</v>
      </c>
      <c r="AO90" s="116">
        <f t="shared" si="94"/>
        <v>1152000</v>
      </c>
      <c r="AP90" s="116">
        <f t="shared" si="94"/>
        <v>1200000</v>
      </c>
      <c r="AQ90" s="31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31"/>
      <c r="BD90" s="31"/>
      <c r="BE90" s="116">
        <f t="shared" si="88"/>
        <v>72000</v>
      </c>
      <c r="BF90" s="116">
        <f t="shared" si="89"/>
        <v>4320000</v>
      </c>
      <c r="BG90" s="116">
        <f t="shared" si="90"/>
        <v>11232000</v>
      </c>
      <c r="BH90" s="31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</row>
    <row r="91" spans="1:79" ht="14.25" customHeight="1" outlineLevel="1" x14ac:dyDescent="0.25">
      <c r="A91" s="22"/>
      <c r="B91" s="22" t="str">
        <f>B188</f>
        <v>SaaS</v>
      </c>
      <c r="C91" s="22"/>
      <c r="D91" s="22"/>
      <c r="E91" s="22"/>
      <c r="F91" s="80"/>
      <c r="G91" s="116">
        <f t="shared" ref="G91:AP91" si="95">G571</f>
        <v>0</v>
      </c>
      <c r="H91" s="116">
        <f t="shared" si="95"/>
        <v>0</v>
      </c>
      <c r="I91" s="116">
        <f t="shared" si="95"/>
        <v>0</v>
      </c>
      <c r="J91" s="116">
        <f t="shared" si="95"/>
        <v>0</v>
      </c>
      <c r="K91" s="116">
        <f t="shared" si="95"/>
        <v>0</v>
      </c>
      <c r="L91" s="116">
        <f t="shared" si="95"/>
        <v>0</v>
      </c>
      <c r="M91" s="116">
        <f t="shared" si="95"/>
        <v>0</v>
      </c>
      <c r="N91" s="116">
        <f t="shared" si="95"/>
        <v>0</v>
      </c>
      <c r="O91" s="116">
        <f t="shared" si="95"/>
        <v>0</v>
      </c>
      <c r="P91" s="116">
        <f t="shared" si="95"/>
        <v>0</v>
      </c>
      <c r="Q91" s="116">
        <f t="shared" si="95"/>
        <v>0</v>
      </c>
      <c r="R91" s="116">
        <f t="shared" si="95"/>
        <v>0</v>
      </c>
      <c r="S91" s="125">
        <f t="shared" si="95"/>
        <v>0</v>
      </c>
      <c r="T91" s="116">
        <f t="shared" si="95"/>
        <v>0</v>
      </c>
      <c r="U91" s="116">
        <f t="shared" si="95"/>
        <v>0</v>
      </c>
      <c r="V91" s="116">
        <f t="shared" si="95"/>
        <v>0</v>
      </c>
      <c r="W91" s="116">
        <f t="shared" si="95"/>
        <v>0</v>
      </c>
      <c r="X91" s="116">
        <f t="shared" si="95"/>
        <v>58436.458333333328</v>
      </c>
      <c r="Y91" s="116">
        <f t="shared" si="95"/>
        <v>66393.458333333328</v>
      </c>
      <c r="Z91" s="116">
        <f t="shared" si="95"/>
        <v>82725.873333333337</v>
      </c>
      <c r="AA91" s="116">
        <f t="shared" si="95"/>
        <v>92046.634633333335</v>
      </c>
      <c r="AB91" s="116">
        <f t="shared" si="95"/>
        <v>102159.83309433336</v>
      </c>
      <c r="AC91" s="116">
        <f t="shared" si="95"/>
        <v>113148.90160150337</v>
      </c>
      <c r="AD91" s="116">
        <f t="shared" si="95"/>
        <v>125105.49065345828</v>
      </c>
      <c r="AE91" s="125">
        <f t="shared" si="95"/>
        <v>144791.93917185452</v>
      </c>
      <c r="AF91" s="116">
        <f t="shared" si="95"/>
        <v>157561.87704373893</v>
      </c>
      <c r="AG91" s="116">
        <f t="shared" si="95"/>
        <v>171212.70996322995</v>
      </c>
      <c r="AH91" s="116">
        <f t="shared" si="95"/>
        <v>185819.13053360055</v>
      </c>
      <c r="AI91" s="116">
        <f t="shared" si="95"/>
        <v>201461.68013640138</v>
      </c>
      <c r="AJ91" s="116">
        <f t="shared" si="95"/>
        <v>218227.22063262295</v>
      </c>
      <c r="AK91" s="116">
        <f t="shared" si="95"/>
        <v>243937.56868598293</v>
      </c>
      <c r="AL91" s="116">
        <f t="shared" si="95"/>
        <v>263237.54572152923</v>
      </c>
      <c r="AM91" s="116">
        <f t="shared" si="95"/>
        <v>283964.32177369919</v>
      </c>
      <c r="AN91" s="116">
        <f t="shared" si="95"/>
        <v>306235.55673820933</v>
      </c>
      <c r="AO91" s="116">
        <f t="shared" si="95"/>
        <v>337906.34282320185</v>
      </c>
      <c r="AP91" s="116">
        <f t="shared" si="95"/>
        <v>363657.45229861571</v>
      </c>
      <c r="AQ91" s="31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31"/>
      <c r="BD91" s="31"/>
      <c r="BE91" s="116">
        <f t="shared" si="88"/>
        <v>0</v>
      </c>
      <c r="BF91" s="116">
        <f t="shared" si="89"/>
        <v>640016.64998262841</v>
      </c>
      <c r="BG91" s="116">
        <f t="shared" si="90"/>
        <v>2878013.3455226864</v>
      </c>
      <c r="BH91" s="31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</row>
    <row r="92" spans="1:79" ht="14.25" customHeight="1" outlineLevel="1" x14ac:dyDescent="0.25">
      <c r="A92" s="22"/>
      <c r="B92" s="22" t="str">
        <f t="shared" ref="B92:B94" si="96">B184</f>
        <v>Corrections</v>
      </c>
      <c r="C92" s="22"/>
      <c r="D92" s="22"/>
      <c r="E92" s="22"/>
      <c r="F92" s="80"/>
      <c r="G92" s="116">
        <f t="shared" ref="G92:W92" si="97">G396</f>
        <v>0</v>
      </c>
      <c r="H92" s="116">
        <f t="shared" si="97"/>
        <v>0</v>
      </c>
      <c r="I92" s="116">
        <f t="shared" si="97"/>
        <v>0</v>
      </c>
      <c r="J92" s="116">
        <f t="shared" si="97"/>
        <v>0</v>
      </c>
      <c r="K92" s="116">
        <f t="shared" si="97"/>
        <v>0</v>
      </c>
      <c r="L92" s="116">
        <f t="shared" si="97"/>
        <v>0</v>
      </c>
      <c r="M92" s="116">
        <f t="shared" si="97"/>
        <v>0</v>
      </c>
      <c r="N92" s="116">
        <f t="shared" si="97"/>
        <v>0</v>
      </c>
      <c r="O92" s="116">
        <f t="shared" si="97"/>
        <v>0</v>
      </c>
      <c r="P92" s="116">
        <f t="shared" si="97"/>
        <v>0</v>
      </c>
      <c r="Q92" s="116">
        <f t="shared" si="97"/>
        <v>0</v>
      </c>
      <c r="R92" s="116">
        <f t="shared" si="97"/>
        <v>0</v>
      </c>
      <c r="S92" s="125">
        <f t="shared" si="97"/>
        <v>0</v>
      </c>
      <c r="T92" s="116">
        <f t="shared" si="97"/>
        <v>0</v>
      </c>
      <c r="U92" s="116">
        <f t="shared" si="97"/>
        <v>0</v>
      </c>
      <c r="V92" s="116">
        <f t="shared" si="97"/>
        <v>0</v>
      </c>
      <c r="W92" s="116">
        <f t="shared" si="97"/>
        <v>0</v>
      </c>
      <c r="X92" s="116">
        <f t="shared" ref="X92:AP92" si="98">X392</f>
        <v>0</v>
      </c>
      <c r="Y92" s="116">
        <f t="shared" si="98"/>
        <v>726000.00000000012</v>
      </c>
      <c r="Z92" s="116">
        <f t="shared" si="98"/>
        <v>726000.00000000012</v>
      </c>
      <c r="AA92" s="116">
        <f t="shared" si="98"/>
        <v>726000.00000000012</v>
      </c>
      <c r="AB92" s="116">
        <f t="shared" si="98"/>
        <v>1452000.0000000002</v>
      </c>
      <c r="AC92" s="116">
        <f t="shared" si="98"/>
        <v>1452000.0000000002</v>
      </c>
      <c r="AD92" s="116">
        <f t="shared" si="98"/>
        <v>1452000.0000000002</v>
      </c>
      <c r="AE92" s="125">
        <f t="shared" si="98"/>
        <v>2178000.0000000005</v>
      </c>
      <c r="AF92" s="116">
        <f t="shared" si="98"/>
        <v>2178000.0000000005</v>
      </c>
      <c r="AG92" s="116">
        <f t="shared" si="98"/>
        <v>2904000.0000000005</v>
      </c>
      <c r="AH92" s="116">
        <f t="shared" si="98"/>
        <v>2904000.0000000005</v>
      </c>
      <c r="AI92" s="116">
        <f t="shared" si="98"/>
        <v>3630000.0000000005</v>
      </c>
      <c r="AJ92" s="116">
        <f t="shared" si="98"/>
        <v>3630000.0000000005</v>
      </c>
      <c r="AK92" s="116">
        <f t="shared" si="98"/>
        <v>3630000.0000000005</v>
      </c>
      <c r="AL92" s="116">
        <f t="shared" si="98"/>
        <v>6006000</v>
      </c>
      <c r="AM92" s="116">
        <f t="shared" si="98"/>
        <v>6732000</v>
      </c>
      <c r="AN92" s="116">
        <f t="shared" si="98"/>
        <v>6732000</v>
      </c>
      <c r="AO92" s="116">
        <f t="shared" si="98"/>
        <v>6732000</v>
      </c>
      <c r="AP92" s="116">
        <f t="shared" si="98"/>
        <v>9108000</v>
      </c>
      <c r="AQ92" s="31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31"/>
      <c r="BD92" s="31"/>
      <c r="BE92" s="116">
        <f t="shared" si="88"/>
        <v>0</v>
      </c>
      <c r="BF92" s="116">
        <f t="shared" si="89"/>
        <v>6534000.0000000009</v>
      </c>
      <c r="BG92" s="116">
        <f t="shared" si="90"/>
        <v>56364000</v>
      </c>
      <c r="BH92" s="31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</row>
    <row r="93" spans="1:79" ht="14.25" customHeight="1" outlineLevel="1" x14ac:dyDescent="0.25">
      <c r="A93" s="22"/>
      <c r="B93" s="22" t="str">
        <f t="shared" si="96"/>
        <v>Healthcare Compliance</v>
      </c>
      <c r="C93" s="22"/>
      <c r="D93" s="22"/>
      <c r="E93" s="22"/>
      <c r="F93" s="80"/>
      <c r="G93" s="116">
        <f t="shared" ref="G93:AP93" si="99">G484</f>
        <v>0</v>
      </c>
      <c r="H93" s="116">
        <f t="shared" si="99"/>
        <v>0</v>
      </c>
      <c r="I93" s="116">
        <f t="shared" si="99"/>
        <v>0</v>
      </c>
      <c r="J93" s="116">
        <f t="shared" si="99"/>
        <v>0</v>
      </c>
      <c r="K93" s="116">
        <f t="shared" si="99"/>
        <v>0</v>
      </c>
      <c r="L93" s="116">
        <f t="shared" si="99"/>
        <v>0</v>
      </c>
      <c r="M93" s="116">
        <f t="shared" si="99"/>
        <v>0</v>
      </c>
      <c r="N93" s="116">
        <f t="shared" si="99"/>
        <v>0</v>
      </c>
      <c r="O93" s="116">
        <f t="shared" si="99"/>
        <v>0</v>
      </c>
      <c r="P93" s="116">
        <f t="shared" si="99"/>
        <v>0</v>
      </c>
      <c r="Q93" s="116">
        <f t="shared" si="99"/>
        <v>0</v>
      </c>
      <c r="R93" s="116">
        <f t="shared" si="99"/>
        <v>0</v>
      </c>
      <c r="S93" s="125">
        <f t="shared" si="99"/>
        <v>0</v>
      </c>
      <c r="T93" s="116">
        <f t="shared" si="99"/>
        <v>0</v>
      </c>
      <c r="U93" s="116">
        <f t="shared" si="99"/>
        <v>0</v>
      </c>
      <c r="V93" s="116">
        <f t="shared" si="99"/>
        <v>0</v>
      </c>
      <c r="W93" s="116">
        <f t="shared" si="99"/>
        <v>0</v>
      </c>
      <c r="X93" s="116">
        <f t="shared" si="99"/>
        <v>0</v>
      </c>
      <c r="Y93" s="116">
        <f t="shared" si="99"/>
        <v>0</v>
      </c>
      <c r="Z93" s="116">
        <f t="shared" si="99"/>
        <v>0</v>
      </c>
      <c r="AA93" s="116">
        <f t="shared" si="99"/>
        <v>0</v>
      </c>
      <c r="AB93" s="116">
        <f t="shared" si="99"/>
        <v>31371.666666666668</v>
      </c>
      <c r="AC93" s="116">
        <f t="shared" si="99"/>
        <v>33576.666666666672</v>
      </c>
      <c r="AD93" s="116">
        <f t="shared" si="99"/>
        <v>58698.333333333328</v>
      </c>
      <c r="AE93" s="125">
        <f t="shared" si="99"/>
        <v>67495.833333333328</v>
      </c>
      <c r="AF93" s="116">
        <f t="shared" si="99"/>
        <v>73660.833333333328</v>
      </c>
      <c r="AG93" s="116">
        <f t="shared" si="99"/>
        <v>79825.833333333328</v>
      </c>
      <c r="AH93" s="116">
        <f t="shared" si="99"/>
        <v>96407.5</v>
      </c>
      <c r="AI93" s="116">
        <f t="shared" si="99"/>
        <v>102572.5</v>
      </c>
      <c r="AJ93" s="116">
        <f t="shared" si="99"/>
        <v>121237.5</v>
      </c>
      <c r="AK93" s="116">
        <f t="shared" si="99"/>
        <v>127402.5</v>
      </c>
      <c r="AL93" s="116">
        <f t="shared" si="99"/>
        <v>144983.33333333334</v>
      </c>
      <c r="AM93" s="116">
        <f t="shared" si="99"/>
        <v>166730.83333333334</v>
      </c>
      <c r="AN93" s="116">
        <f t="shared" si="99"/>
        <v>184311.66666666669</v>
      </c>
      <c r="AO93" s="116">
        <f t="shared" si="99"/>
        <v>193559.16666666669</v>
      </c>
      <c r="AP93" s="116">
        <f t="shared" si="99"/>
        <v>211140</v>
      </c>
      <c r="AQ93" s="31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31"/>
      <c r="BD93" s="31"/>
      <c r="BE93" s="116">
        <f t="shared" si="88"/>
        <v>0</v>
      </c>
      <c r="BF93" s="116">
        <f t="shared" si="89"/>
        <v>123646.66666666667</v>
      </c>
      <c r="BG93" s="116">
        <f t="shared" si="90"/>
        <v>1569327.5000000002</v>
      </c>
      <c r="BH93" s="31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</row>
    <row r="94" spans="1:79" ht="14.25" customHeight="1" outlineLevel="1" x14ac:dyDescent="0.25">
      <c r="A94" s="22"/>
      <c r="B94" s="22" t="str">
        <f t="shared" si="96"/>
        <v>Employee Wellness</v>
      </c>
      <c r="C94" s="22"/>
      <c r="D94" s="22"/>
      <c r="E94" s="22"/>
      <c r="F94" s="80"/>
      <c r="G94" s="116">
        <f t="shared" ref="G94:AP94" si="100">G443</f>
        <v>0</v>
      </c>
      <c r="H94" s="116">
        <f t="shared" si="100"/>
        <v>0</v>
      </c>
      <c r="I94" s="116">
        <f t="shared" si="100"/>
        <v>0</v>
      </c>
      <c r="J94" s="116">
        <f t="shared" si="100"/>
        <v>0</v>
      </c>
      <c r="K94" s="116">
        <f t="shared" si="100"/>
        <v>0</v>
      </c>
      <c r="L94" s="116">
        <f t="shared" si="100"/>
        <v>0</v>
      </c>
      <c r="M94" s="116">
        <f t="shared" si="100"/>
        <v>0</v>
      </c>
      <c r="N94" s="116">
        <f t="shared" si="100"/>
        <v>0</v>
      </c>
      <c r="O94" s="116">
        <f t="shared" si="100"/>
        <v>0</v>
      </c>
      <c r="P94" s="116">
        <f t="shared" si="100"/>
        <v>0</v>
      </c>
      <c r="Q94" s="116">
        <f t="shared" si="100"/>
        <v>0</v>
      </c>
      <c r="R94" s="116">
        <f t="shared" si="100"/>
        <v>0</v>
      </c>
      <c r="S94" s="125">
        <f t="shared" si="100"/>
        <v>0</v>
      </c>
      <c r="T94" s="116">
        <f t="shared" si="100"/>
        <v>0</v>
      </c>
      <c r="U94" s="116">
        <f t="shared" si="100"/>
        <v>0</v>
      </c>
      <c r="V94" s="116">
        <f t="shared" si="100"/>
        <v>0</v>
      </c>
      <c r="W94" s="116">
        <f t="shared" si="100"/>
        <v>0</v>
      </c>
      <c r="X94" s="116">
        <f t="shared" si="100"/>
        <v>0</v>
      </c>
      <c r="Y94" s="116">
        <f t="shared" si="100"/>
        <v>0</v>
      </c>
      <c r="Z94" s="116">
        <f t="shared" si="100"/>
        <v>0</v>
      </c>
      <c r="AA94" s="116">
        <f t="shared" si="100"/>
        <v>0</v>
      </c>
      <c r="AB94" s="116">
        <f t="shared" si="100"/>
        <v>0</v>
      </c>
      <c r="AC94" s="116">
        <f t="shared" si="100"/>
        <v>0</v>
      </c>
      <c r="AD94" s="116">
        <f t="shared" si="100"/>
        <v>0</v>
      </c>
      <c r="AE94" s="125">
        <f t="shared" si="100"/>
        <v>0</v>
      </c>
      <c r="AF94" s="116">
        <f t="shared" si="100"/>
        <v>0</v>
      </c>
      <c r="AG94" s="116">
        <f t="shared" si="100"/>
        <v>0</v>
      </c>
      <c r="AH94" s="116">
        <f t="shared" si="100"/>
        <v>0</v>
      </c>
      <c r="AI94" s="116">
        <f t="shared" si="100"/>
        <v>0</v>
      </c>
      <c r="AJ94" s="116">
        <f t="shared" si="100"/>
        <v>0</v>
      </c>
      <c r="AK94" s="116">
        <f t="shared" si="100"/>
        <v>0</v>
      </c>
      <c r="AL94" s="116">
        <f t="shared" si="100"/>
        <v>0</v>
      </c>
      <c r="AM94" s="116">
        <f t="shared" si="100"/>
        <v>0</v>
      </c>
      <c r="AN94" s="116">
        <f t="shared" si="100"/>
        <v>0</v>
      </c>
      <c r="AO94" s="116">
        <f t="shared" si="100"/>
        <v>0</v>
      </c>
      <c r="AP94" s="116">
        <f t="shared" si="100"/>
        <v>0</v>
      </c>
      <c r="AQ94" s="31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31"/>
      <c r="BD94" s="31"/>
      <c r="BE94" s="116">
        <f t="shared" si="88"/>
        <v>0</v>
      </c>
      <c r="BF94" s="116">
        <f t="shared" si="89"/>
        <v>0</v>
      </c>
      <c r="BG94" s="116">
        <f t="shared" si="90"/>
        <v>0</v>
      </c>
      <c r="BH94" s="31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</row>
    <row r="95" spans="1:79" ht="14.25" customHeight="1" outlineLevel="1" x14ac:dyDescent="0.25">
      <c r="A95" s="22"/>
      <c r="B95" s="22"/>
      <c r="C95" s="22"/>
      <c r="D95" s="22"/>
      <c r="E95" s="22"/>
      <c r="F95" s="80"/>
      <c r="G95" s="82"/>
      <c r="H95" s="82"/>
      <c r="I95" s="82"/>
      <c r="J95" s="82"/>
      <c r="K95" s="82"/>
      <c r="L95" s="22"/>
      <c r="M95" s="116"/>
      <c r="N95" s="116"/>
      <c r="O95" s="116"/>
      <c r="P95" s="116"/>
      <c r="Q95" s="116"/>
      <c r="R95" s="116"/>
      <c r="S95" s="125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25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31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31"/>
      <c r="BD95" s="31"/>
      <c r="BE95" s="116"/>
      <c r="BF95" s="116"/>
      <c r="BG95" s="116"/>
      <c r="BH95" s="31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</row>
    <row r="96" spans="1:79" ht="14.25" customHeight="1" outlineLevel="1" x14ac:dyDescent="0.25">
      <c r="A96" s="30" t="s">
        <v>22</v>
      </c>
      <c r="B96" s="30"/>
      <c r="C96" s="30"/>
      <c r="D96" s="30"/>
      <c r="E96" s="30"/>
      <c r="F96" s="110"/>
      <c r="G96" s="126">
        <f t="shared" ref="G96:BB96" si="101">SUM(G97:G105)</f>
        <v>275901.05</v>
      </c>
      <c r="H96" s="126">
        <f t="shared" si="101"/>
        <v>183952.06</v>
      </c>
      <c r="I96" s="126">
        <f t="shared" si="101"/>
        <v>302255.32000000007</v>
      </c>
      <c r="J96" s="126">
        <f t="shared" si="101"/>
        <v>152872.11166666672</v>
      </c>
      <c r="K96" s="126">
        <f t="shared" si="101"/>
        <v>495125.8488652482</v>
      </c>
      <c r="L96" s="126">
        <f t="shared" si="101"/>
        <v>448514.770761227</v>
      </c>
      <c r="M96" s="126">
        <f t="shared" si="101"/>
        <v>452376.24812530208</v>
      </c>
      <c r="N96" s="126">
        <f t="shared" si="101"/>
        <v>573143.30833333335</v>
      </c>
      <c r="O96" s="126">
        <f t="shared" si="101"/>
        <v>714065.90833333333</v>
      </c>
      <c r="P96" s="126">
        <f t="shared" si="101"/>
        <v>752548.50833333342</v>
      </c>
      <c r="Q96" s="126">
        <f t="shared" si="101"/>
        <v>956129.70833333337</v>
      </c>
      <c r="R96" s="126">
        <f t="shared" si="101"/>
        <v>1087802.5083333333</v>
      </c>
      <c r="S96" s="127">
        <f t="shared" si="101"/>
        <v>1311861.0833333333</v>
      </c>
      <c r="T96" s="126">
        <f t="shared" si="101"/>
        <v>1531919.6583333334</v>
      </c>
      <c r="U96" s="126">
        <f t="shared" si="101"/>
        <v>1754845.7250000001</v>
      </c>
      <c r="V96" s="126">
        <f t="shared" si="101"/>
        <v>1965304.7000000002</v>
      </c>
      <c r="W96" s="126">
        <f t="shared" si="101"/>
        <v>2177430.9666666668</v>
      </c>
      <c r="X96" s="126">
        <f t="shared" si="101"/>
        <v>2360130.3416666663</v>
      </c>
      <c r="Y96" s="126">
        <f t="shared" si="101"/>
        <v>2689364.9250000003</v>
      </c>
      <c r="Z96" s="126">
        <f t="shared" si="101"/>
        <v>2902887.6390833333</v>
      </c>
      <c r="AA96" s="126">
        <f t="shared" si="101"/>
        <v>3113950.7884941669</v>
      </c>
      <c r="AB96" s="126">
        <f t="shared" si="101"/>
        <v>3406129.5937560084</v>
      </c>
      <c r="AC96" s="126">
        <f t="shared" si="101"/>
        <v>3615785.268618328</v>
      </c>
      <c r="AD96" s="126">
        <f t="shared" si="101"/>
        <v>3800038.9718689448</v>
      </c>
      <c r="AE96" s="127">
        <f t="shared" si="101"/>
        <v>4103309.5742101106</v>
      </c>
      <c r="AF96" s="126">
        <f t="shared" si="101"/>
        <v>4318057.4951148862</v>
      </c>
      <c r="AG96" s="126">
        <f t="shared" si="101"/>
        <v>4634012.2276607184</v>
      </c>
      <c r="AH96" s="126">
        <f t="shared" si="101"/>
        <v>4828796.3954621181</v>
      </c>
      <c r="AI96" s="126">
        <f t="shared" si="101"/>
        <v>5135268.4328799732</v>
      </c>
      <c r="AJ96" s="126">
        <f t="shared" si="101"/>
        <v>5327160.4700344978</v>
      </c>
      <c r="AK96" s="126">
        <f t="shared" si="101"/>
        <v>5524115.7558123264</v>
      </c>
      <c r="AL96" s="126">
        <f t="shared" si="101"/>
        <v>6202652.7017304627</v>
      </c>
      <c r="AM96" s="126">
        <f t="shared" si="101"/>
        <v>6508973.7083451217</v>
      </c>
      <c r="AN96" s="126">
        <f t="shared" si="101"/>
        <v>6713236.8368280008</v>
      </c>
      <c r="AO96" s="126">
        <f t="shared" si="101"/>
        <v>6914371.2226750515</v>
      </c>
      <c r="AP96" s="126">
        <f t="shared" si="101"/>
        <v>7602195.1629361752</v>
      </c>
      <c r="AQ96" s="127">
        <f t="shared" si="101"/>
        <v>0</v>
      </c>
      <c r="AR96" s="126">
        <f t="shared" si="101"/>
        <v>0</v>
      </c>
      <c r="AS96" s="126">
        <f t="shared" si="101"/>
        <v>0</v>
      </c>
      <c r="AT96" s="126">
        <f t="shared" si="101"/>
        <v>0</v>
      </c>
      <c r="AU96" s="126">
        <f t="shared" si="101"/>
        <v>0</v>
      </c>
      <c r="AV96" s="126">
        <f t="shared" si="101"/>
        <v>0</v>
      </c>
      <c r="AW96" s="126">
        <f t="shared" si="101"/>
        <v>0</v>
      </c>
      <c r="AX96" s="126">
        <f t="shared" si="101"/>
        <v>0</v>
      </c>
      <c r="AY96" s="126">
        <f t="shared" si="101"/>
        <v>0</v>
      </c>
      <c r="AZ96" s="126">
        <f t="shared" si="101"/>
        <v>0</v>
      </c>
      <c r="BA96" s="126">
        <f t="shared" si="101"/>
        <v>0</v>
      </c>
      <c r="BB96" s="126">
        <f t="shared" si="101"/>
        <v>0</v>
      </c>
      <c r="BC96" s="127"/>
      <c r="BD96" s="127">
        <f t="shared" ref="BD96:BG96" si="102">SUM(BD97:BD105)</f>
        <v>0</v>
      </c>
      <c r="BE96" s="126">
        <f t="shared" si="102"/>
        <v>6394687.3510851106</v>
      </c>
      <c r="BF96" s="126">
        <f t="shared" si="102"/>
        <v>30629649.661820784</v>
      </c>
      <c r="BG96" s="126">
        <f t="shared" si="102"/>
        <v>67812149.983689457</v>
      </c>
      <c r="BH96" s="111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</row>
    <row r="97" spans="1:79" ht="14.25" customHeight="1" outlineLevel="1" x14ac:dyDescent="0.25">
      <c r="A97" s="22"/>
      <c r="B97" s="22" t="str">
        <f t="shared" ref="B97:B104" si="103">B87</f>
        <v>VA Mental Health</v>
      </c>
      <c r="C97" s="22"/>
      <c r="D97" s="22"/>
      <c r="E97" s="22"/>
      <c r="F97" s="80"/>
      <c r="G97" s="116">
        <f t="shared" ref="G97:AP97" si="104">G178-G87</f>
        <v>259933.05</v>
      </c>
      <c r="H97" s="116">
        <f t="shared" si="104"/>
        <v>164492.06</v>
      </c>
      <c r="I97" s="116">
        <f t="shared" si="104"/>
        <v>272915.32000000007</v>
      </c>
      <c r="J97" s="116">
        <f t="shared" si="104"/>
        <v>124048.32000000007</v>
      </c>
      <c r="K97" s="116">
        <f t="shared" si="104"/>
        <v>449015.84</v>
      </c>
      <c r="L97" s="116">
        <f t="shared" si="104"/>
        <v>355595.79576122697</v>
      </c>
      <c r="M97" s="116">
        <f t="shared" si="104"/>
        <v>330008.93979196873</v>
      </c>
      <c r="N97" s="116">
        <f t="shared" si="104"/>
        <v>478795</v>
      </c>
      <c r="O97" s="116">
        <f t="shared" si="104"/>
        <v>548235</v>
      </c>
      <c r="P97" s="116">
        <f t="shared" si="104"/>
        <v>516770</v>
      </c>
      <c r="Q97" s="116">
        <f t="shared" si="104"/>
        <v>567610</v>
      </c>
      <c r="R97" s="116">
        <f t="shared" si="104"/>
        <v>586985</v>
      </c>
      <c r="S97" s="125">
        <f t="shared" si="104"/>
        <v>599850</v>
      </c>
      <c r="T97" s="116">
        <f t="shared" si="104"/>
        <v>612715</v>
      </c>
      <c r="U97" s="116">
        <f t="shared" si="104"/>
        <v>625580</v>
      </c>
      <c r="V97" s="116">
        <f t="shared" si="104"/>
        <v>638445</v>
      </c>
      <c r="W97" s="116">
        <f t="shared" si="104"/>
        <v>651310</v>
      </c>
      <c r="X97" s="116">
        <f t="shared" si="104"/>
        <v>664175</v>
      </c>
      <c r="Y97" s="116">
        <f t="shared" si="104"/>
        <v>677040</v>
      </c>
      <c r="Z97" s="116">
        <f t="shared" si="104"/>
        <v>689905</v>
      </c>
      <c r="AA97" s="116">
        <f t="shared" si="104"/>
        <v>702770</v>
      </c>
      <c r="AB97" s="116">
        <f t="shared" si="104"/>
        <v>715635</v>
      </c>
      <c r="AC97" s="116">
        <f t="shared" si="104"/>
        <v>728500</v>
      </c>
      <c r="AD97" s="116">
        <f t="shared" si="104"/>
        <v>741365</v>
      </c>
      <c r="AE97" s="125">
        <f t="shared" si="104"/>
        <v>754230</v>
      </c>
      <c r="AF97" s="116">
        <f t="shared" si="104"/>
        <v>767095</v>
      </c>
      <c r="AG97" s="116">
        <f t="shared" si="104"/>
        <v>779960</v>
      </c>
      <c r="AH97" s="116">
        <f t="shared" si="104"/>
        <v>792825</v>
      </c>
      <c r="AI97" s="116">
        <f t="shared" si="104"/>
        <v>805690</v>
      </c>
      <c r="AJ97" s="116">
        <f t="shared" si="104"/>
        <v>818555</v>
      </c>
      <c r="AK97" s="116">
        <f t="shared" si="104"/>
        <v>831420</v>
      </c>
      <c r="AL97" s="116">
        <f t="shared" si="104"/>
        <v>844285</v>
      </c>
      <c r="AM97" s="116">
        <f t="shared" si="104"/>
        <v>857150</v>
      </c>
      <c r="AN97" s="116">
        <f t="shared" si="104"/>
        <v>870015</v>
      </c>
      <c r="AO97" s="116">
        <f t="shared" si="104"/>
        <v>882880</v>
      </c>
      <c r="AP97" s="116">
        <f t="shared" si="104"/>
        <v>895745</v>
      </c>
      <c r="AQ97" s="31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31"/>
      <c r="BD97" s="31"/>
      <c r="BE97" s="116">
        <f t="shared" ref="BE97:BG97" si="105">BE178-BE87</f>
        <v>4654404.3255531956</v>
      </c>
      <c r="BF97" s="116">
        <f t="shared" si="105"/>
        <v>8047290</v>
      </c>
      <c r="BG97" s="116">
        <f t="shared" si="105"/>
        <v>9899850</v>
      </c>
      <c r="BH97" s="31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</row>
    <row r="98" spans="1:79" ht="14.25" customHeight="1" outlineLevel="1" x14ac:dyDescent="0.25">
      <c r="A98" s="22"/>
      <c r="B98" s="22" t="str">
        <f t="shared" si="103"/>
        <v>VA Medical Evaluations</v>
      </c>
      <c r="C98" s="22"/>
      <c r="D98" s="22"/>
      <c r="E98" s="22"/>
      <c r="F98" s="80"/>
      <c r="G98" s="116">
        <f t="shared" ref="G98:AP98" si="106">G179-G88</f>
        <v>15968</v>
      </c>
      <c r="H98" s="116">
        <f t="shared" si="106"/>
        <v>19460</v>
      </c>
      <c r="I98" s="116">
        <f t="shared" si="106"/>
        <v>29340</v>
      </c>
      <c r="J98" s="116">
        <f t="shared" si="106"/>
        <v>32265</v>
      </c>
      <c r="K98" s="116">
        <f t="shared" si="106"/>
        <v>35540.425531914894</v>
      </c>
      <c r="L98" s="116">
        <f t="shared" si="106"/>
        <v>33490</v>
      </c>
      <c r="M98" s="116">
        <f t="shared" si="106"/>
        <v>48480</v>
      </c>
      <c r="N98" s="116">
        <f t="shared" si="106"/>
        <v>50460</v>
      </c>
      <c r="O98" s="116">
        <f t="shared" si="106"/>
        <v>52345</v>
      </c>
      <c r="P98" s="116">
        <f t="shared" si="106"/>
        <v>56695</v>
      </c>
      <c r="Q98" s="116">
        <f t="shared" si="106"/>
        <v>89740</v>
      </c>
      <c r="R98" s="116">
        <f t="shared" si="106"/>
        <v>124740</v>
      </c>
      <c r="S98" s="125">
        <f t="shared" si="106"/>
        <v>143406.66666666663</v>
      </c>
      <c r="T98" s="116">
        <f t="shared" si="106"/>
        <v>162073.33333333331</v>
      </c>
      <c r="U98" s="116">
        <f t="shared" si="106"/>
        <v>180739.99999999994</v>
      </c>
      <c r="V98" s="116">
        <f t="shared" si="106"/>
        <v>199406.66666666663</v>
      </c>
      <c r="W98" s="116">
        <f t="shared" si="106"/>
        <v>218073.33333333326</v>
      </c>
      <c r="X98" s="116">
        <f t="shared" si="106"/>
        <v>236739.99999999991</v>
      </c>
      <c r="Y98" s="116">
        <f t="shared" si="106"/>
        <v>255406.6666666666</v>
      </c>
      <c r="Z98" s="116">
        <f t="shared" si="106"/>
        <v>274073.33333333326</v>
      </c>
      <c r="AA98" s="116">
        <f t="shared" si="106"/>
        <v>292739.99999999988</v>
      </c>
      <c r="AB98" s="116">
        <f t="shared" si="106"/>
        <v>311406.66666666663</v>
      </c>
      <c r="AC98" s="116">
        <f t="shared" si="106"/>
        <v>330073.33333333326</v>
      </c>
      <c r="AD98" s="116">
        <f t="shared" si="106"/>
        <v>348740</v>
      </c>
      <c r="AE98" s="125">
        <f t="shared" si="106"/>
        <v>367406.66666666674</v>
      </c>
      <c r="AF98" s="116">
        <f t="shared" si="106"/>
        <v>386073.33333333337</v>
      </c>
      <c r="AG98" s="116">
        <f t="shared" si="106"/>
        <v>404740.00000000006</v>
      </c>
      <c r="AH98" s="116">
        <f t="shared" si="106"/>
        <v>423406.66666666674</v>
      </c>
      <c r="AI98" s="116">
        <f t="shared" si="106"/>
        <v>442073.33333333349</v>
      </c>
      <c r="AJ98" s="116">
        <f t="shared" si="106"/>
        <v>460740.00000000017</v>
      </c>
      <c r="AK98" s="116">
        <f t="shared" si="106"/>
        <v>479406.6666666668</v>
      </c>
      <c r="AL98" s="116">
        <f t="shared" si="106"/>
        <v>498073.33333333355</v>
      </c>
      <c r="AM98" s="116">
        <f t="shared" si="106"/>
        <v>516740.00000000023</v>
      </c>
      <c r="AN98" s="116">
        <f t="shared" si="106"/>
        <v>535406.66666666698</v>
      </c>
      <c r="AO98" s="116">
        <f t="shared" si="106"/>
        <v>554073.3333333336</v>
      </c>
      <c r="AP98" s="116">
        <f t="shared" si="106"/>
        <v>572740.00000000023</v>
      </c>
      <c r="AQ98" s="31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31"/>
      <c r="BD98" s="31"/>
      <c r="BE98" s="116">
        <f t="shared" ref="BE98:BG98" si="107">BE179-BE88</f>
        <v>588523.42553191492</v>
      </c>
      <c r="BF98" s="116">
        <f t="shared" si="107"/>
        <v>2952879.9999999991</v>
      </c>
      <c r="BG98" s="116">
        <f t="shared" si="107"/>
        <v>5640880.0000000037</v>
      </c>
      <c r="BH98" s="31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</row>
    <row r="99" spans="1:79" ht="14.25" customHeight="1" outlineLevel="1" x14ac:dyDescent="0.25">
      <c r="A99" s="22"/>
      <c r="B99" s="22" t="str">
        <f t="shared" si="103"/>
        <v>Personal Injury</v>
      </c>
      <c r="C99" s="22"/>
      <c r="D99" s="22"/>
      <c r="E99" s="22"/>
      <c r="F99" s="80"/>
      <c r="G99" s="116">
        <f t="shared" ref="G99:AP99" si="108">G181-G89</f>
        <v>0</v>
      </c>
      <c r="H99" s="116">
        <f t="shared" si="108"/>
        <v>0</v>
      </c>
      <c r="I99" s="116">
        <f t="shared" si="108"/>
        <v>0</v>
      </c>
      <c r="J99" s="116">
        <f t="shared" si="108"/>
        <v>-3441.2083333333339</v>
      </c>
      <c r="K99" s="116">
        <f t="shared" si="108"/>
        <v>10569.583333333336</v>
      </c>
      <c r="L99" s="116">
        <f t="shared" si="108"/>
        <v>59428.975000000006</v>
      </c>
      <c r="M99" s="116">
        <f t="shared" si="108"/>
        <v>73887.308333333349</v>
      </c>
      <c r="N99" s="116">
        <f t="shared" si="108"/>
        <v>43888.308333333349</v>
      </c>
      <c r="O99" s="116">
        <f t="shared" si="108"/>
        <v>113485.90833333335</v>
      </c>
      <c r="P99" s="116">
        <f t="shared" si="108"/>
        <v>179083.50833333339</v>
      </c>
      <c r="Q99" s="116">
        <f t="shared" si="108"/>
        <v>280279.70833333337</v>
      </c>
      <c r="R99" s="116">
        <f t="shared" si="108"/>
        <v>339077.50833333342</v>
      </c>
      <c r="S99" s="125">
        <f t="shared" si="108"/>
        <v>494604.41666666669</v>
      </c>
      <c r="T99" s="116">
        <f t="shared" si="108"/>
        <v>646131.32500000019</v>
      </c>
      <c r="U99" s="116">
        <f t="shared" si="108"/>
        <v>800525.72500000009</v>
      </c>
      <c r="V99" s="116">
        <f t="shared" si="108"/>
        <v>942453.03333333356</v>
      </c>
      <c r="W99" s="116">
        <f t="shared" si="108"/>
        <v>1086047.6333333333</v>
      </c>
      <c r="X99" s="116">
        <f t="shared" si="108"/>
        <v>1224042.6333333331</v>
      </c>
      <c r="Y99" s="116">
        <f t="shared" si="108"/>
        <v>1346770.7416666669</v>
      </c>
      <c r="Z99" s="116">
        <f t="shared" si="108"/>
        <v>1468366.3416666666</v>
      </c>
      <c r="AA99" s="116">
        <f t="shared" si="108"/>
        <v>1577494.85</v>
      </c>
      <c r="AB99" s="116">
        <f t="shared" si="108"/>
        <v>1681490.85</v>
      </c>
      <c r="AC99" s="116">
        <f t="shared" si="108"/>
        <v>1779887.25</v>
      </c>
      <c r="AD99" s="116">
        <f t="shared" si="108"/>
        <v>1872684.0499999998</v>
      </c>
      <c r="AE99" s="125">
        <f t="shared" si="108"/>
        <v>1947400.4416666671</v>
      </c>
      <c r="AF99" s="116">
        <f t="shared" si="108"/>
        <v>2029397.4416666671</v>
      </c>
      <c r="AG99" s="116">
        <f t="shared" si="108"/>
        <v>2105794.8416666668</v>
      </c>
      <c r="AH99" s="116">
        <f t="shared" si="108"/>
        <v>2176992.041666667</v>
      </c>
      <c r="AI99" s="116">
        <f t="shared" si="108"/>
        <v>2236922.35</v>
      </c>
      <c r="AJ99" s="116">
        <f t="shared" si="108"/>
        <v>2299720.1500000004</v>
      </c>
      <c r="AK99" s="116">
        <f t="shared" si="108"/>
        <v>2358517.9500000002</v>
      </c>
      <c r="AL99" s="116">
        <f t="shared" si="108"/>
        <v>2414515.9500000002</v>
      </c>
      <c r="AM99" s="116">
        <f t="shared" si="108"/>
        <v>2463714.1500000004</v>
      </c>
      <c r="AN99" s="116">
        <f t="shared" si="108"/>
        <v>2510112.5500000007</v>
      </c>
      <c r="AO99" s="116">
        <f t="shared" si="108"/>
        <v>2546843.6583333337</v>
      </c>
      <c r="AP99" s="116">
        <f t="shared" si="108"/>
        <v>2589242.0583333331</v>
      </c>
      <c r="AQ99" s="31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31"/>
      <c r="BD99" s="31"/>
      <c r="BE99" s="116">
        <f t="shared" ref="BE99:BG99" si="109">BE181-BE89</f>
        <v>1096259.6000000006</v>
      </c>
      <c r="BF99" s="116">
        <f t="shared" si="109"/>
        <v>14920498.850000005</v>
      </c>
      <c r="BG99" s="116">
        <f t="shared" si="109"/>
        <v>27679173.58333334</v>
      </c>
      <c r="BH99" s="31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</row>
    <row r="100" spans="1:79" ht="14.25" customHeight="1" outlineLevel="1" x14ac:dyDescent="0.25">
      <c r="A100" s="22"/>
      <c r="B100" s="22" t="str">
        <f t="shared" si="103"/>
        <v>Workers Comp</v>
      </c>
      <c r="C100" s="22"/>
      <c r="D100" s="22"/>
      <c r="E100" s="22"/>
      <c r="F100" s="80"/>
      <c r="G100" s="116">
        <f t="shared" ref="G100:AP100" si="110">G182-G90</f>
        <v>0</v>
      </c>
      <c r="H100" s="116">
        <f t="shared" si="110"/>
        <v>0</v>
      </c>
      <c r="I100" s="116">
        <f t="shared" si="110"/>
        <v>0</v>
      </c>
      <c r="J100" s="116">
        <f t="shared" si="110"/>
        <v>0</v>
      </c>
      <c r="K100" s="116">
        <f t="shared" si="110"/>
        <v>0</v>
      </c>
      <c r="L100" s="116">
        <f t="shared" si="110"/>
        <v>0</v>
      </c>
      <c r="M100" s="116">
        <f t="shared" si="110"/>
        <v>0</v>
      </c>
      <c r="N100" s="116">
        <f t="shared" si="110"/>
        <v>0</v>
      </c>
      <c r="O100" s="116">
        <f t="shared" si="110"/>
        <v>0</v>
      </c>
      <c r="P100" s="116">
        <f t="shared" si="110"/>
        <v>0</v>
      </c>
      <c r="Q100" s="116">
        <f t="shared" si="110"/>
        <v>18500</v>
      </c>
      <c r="R100" s="116">
        <f t="shared" si="110"/>
        <v>37000</v>
      </c>
      <c r="S100" s="125">
        <f t="shared" si="110"/>
        <v>74000</v>
      </c>
      <c r="T100" s="116">
        <f t="shared" si="110"/>
        <v>111000</v>
      </c>
      <c r="U100" s="116">
        <f t="shared" si="110"/>
        <v>148000</v>
      </c>
      <c r="V100" s="116">
        <f t="shared" si="110"/>
        <v>185000</v>
      </c>
      <c r="W100" s="116">
        <f t="shared" si="110"/>
        <v>222000</v>
      </c>
      <c r="X100" s="116">
        <f t="shared" si="110"/>
        <v>259000</v>
      </c>
      <c r="Y100" s="116">
        <f t="shared" si="110"/>
        <v>296000</v>
      </c>
      <c r="Z100" s="116">
        <f t="shared" si="110"/>
        <v>333000</v>
      </c>
      <c r="AA100" s="116">
        <f t="shared" si="110"/>
        <v>370000</v>
      </c>
      <c r="AB100" s="116">
        <f t="shared" si="110"/>
        <v>407000</v>
      </c>
      <c r="AC100" s="116">
        <f t="shared" si="110"/>
        <v>444000</v>
      </c>
      <c r="AD100" s="116">
        <f t="shared" si="110"/>
        <v>481000</v>
      </c>
      <c r="AE100" s="125">
        <f t="shared" si="110"/>
        <v>518000</v>
      </c>
      <c r="AF100" s="116">
        <f t="shared" si="110"/>
        <v>555000</v>
      </c>
      <c r="AG100" s="116">
        <f t="shared" si="110"/>
        <v>592000</v>
      </c>
      <c r="AH100" s="116">
        <f t="shared" si="110"/>
        <v>629000</v>
      </c>
      <c r="AI100" s="116">
        <f t="shared" si="110"/>
        <v>666000</v>
      </c>
      <c r="AJ100" s="116">
        <f t="shared" si="110"/>
        <v>703000</v>
      </c>
      <c r="AK100" s="116">
        <f t="shared" si="110"/>
        <v>740000</v>
      </c>
      <c r="AL100" s="116">
        <f t="shared" si="110"/>
        <v>777000</v>
      </c>
      <c r="AM100" s="116">
        <f t="shared" si="110"/>
        <v>814000</v>
      </c>
      <c r="AN100" s="116">
        <f t="shared" si="110"/>
        <v>851000</v>
      </c>
      <c r="AO100" s="116">
        <f t="shared" si="110"/>
        <v>888000</v>
      </c>
      <c r="AP100" s="116">
        <f t="shared" si="110"/>
        <v>925000</v>
      </c>
      <c r="AQ100" s="31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31"/>
      <c r="BD100" s="31"/>
      <c r="BE100" s="116">
        <f t="shared" ref="BE100:BG100" si="111">BE182-BE90</f>
        <v>55500</v>
      </c>
      <c r="BF100" s="116">
        <f t="shared" si="111"/>
        <v>3330000</v>
      </c>
      <c r="BG100" s="116">
        <f t="shared" si="111"/>
        <v>8658000</v>
      </c>
      <c r="BH100" s="31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</row>
    <row r="101" spans="1:79" ht="14.25" customHeight="1" outlineLevel="1" x14ac:dyDescent="0.25">
      <c r="A101" s="22"/>
      <c r="B101" s="22" t="str">
        <f t="shared" si="103"/>
        <v>SaaS</v>
      </c>
      <c r="C101" s="22"/>
      <c r="D101" s="22"/>
      <c r="E101" s="22"/>
      <c r="F101" s="80"/>
      <c r="G101" s="116">
        <f t="shared" ref="G101:AP101" si="112">G183-G91</f>
        <v>0</v>
      </c>
      <c r="H101" s="116">
        <f t="shared" si="112"/>
        <v>0</v>
      </c>
      <c r="I101" s="116">
        <f t="shared" si="112"/>
        <v>0</v>
      </c>
      <c r="J101" s="116">
        <f t="shared" si="112"/>
        <v>0</v>
      </c>
      <c r="K101" s="116">
        <f t="shared" si="112"/>
        <v>0</v>
      </c>
      <c r="L101" s="116">
        <f t="shared" si="112"/>
        <v>0</v>
      </c>
      <c r="M101" s="116">
        <f t="shared" si="112"/>
        <v>0</v>
      </c>
      <c r="N101" s="116">
        <f t="shared" si="112"/>
        <v>0</v>
      </c>
      <c r="O101" s="116">
        <f t="shared" si="112"/>
        <v>0</v>
      </c>
      <c r="P101" s="116">
        <f t="shared" si="112"/>
        <v>0</v>
      </c>
      <c r="Q101" s="116">
        <f t="shared" si="112"/>
        <v>0</v>
      </c>
      <c r="R101" s="116">
        <f t="shared" si="112"/>
        <v>0</v>
      </c>
      <c r="S101" s="125">
        <f t="shared" si="112"/>
        <v>0</v>
      </c>
      <c r="T101" s="116">
        <f t="shared" si="112"/>
        <v>0</v>
      </c>
      <c r="U101" s="116">
        <f t="shared" si="112"/>
        <v>0</v>
      </c>
      <c r="V101" s="116">
        <f t="shared" si="112"/>
        <v>0</v>
      </c>
      <c r="W101" s="116">
        <f t="shared" si="112"/>
        <v>0</v>
      </c>
      <c r="X101" s="116">
        <f t="shared" si="112"/>
        <v>-23827.291666666664</v>
      </c>
      <c r="Y101" s="116">
        <f t="shared" si="112"/>
        <v>5247.5166666666628</v>
      </c>
      <c r="Z101" s="116">
        <f t="shared" si="112"/>
        <v>28642.964083333325</v>
      </c>
      <c r="AA101" s="116">
        <f t="shared" si="112"/>
        <v>62045.93849416665</v>
      </c>
      <c r="AB101" s="116">
        <f t="shared" si="112"/>
        <v>97981.243756008334</v>
      </c>
      <c r="AC101" s="116">
        <f t="shared" si="112"/>
        <v>136726.35195166146</v>
      </c>
      <c r="AD101" s="116">
        <f t="shared" si="112"/>
        <v>178585.75520227832</v>
      </c>
      <c r="AE101" s="125">
        <f t="shared" si="112"/>
        <v>216005.79921010998</v>
      </c>
      <c r="AF101" s="116">
        <f t="shared" si="112"/>
        <v>269965.05344821932</v>
      </c>
      <c r="AG101" s="116">
        <f t="shared" si="112"/>
        <v>321830.71932738496</v>
      </c>
      <c r="AH101" s="116">
        <f t="shared" si="112"/>
        <v>377042.6871287846</v>
      </c>
      <c r="AI101" s="116">
        <f t="shared" si="112"/>
        <v>435892.74954663991</v>
      </c>
      <c r="AJ101" s="116">
        <f t="shared" si="112"/>
        <v>498695.32003449718</v>
      </c>
      <c r="AK101" s="116">
        <f t="shared" si="112"/>
        <v>558061.13914565905</v>
      </c>
      <c r="AL101" s="116">
        <f t="shared" si="112"/>
        <v>629811.75173046207</v>
      </c>
      <c r="AM101" s="116">
        <f t="shared" si="112"/>
        <v>706612.89167845482</v>
      </c>
      <c r="AN101" s="116">
        <f t="shared" si="112"/>
        <v>788889.28682800021</v>
      </c>
      <c r="AO101" s="116">
        <f t="shared" si="112"/>
        <v>869370.89767505112</v>
      </c>
      <c r="AP101" s="116">
        <f t="shared" si="112"/>
        <v>964008.10460284201</v>
      </c>
      <c r="AQ101" s="31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31"/>
      <c r="BD101" s="31"/>
      <c r="BE101" s="116">
        <f t="shared" ref="BE101:BG101" si="113">BE183-BE91</f>
        <v>0</v>
      </c>
      <c r="BF101" s="116">
        <f t="shared" si="113"/>
        <v>485402.47848744807</v>
      </c>
      <c r="BG101" s="116">
        <f t="shared" si="113"/>
        <v>6636186.4003561046</v>
      </c>
      <c r="BH101" s="31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</row>
    <row r="102" spans="1:79" ht="14.25" customHeight="1" outlineLevel="1" x14ac:dyDescent="0.25">
      <c r="A102" s="22"/>
      <c r="B102" s="22" t="str">
        <f t="shared" si="103"/>
        <v>Corrections</v>
      </c>
      <c r="C102" s="22"/>
      <c r="D102" s="22"/>
      <c r="E102" s="22"/>
      <c r="F102" s="80"/>
      <c r="G102" s="116">
        <f t="shared" ref="G102:AP102" si="114">G184-G92</f>
        <v>0</v>
      </c>
      <c r="H102" s="116">
        <f t="shared" si="114"/>
        <v>0</v>
      </c>
      <c r="I102" s="116">
        <f t="shared" si="114"/>
        <v>0</v>
      </c>
      <c r="J102" s="116">
        <f t="shared" si="114"/>
        <v>0</v>
      </c>
      <c r="K102" s="116">
        <f t="shared" si="114"/>
        <v>0</v>
      </c>
      <c r="L102" s="116">
        <f t="shared" si="114"/>
        <v>0</v>
      </c>
      <c r="M102" s="116">
        <f t="shared" si="114"/>
        <v>0</v>
      </c>
      <c r="N102" s="116">
        <f t="shared" si="114"/>
        <v>0</v>
      </c>
      <c r="O102" s="116">
        <f t="shared" si="114"/>
        <v>0</v>
      </c>
      <c r="P102" s="116">
        <f t="shared" si="114"/>
        <v>0</v>
      </c>
      <c r="Q102" s="116">
        <f t="shared" si="114"/>
        <v>0</v>
      </c>
      <c r="R102" s="116">
        <f t="shared" si="114"/>
        <v>0</v>
      </c>
      <c r="S102" s="125">
        <f t="shared" si="114"/>
        <v>0</v>
      </c>
      <c r="T102" s="116">
        <f t="shared" si="114"/>
        <v>0</v>
      </c>
      <c r="U102" s="116">
        <f t="shared" si="114"/>
        <v>0</v>
      </c>
      <c r="V102" s="116">
        <f t="shared" si="114"/>
        <v>0</v>
      </c>
      <c r="W102" s="116">
        <f t="shared" si="114"/>
        <v>0</v>
      </c>
      <c r="X102" s="116">
        <f t="shared" si="114"/>
        <v>0</v>
      </c>
      <c r="Y102" s="116">
        <f t="shared" si="114"/>
        <v>108900</v>
      </c>
      <c r="Z102" s="116">
        <f t="shared" si="114"/>
        <v>108900</v>
      </c>
      <c r="AA102" s="116">
        <f t="shared" si="114"/>
        <v>108900</v>
      </c>
      <c r="AB102" s="116">
        <f t="shared" si="114"/>
        <v>217800</v>
      </c>
      <c r="AC102" s="116">
        <f t="shared" si="114"/>
        <v>217800</v>
      </c>
      <c r="AD102" s="116">
        <f t="shared" si="114"/>
        <v>217800</v>
      </c>
      <c r="AE102" s="125">
        <f t="shared" si="114"/>
        <v>326700</v>
      </c>
      <c r="AF102" s="116">
        <f t="shared" si="114"/>
        <v>326700</v>
      </c>
      <c r="AG102" s="116">
        <f t="shared" si="114"/>
        <v>435600</v>
      </c>
      <c r="AH102" s="116">
        <f t="shared" si="114"/>
        <v>435600</v>
      </c>
      <c r="AI102" s="116">
        <f t="shared" si="114"/>
        <v>544500</v>
      </c>
      <c r="AJ102" s="116">
        <f t="shared" si="114"/>
        <v>544500</v>
      </c>
      <c r="AK102" s="116">
        <f t="shared" si="114"/>
        <v>544500</v>
      </c>
      <c r="AL102" s="116">
        <f t="shared" si="114"/>
        <v>1019700</v>
      </c>
      <c r="AM102" s="116">
        <f t="shared" si="114"/>
        <v>1128600</v>
      </c>
      <c r="AN102" s="116">
        <f t="shared" si="114"/>
        <v>1128600</v>
      </c>
      <c r="AO102" s="116">
        <f t="shared" si="114"/>
        <v>1128600</v>
      </c>
      <c r="AP102" s="116">
        <f t="shared" si="114"/>
        <v>1603800</v>
      </c>
      <c r="AQ102" s="31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31"/>
      <c r="BD102" s="31"/>
      <c r="BE102" s="116">
        <f t="shared" ref="BE102:BG102" si="115">BE184-BE92</f>
        <v>0</v>
      </c>
      <c r="BF102" s="116">
        <f t="shared" si="115"/>
        <v>980100</v>
      </c>
      <c r="BG102" s="116">
        <f t="shared" si="115"/>
        <v>9167400</v>
      </c>
      <c r="BH102" s="31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</row>
    <row r="103" spans="1:79" ht="14.25" customHeight="1" outlineLevel="1" x14ac:dyDescent="0.25">
      <c r="A103" s="22"/>
      <c r="B103" s="22" t="str">
        <f t="shared" si="103"/>
        <v>Healthcare Compliance</v>
      </c>
      <c r="C103" s="22"/>
      <c r="D103" s="22"/>
      <c r="E103" s="22"/>
      <c r="F103" s="80"/>
      <c r="G103" s="116">
        <f t="shared" ref="G103:AP103" si="116">G185-G93</f>
        <v>0</v>
      </c>
      <c r="H103" s="116">
        <f t="shared" si="116"/>
        <v>0</v>
      </c>
      <c r="I103" s="116">
        <f t="shared" si="116"/>
        <v>0</v>
      </c>
      <c r="J103" s="116">
        <f t="shared" si="116"/>
        <v>0</v>
      </c>
      <c r="K103" s="116">
        <f t="shared" si="116"/>
        <v>0</v>
      </c>
      <c r="L103" s="116">
        <f t="shared" si="116"/>
        <v>0</v>
      </c>
      <c r="M103" s="116">
        <f t="shared" si="116"/>
        <v>0</v>
      </c>
      <c r="N103" s="116">
        <f t="shared" si="116"/>
        <v>0</v>
      </c>
      <c r="O103" s="116">
        <f t="shared" si="116"/>
        <v>0</v>
      </c>
      <c r="P103" s="116">
        <f t="shared" si="116"/>
        <v>0</v>
      </c>
      <c r="Q103" s="116">
        <f t="shared" si="116"/>
        <v>0</v>
      </c>
      <c r="R103" s="116">
        <f t="shared" si="116"/>
        <v>0</v>
      </c>
      <c r="S103" s="125">
        <f t="shared" si="116"/>
        <v>0</v>
      </c>
      <c r="T103" s="116">
        <f t="shared" si="116"/>
        <v>0</v>
      </c>
      <c r="U103" s="116">
        <f t="shared" si="116"/>
        <v>0</v>
      </c>
      <c r="V103" s="116">
        <f t="shared" si="116"/>
        <v>0</v>
      </c>
      <c r="W103" s="116">
        <f t="shared" si="116"/>
        <v>0</v>
      </c>
      <c r="X103" s="116">
        <f t="shared" si="116"/>
        <v>0</v>
      </c>
      <c r="Y103" s="116">
        <f t="shared" si="116"/>
        <v>0</v>
      </c>
      <c r="Z103" s="116">
        <f t="shared" si="116"/>
        <v>0</v>
      </c>
      <c r="AA103" s="116">
        <f t="shared" si="116"/>
        <v>0</v>
      </c>
      <c r="AB103" s="116">
        <f t="shared" si="116"/>
        <v>-25184.166666666668</v>
      </c>
      <c r="AC103" s="116">
        <f t="shared" si="116"/>
        <v>-21201.666666666672</v>
      </c>
      <c r="AD103" s="116">
        <f t="shared" si="116"/>
        <v>-40135.833333333328</v>
      </c>
      <c r="AE103" s="125">
        <f t="shared" si="116"/>
        <v>-26433.333333333328</v>
      </c>
      <c r="AF103" s="116">
        <f t="shared" si="116"/>
        <v>-16173.333333333328</v>
      </c>
      <c r="AG103" s="116">
        <f t="shared" si="116"/>
        <v>-5913.3333333333285</v>
      </c>
      <c r="AH103" s="116">
        <f t="shared" si="116"/>
        <v>-6070</v>
      </c>
      <c r="AI103" s="116">
        <f t="shared" si="116"/>
        <v>4190</v>
      </c>
      <c r="AJ103" s="116">
        <f t="shared" si="116"/>
        <v>1950</v>
      </c>
      <c r="AK103" s="116">
        <f t="shared" si="116"/>
        <v>12210</v>
      </c>
      <c r="AL103" s="116">
        <f t="shared" si="116"/>
        <v>19266.666666666657</v>
      </c>
      <c r="AM103" s="116">
        <f t="shared" si="116"/>
        <v>22156.666666666657</v>
      </c>
      <c r="AN103" s="116">
        <f t="shared" si="116"/>
        <v>29213.333333333314</v>
      </c>
      <c r="AO103" s="116">
        <f t="shared" si="116"/>
        <v>44603.333333333314</v>
      </c>
      <c r="AP103" s="116">
        <f t="shared" si="116"/>
        <v>51660</v>
      </c>
      <c r="AQ103" s="31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31"/>
      <c r="BD103" s="31"/>
      <c r="BE103" s="116">
        <f t="shared" ref="BE103:BG103" si="117">BE185-BE93</f>
        <v>0</v>
      </c>
      <c r="BF103" s="116">
        <f t="shared" si="117"/>
        <v>-86521.666666666672</v>
      </c>
      <c r="BG103" s="116">
        <f t="shared" si="117"/>
        <v>130659.99999999977</v>
      </c>
      <c r="BH103" s="31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</row>
    <row r="104" spans="1:79" ht="14.25" customHeight="1" outlineLevel="1" x14ac:dyDescent="0.25">
      <c r="A104" s="22"/>
      <c r="B104" s="22" t="str">
        <f t="shared" si="103"/>
        <v>Employee Wellness</v>
      </c>
      <c r="C104" s="22"/>
      <c r="D104" s="22"/>
      <c r="E104" s="22"/>
      <c r="F104" s="80"/>
      <c r="G104" s="116">
        <f t="shared" ref="G104:AP104" si="118">G186-G94</f>
        <v>0</v>
      </c>
      <c r="H104" s="116">
        <f t="shared" si="118"/>
        <v>0</v>
      </c>
      <c r="I104" s="116">
        <f t="shared" si="118"/>
        <v>0</v>
      </c>
      <c r="J104" s="116">
        <f t="shared" si="118"/>
        <v>0</v>
      </c>
      <c r="K104" s="116">
        <f t="shared" si="118"/>
        <v>0</v>
      </c>
      <c r="L104" s="116">
        <f t="shared" si="118"/>
        <v>0</v>
      </c>
      <c r="M104" s="116">
        <f t="shared" si="118"/>
        <v>0</v>
      </c>
      <c r="N104" s="116">
        <f t="shared" si="118"/>
        <v>0</v>
      </c>
      <c r="O104" s="116">
        <f t="shared" si="118"/>
        <v>0</v>
      </c>
      <c r="P104" s="116">
        <f t="shared" si="118"/>
        <v>0</v>
      </c>
      <c r="Q104" s="116">
        <f t="shared" si="118"/>
        <v>0</v>
      </c>
      <c r="R104" s="116">
        <f t="shared" si="118"/>
        <v>0</v>
      </c>
      <c r="S104" s="125">
        <f t="shared" si="118"/>
        <v>0</v>
      </c>
      <c r="T104" s="116">
        <f t="shared" si="118"/>
        <v>0</v>
      </c>
      <c r="U104" s="116">
        <f t="shared" si="118"/>
        <v>0</v>
      </c>
      <c r="V104" s="116">
        <f t="shared" si="118"/>
        <v>0</v>
      </c>
      <c r="W104" s="116">
        <f t="shared" si="118"/>
        <v>0</v>
      </c>
      <c r="X104" s="116">
        <f t="shared" si="118"/>
        <v>0</v>
      </c>
      <c r="Y104" s="116">
        <f t="shared" si="118"/>
        <v>0</v>
      </c>
      <c r="Z104" s="116">
        <f t="shared" si="118"/>
        <v>0</v>
      </c>
      <c r="AA104" s="116">
        <f t="shared" si="118"/>
        <v>0</v>
      </c>
      <c r="AB104" s="116">
        <f t="shared" si="118"/>
        <v>0</v>
      </c>
      <c r="AC104" s="116">
        <f t="shared" si="118"/>
        <v>0</v>
      </c>
      <c r="AD104" s="116">
        <f t="shared" si="118"/>
        <v>0</v>
      </c>
      <c r="AE104" s="125">
        <f t="shared" si="118"/>
        <v>0</v>
      </c>
      <c r="AF104" s="116">
        <f t="shared" si="118"/>
        <v>0</v>
      </c>
      <c r="AG104" s="116">
        <f t="shared" si="118"/>
        <v>0</v>
      </c>
      <c r="AH104" s="116">
        <f t="shared" si="118"/>
        <v>0</v>
      </c>
      <c r="AI104" s="116">
        <f t="shared" si="118"/>
        <v>0</v>
      </c>
      <c r="AJ104" s="116">
        <f t="shared" si="118"/>
        <v>0</v>
      </c>
      <c r="AK104" s="116">
        <f t="shared" si="118"/>
        <v>0</v>
      </c>
      <c r="AL104" s="116">
        <f t="shared" si="118"/>
        <v>0</v>
      </c>
      <c r="AM104" s="116">
        <f t="shared" si="118"/>
        <v>0</v>
      </c>
      <c r="AN104" s="116">
        <f t="shared" si="118"/>
        <v>0</v>
      </c>
      <c r="AO104" s="116">
        <f t="shared" si="118"/>
        <v>0</v>
      </c>
      <c r="AP104" s="116">
        <f t="shared" si="118"/>
        <v>0</v>
      </c>
      <c r="AQ104" s="31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31"/>
      <c r="BD104" s="31"/>
      <c r="BE104" s="116">
        <f t="shared" ref="BE104:BG104" si="119">BE186-BE94</f>
        <v>0</v>
      </c>
      <c r="BF104" s="116">
        <f t="shared" si="119"/>
        <v>0</v>
      </c>
      <c r="BG104" s="116">
        <f t="shared" si="119"/>
        <v>0</v>
      </c>
      <c r="BH104" s="31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</row>
    <row r="105" spans="1:79" ht="14.25" customHeight="1" outlineLevel="1" x14ac:dyDescent="0.25">
      <c r="A105" s="22"/>
      <c r="B105" s="22"/>
      <c r="C105" s="22"/>
      <c r="D105" s="22"/>
      <c r="E105" s="22"/>
      <c r="F105" s="80"/>
      <c r="G105" s="82"/>
      <c r="H105" s="82"/>
      <c r="I105" s="82"/>
      <c r="J105" s="82"/>
      <c r="K105" s="82"/>
      <c r="L105" s="22"/>
      <c r="M105" s="116"/>
      <c r="N105" s="116"/>
      <c r="O105" s="116"/>
      <c r="P105" s="116"/>
      <c r="Q105" s="116"/>
      <c r="R105" s="116"/>
      <c r="S105" s="125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25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31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31"/>
      <c r="BD105" s="31"/>
      <c r="BE105" s="116"/>
      <c r="BF105" s="116"/>
      <c r="BG105" s="116"/>
      <c r="BH105" s="31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</row>
    <row r="106" spans="1:79" ht="14.25" customHeight="1" outlineLevel="1" x14ac:dyDescent="0.25">
      <c r="A106" s="30" t="s">
        <v>23</v>
      </c>
      <c r="B106" s="30"/>
      <c r="C106" s="30"/>
      <c r="D106" s="30"/>
      <c r="E106" s="30"/>
      <c r="F106" s="110"/>
      <c r="G106" s="128">
        <f t="shared" ref="G106:AP106" si="120">G96/G175</f>
        <v>0.39534564311844705</v>
      </c>
      <c r="H106" s="128">
        <f t="shared" si="120"/>
        <v>0.30390028811968861</v>
      </c>
      <c r="I106" s="128">
        <f t="shared" si="120"/>
        <v>0.32231216116497408</v>
      </c>
      <c r="J106" s="128">
        <f t="shared" si="120"/>
        <v>0.17974127545133606</v>
      </c>
      <c r="K106" s="128">
        <f t="shared" si="120"/>
        <v>0.49942237959692048</v>
      </c>
      <c r="L106" s="128">
        <f t="shared" si="120"/>
        <v>0.46260020690103237</v>
      </c>
      <c r="M106" s="128">
        <f t="shared" si="120"/>
        <v>0.44677578928377321</v>
      </c>
      <c r="N106" s="128">
        <f t="shared" si="120"/>
        <v>0.45374250964482926</v>
      </c>
      <c r="O106" s="128">
        <f t="shared" si="120"/>
        <v>0.46457234684276966</v>
      </c>
      <c r="P106" s="128">
        <f t="shared" si="120"/>
        <v>0.47238090512348874</v>
      </c>
      <c r="Q106" s="128">
        <f t="shared" si="120"/>
        <v>0.48250802935498205</v>
      </c>
      <c r="R106" s="128">
        <f t="shared" si="120"/>
        <v>0.48822399453975518</v>
      </c>
      <c r="S106" s="129">
        <f t="shared" si="120"/>
        <v>0.4937751830367253</v>
      </c>
      <c r="T106" s="128">
        <f t="shared" si="120"/>
        <v>0.49761629456600931</v>
      </c>
      <c r="U106" s="128">
        <f t="shared" si="120"/>
        <v>0.50206822370899629</v>
      </c>
      <c r="V106" s="128">
        <f t="shared" si="120"/>
        <v>0.50393054457275044</v>
      </c>
      <c r="W106" s="128">
        <f t="shared" si="120"/>
        <v>0.50665389312861997</v>
      </c>
      <c r="X106" s="128">
        <f t="shared" si="120"/>
        <v>0.50002793610552387</v>
      </c>
      <c r="Y106" s="128">
        <f t="shared" si="120"/>
        <v>0.451035369983111</v>
      </c>
      <c r="Z106" s="128">
        <f t="shared" si="120"/>
        <v>0.45635035424956727</v>
      </c>
      <c r="AA106" s="128">
        <f t="shared" si="120"/>
        <v>0.46128933277934747</v>
      </c>
      <c r="AB106" s="128">
        <f t="shared" si="120"/>
        <v>0.42761603893358741</v>
      </c>
      <c r="AC106" s="128">
        <f t="shared" si="120"/>
        <v>0.43359762092477611</v>
      </c>
      <c r="AD106" s="128">
        <f t="shared" si="120"/>
        <v>0.43644708743241573</v>
      </c>
      <c r="AE106" s="129">
        <f t="shared" si="120"/>
        <v>0.41364074638727399</v>
      </c>
      <c r="AF106" s="128">
        <f t="shared" si="120"/>
        <v>0.41956051924995036</v>
      </c>
      <c r="AG106" s="128">
        <f t="shared" si="120"/>
        <v>0.40339884268754239</v>
      </c>
      <c r="AH106" s="128">
        <f t="shared" si="120"/>
        <v>0.40772097991904221</v>
      </c>
      <c r="AI106" s="128">
        <f t="shared" si="120"/>
        <v>0.39414373356032317</v>
      </c>
      <c r="AJ106" s="128">
        <f t="shared" si="120"/>
        <v>0.39815432171896586</v>
      </c>
      <c r="AK106" s="128">
        <f t="shared" si="120"/>
        <v>0.40237251016912001</v>
      </c>
      <c r="AL106" s="128">
        <f t="shared" si="120"/>
        <v>0.36618732434627299</v>
      </c>
      <c r="AM106" s="128">
        <f t="shared" si="120"/>
        <v>0.35909090479608602</v>
      </c>
      <c r="AN106" s="128">
        <f t="shared" si="120"/>
        <v>0.36324753183656167</v>
      </c>
      <c r="AO106" s="128">
        <f t="shared" si="120"/>
        <v>0.36706963234609508</v>
      </c>
      <c r="AP106" s="128">
        <f t="shared" si="120"/>
        <v>0.34474539373317392</v>
      </c>
      <c r="AQ106" s="111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111"/>
      <c r="BD106" s="111"/>
      <c r="BE106" s="128">
        <f t="shared" ref="BE106:BG106" si="121">BE96/BE175</f>
        <v>0.43596500885986506</v>
      </c>
      <c r="BF106" s="128">
        <f t="shared" si="121"/>
        <v>0.46244861182813063</v>
      </c>
      <c r="BG106" s="128">
        <f t="shared" si="121"/>
        <v>0.38072275939690126</v>
      </c>
      <c r="BH106" s="111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</row>
    <row r="107" spans="1:79" ht="14.25" customHeight="1" outlineLevel="1" x14ac:dyDescent="0.25">
      <c r="A107" s="22"/>
      <c r="B107" s="22" t="str">
        <f t="shared" ref="B107:B114" si="122">B87</f>
        <v>VA Mental Health</v>
      </c>
      <c r="C107" s="22"/>
      <c r="D107" s="22"/>
      <c r="E107" s="22"/>
      <c r="F107" s="80"/>
      <c r="G107" s="130">
        <v>0.39</v>
      </c>
      <c r="H107" s="130">
        <v>0.28999999999999998</v>
      </c>
      <c r="I107" s="130">
        <v>0.31</v>
      </c>
      <c r="J107" s="130">
        <v>0.16</v>
      </c>
      <c r="K107" s="130">
        <v>0.52</v>
      </c>
      <c r="L107" s="130">
        <v>0.2</v>
      </c>
      <c r="M107" s="131">
        <f t="shared" ref="M107:AP107" si="123">M97/M178</f>
        <v>0.46969696969696972</v>
      </c>
      <c r="N107" s="131">
        <f t="shared" si="123"/>
        <v>0.46969696969696972</v>
      </c>
      <c r="O107" s="131">
        <f t="shared" si="123"/>
        <v>0.46969696969696972</v>
      </c>
      <c r="P107" s="131">
        <f t="shared" si="123"/>
        <v>0.46969696969696972</v>
      </c>
      <c r="Q107" s="131">
        <f t="shared" si="123"/>
        <v>0.46969696969696972</v>
      </c>
      <c r="R107" s="131">
        <f t="shared" si="123"/>
        <v>0.46969696969696972</v>
      </c>
      <c r="S107" s="132">
        <f t="shared" si="123"/>
        <v>0.46969696969696972</v>
      </c>
      <c r="T107" s="131">
        <f t="shared" si="123"/>
        <v>0.46969696969696972</v>
      </c>
      <c r="U107" s="131">
        <f t="shared" si="123"/>
        <v>0.46969696969696972</v>
      </c>
      <c r="V107" s="131">
        <f t="shared" si="123"/>
        <v>0.46969696969696972</v>
      </c>
      <c r="W107" s="131">
        <f t="shared" si="123"/>
        <v>0.46969696969696972</v>
      </c>
      <c r="X107" s="131">
        <f t="shared" si="123"/>
        <v>0.46969696969696972</v>
      </c>
      <c r="Y107" s="131">
        <f t="shared" si="123"/>
        <v>0.46969696969696972</v>
      </c>
      <c r="Z107" s="131">
        <f t="shared" si="123"/>
        <v>0.46969696969696972</v>
      </c>
      <c r="AA107" s="131">
        <f t="shared" si="123"/>
        <v>0.46969696969696972</v>
      </c>
      <c r="AB107" s="131">
        <f t="shared" si="123"/>
        <v>0.46969696969696972</v>
      </c>
      <c r="AC107" s="131">
        <f t="shared" si="123"/>
        <v>0.46969696969696972</v>
      </c>
      <c r="AD107" s="131">
        <f t="shared" si="123"/>
        <v>0.46969696969696972</v>
      </c>
      <c r="AE107" s="132">
        <f t="shared" si="123"/>
        <v>0.46969696969696972</v>
      </c>
      <c r="AF107" s="131">
        <f t="shared" si="123"/>
        <v>0.46969696969696972</v>
      </c>
      <c r="AG107" s="131">
        <f t="shared" si="123"/>
        <v>0.46969696969696972</v>
      </c>
      <c r="AH107" s="131">
        <f t="shared" si="123"/>
        <v>0.46969696969696972</v>
      </c>
      <c r="AI107" s="131">
        <f t="shared" si="123"/>
        <v>0.46969696969696972</v>
      </c>
      <c r="AJ107" s="131">
        <f t="shared" si="123"/>
        <v>0.46969696969696972</v>
      </c>
      <c r="AK107" s="131">
        <f t="shared" si="123"/>
        <v>0.46969696969696972</v>
      </c>
      <c r="AL107" s="131">
        <f t="shared" si="123"/>
        <v>0.46969696969696972</v>
      </c>
      <c r="AM107" s="131">
        <f t="shared" si="123"/>
        <v>0.46969696969696972</v>
      </c>
      <c r="AN107" s="131">
        <f t="shared" si="123"/>
        <v>0.46969696969696972</v>
      </c>
      <c r="AO107" s="131">
        <f t="shared" si="123"/>
        <v>0.46969696969696972</v>
      </c>
      <c r="AP107" s="131">
        <f t="shared" si="123"/>
        <v>0.46969696969696972</v>
      </c>
      <c r="AQ107" s="31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31"/>
      <c r="BD107" s="31"/>
      <c r="BE107" s="131">
        <f t="shared" ref="BE107:BG107" si="124">BE97/BE178</f>
        <v>0.42614166217951771</v>
      </c>
      <c r="BF107" s="131">
        <f t="shared" si="124"/>
        <v>0.46969696969696972</v>
      </c>
      <c r="BG107" s="131">
        <f t="shared" si="124"/>
        <v>0.46969696969696972</v>
      </c>
      <c r="BH107" s="31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</row>
    <row r="108" spans="1:79" ht="14.25" customHeight="1" outlineLevel="1" x14ac:dyDescent="0.25">
      <c r="A108" s="22"/>
      <c r="B108" s="22" t="str">
        <f t="shared" si="122"/>
        <v>VA Medical Evaluations</v>
      </c>
      <c r="C108" s="22"/>
      <c r="D108" s="22"/>
      <c r="E108" s="22"/>
      <c r="F108" s="80"/>
      <c r="G108" s="130">
        <v>0.55000000000000004</v>
      </c>
      <c r="H108" s="131">
        <f t="shared" ref="H108:AP108" si="125">H98/H179</f>
        <v>0.51089524809661324</v>
      </c>
      <c r="I108" s="131">
        <f t="shared" si="125"/>
        <v>0.51114982578397217</v>
      </c>
      <c r="J108" s="131">
        <f t="shared" si="125"/>
        <v>0.51052215189873418</v>
      </c>
      <c r="K108" s="131">
        <f t="shared" si="125"/>
        <v>0.51063829787234039</v>
      </c>
      <c r="L108" s="131">
        <f t="shared" si="125"/>
        <v>0.42499999999999999</v>
      </c>
      <c r="M108" s="131">
        <f t="shared" si="125"/>
        <v>0.51063829787234039</v>
      </c>
      <c r="N108" s="131">
        <f t="shared" si="125"/>
        <v>0.61702127659574468</v>
      </c>
      <c r="O108" s="131">
        <f t="shared" si="125"/>
        <v>0.61702127659574468</v>
      </c>
      <c r="P108" s="131">
        <f t="shared" si="125"/>
        <v>0.61702127659574468</v>
      </c>
      <c r="Q108" s="131">
        <f t="shared" si="125"/>
        <v>0.5957446808510638</v>
      </c>
      <c r="R108" s="131">
        <f t="shared" si="125"/>
        <v>0.5957446808510638</v>
      </c>
      <c r="S108" s="132">
        <f t="shared" si="125"/>
        <v>0.59574468085106369</v>
      </c>
      <c r="T108" s="131">
        <f t="shared" si="125"/>
        <v>0.5957446808510638</v>
      </c>
      <c r="U108" s="131">
        <f t="shared" si="125"/>
        <v>0.5957446808510638</v>
      </c>
      <c r="V108" s="131">
        <f t="shared" si="125"/>
        <v>0.5957446808510638</v>
      </c>
      <c r="W108" s="131">
        <f t="shared" si="125"/>
        <v>0.5957446808510638</v>
      </c>
      <c r="X108" s="131">
        <f t="shared" si="125"/>
        <v>0.5957446808510638</v>
      </c>
      <c r="Y108" s="131">
        <f t="shared" si="125"/>
        <v>0.59574468085106391</v>
      </c>
      <c r="Z108" s="131">
        <f t="shared" si="125"/>
        <v>0.59574468085106391</v>
      </c>
      <c r="AA108" s="131">
        <f t="shared" si="125"/>
        <v>0.59574468085106369</v>
      </c>
      <c r="AB108" s="131">
        <f t="shared" si="125"/>
        <v>0.5957446808510638</v>
      </c>
      <c r="AC108" s="131">
        <f t="shared" si="125"/>
        <v>0.59574468085106369</v>
      </c>
      <c r="AD108" s="131">
        <f t="shared" si="125"/>
        <v>0.5957446808510638</v>
      </c>
      <c r="AE108" s="132">
        <f t="shared" si="125"/>
        <v>0.59574468085106391</v>
      </c>
      <c r="AF108" s="131">
        <f t="shared" si="125"/>
        <v>0.5957446808510638</v>
      </c>
      <c r="AG108" s="131">
        <f t="shared" si="125"/>
        <v>0.5957446808510638</v>
      </c>
      <c r="AH108" s="131">
        <f t="shared" si="125"/>
        <v>0.5957446808510638</v>
      </c>
      <c r="AI108" s="131">
        <f t="shared" si="125"/>
        <v>0.59574468085106391</v>
      </c>
      <c r="AJ108" s="131">
        <f t="shared" si="125"/>
        <v>0.59574468085106391</v>
      </c>
      <c r="AK108" s="131">
        <f t="shared" si="125"/>
        <v>0.5957446808510638</v>
      </c>
      <c r="AL108" s="131">
        <f t="shared" si="125"/>
        <v>0.59574468085106391</v>
      </c>
      <c r="AM108" s="131">
        <f t="shared" si="125"/>
        <v>0.59574468085106391</v>
      </c>
      <c r="AN108" s="131">
        <f t="shared" si="125"/>
        <v>0.59574468085106391</v>
      </c>
      <c r="AO108" s="131">
        <f t="shared" si="125"/>
        <v>0.5957446808510638</v>
      </c>
      <c r="AP108" s="131">
        <f t="shared" si="125"/>
        <v>0.5957446808510638</v>
      </c>
      <c r="AQ108" s="31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31"/>
      <c r="BD108" s="31"/>
      <c r="BE108" s="131">
        <f t="shared" ref="BE108:BG108" si="126">BE98/BE179</f>
        <v>0.55947120480861323</v>
      </c>
      <c r="BF108" s="131">
        <f t="shared" si="126"/>
        <v>0.5957446808510638</v>
      </c>
      <c r="BG108" s="131">
        <f t="shared" si="126"/>
        <v>0.59574468085106402</v>
      </c>
      <c r="BH108" s="31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</row>
    <row r="109" spans="1:79" ht="14.25" customHeight="1" outlineLevel="1" x14ac:dyDescent="0.25">
      <c r="A109" s="22"/>
      <c r="B109" s="22" t="str">
        <f t="shared" si="122"/>
        <v>Personal Injury</v>
      </c>
      <c r="C109" s="22"/>
      <c r="D109" s="22"/>
      <c r="E109" s="22"/>
      <c r="F109" s="80"/>
      <c r="G109" s="82"/>
      <c r="H109" s="82"/>
      <c r="I109" s="82"/>
      <c r="J109" s="131">
        <f t="shared" ref="J109:AP109" si="127">J99/J181</f>
        <v>-0.28652858728837083</v>
      </c>
      <c r="K109" s="131">
        <f t="shared" si="127"/>
        <v>0.18128090786953668</v>
      </c>
      <c r="L109" s="131">
        <f t="shared" si="127"/>
        <v>0.35165781441756816</v>
      </c>
      <c r="M109" s="131">
        <f t="shared" si="127"/>
        <v>0.34366893244947033</v>
      </c>
      <c r="N109" s="131">
        <f t="shared" si="127"/>
        <v>0.27092116953894924</v>
      </c>
      <c r="O109" s="131">
        <f t="shared" si="127"/>
        <v>0.39820427339690895</v>
      </c>
      <c r="P109" s="131">
        <f t="shared" si="127"/>
        <v>0.4466014226059819</v>
      </c>
      <c r="Q109" s="131">
        <f t="shared" si="127"/>
        <v>0.48325087473074163</v>
      </c>
      <c r="R109" s="131">
        <f t="shared" si="127"/>
        <v>0.49573764299395306</v>
      </c>
      <c r="S109" s="132">
        <f t="shared" si="127"/>
        <v>0.5104382099389736</v>
      </c>
      <c r="T109" s="131">
        <f t="shared" si="127"/>
        <v>0.51815933721804353</v>
      </c>
      <c r="U109" s="131">
        <f t="shared" si="127"/>
        <v>0.52667254113012596</v>
      </c>
      <c r="V109" s="131">
        <f t="shared" si="127"/>
        <v>0.52918164358103159</v>
      </c>
      <c r="W109" s="131">
        <f t="shared" si="127"/>
        <v>0.53369540799977933</v>
      </c>
      <c r="X109" s="131">
        <f t="shared" si="127"/>
        <v>0.53710749662447299</v>
      </c>
      <c r="Y109" s="131">
        <f t="shared" si="127"/>
        <v>0.53742960116520633</v>
      </c>
      <c r="Z109" s="131">
        <f t="shared" si="127"/>
        <v>0.53965331502498015</v>
      </c>
      <c r="AA109" s="131">
        <f t="shared" si="127"/>
        <v>0.53951006717101824</v>
      </c>
      <c r="AB109" s="131">
        <f t="shared" si="127"/>
        <v>0.54103143256893738</v>
      </c>
      <c r="AC109" s="131">
        <f t="shared" si="127"/>
        <v>0.54232910675784873</v>
      </c>
      <c r="AD109" s="131">
        <f t="shared" si="127"/>
        <v>0.5434482714790857</v>
      </c>
      <c r="AE109" s="132">
        <f t="shared" si="127"/>
        <v>0.54080555005851183</v>
      </c>
      <c r="AF109" s="131">
        <f t="shared" si="127"/>
        <v>0.54176174115797671</v>
      </c>
      <c r="AG109" s="131">
        <f t="shared" si="127"/>
        <v>0.54260199905874551</v>
      </c>
      <c r="AH109" s="131">
        <f t="shared" si="127"/>
        <v>0.54330849420306604</v>
      </c>
      <c r="AI109" s="131">
        <f t="shared" si="127"/>
        <v>0.54255849733099004</v>
      </c>
      <c r="AJ109" s="131">
        <f t="shared" si="127"/>
        <v>0.54316668195591389</v>
      </c>
      <c r="AK109" s="131">
        <f t="shared" si="127"/>
        <v>0.5436991180684192</v>
      </c>
      <c r="AL109" s="131">
        <f t="shared" si="127"/>
        <v>0.54418884528645417</v>
      </c>
      <c r="AM109" s="131">
        <f t="shared" si="127"/>
        <v>0.54459883387507757</v>
      </c>
      <c r="AN109" s="131">
        <f t="shared" si="127"/>
        <v>0.54497708029050018</v>
      </c>
      <c r="AO109" s="131">
        <f t="shared" si="127"/>
        <v>0.54409235771706055</v>
      </c>
      <c r="AP109" s="131">
        <f t="shared" si="127"/>
        <v>0.54442717198634494</v>
      </c>
      <c r="AQ109" s="31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31"/>
      <c r="BD109" s="31"/>
      <c r="BE109" s="131">
        <f t="shared" ref="BE109:BG109" si="128">BE99/BE181</f>
        <v>0.42718121396414638</v>
      </c>
      <c r="BF109" s="131">
        <f t="shared" si="128"/>
        <v>0.53637240199439606</v>
      </c>
      <c r="BG109" s="131">
        <f t="shared" si="128"/>
        <v>0.54344340465468732</v>
      </c>
      <c r="BH109" s="31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</row>
    <row r="110" spans="1:79" ht="14.25" customHeight="1" outlineLevel="1" x14ac:dyDescent="0.25">
      <c r="A110" s="22"/>
      <c r="B110" s="22" t="str">
        <f t="shared" si="122"/>
        <v>Workers Comp</v>
      </c>
      <c r="C110" s="22"/>
      <c r="D110" s="22"/>
      <c r="E110" s="22"/>
      <c r="F110" s="80"/>
      <c r="G110" s="82"/>
      <c r="H110" s="82"/>
      <c r="I110" s="82"/>
      <c r="J110" s="82"/>
      <c r="K110" s="82"/>
      <c r="L110" s="22"/>
      <c r="M110" s="131"/>
      <c r="N110" s="131" t="e">
        <f t="shared" ref="N110:AP110" si="129">N100/N182</f>
        <v>#DIV/0!</v>
      </c>
      <c r="O110" s="131" t="e">
        <f t="shared" si="129"/>
        <v>#DIV/0!</v>
      </c>
      <c r="P110" s="131" t="e">
        <f t="shared" si="129"/>
        <v>#DIV/0!</v>
      </c>
      <c r="Q110" s="131">
        <f t="shared" si="129"/>
        <v>0.43529411764705883</v>
      </c>
      <c r="R110" s="131">
        <f t="shared" si="129"/>
        <v>0.43529411764705883</v>
      </c>
      <c r="S110" s="132">
        <f t="shared" si="129"/>
        <v>0.43529411764705883</v>
      </c>
      <c r="T110" s="131">
        <f t="shared" si="129"/>
        <v>0.43529411764705883</v>
      </c>
      <c r="U110" s="131">
        <f t="shared" si="129"/>
        <v>0.43529411764705883</v>
      </c>
      <c r="V110" s="131">
        <f t="shared" si="129"/>
        <v>0.43529411764705883</v>
      </c>
      <c r="W110" s="131">
        <f t="shared" si="129"/>
        <v>0.43529411764705883</v>
      </c>
      <c r="X110" s="131">
        <f t="shared" si="129"/>
        <v>0.43529411764705883</v>
      </c>
      <c r="Y110" s="131">
        <f t="shared" si="129"/>
        <v>0.43529411764705883</v>
      </c>
      <c r="Z110" s="131">
        <f t="shared" si="129"/>
        <v>0.43529411764705883</v>
      </c>
      <c r="AA110" s="131">
        <f t="shared" si="129"/>
        <v>0.43529411764705883</v>
      </c>
      <c r="AB110" s="131">
        <f t="shared" si="129"/>
        <v>0.43529411764705883</v>
      </c>
      <c r="AC110" s="131">
        <f t="shared" si="129"/>
        <v>0.43529411764705883</v>
      </c>
      <c r="AD110" s="131">
        <f t="shared" si="129"/>
        <v>0.43529411764705883</v>
      </c>
      <c r="AE110" s="132">
        <f t="shared" si="129"/>
        <v>0.43529411764705883</v>
      </c>
      <c r="AF110" s="131">
        <f t="shared" si="129"/>
        <v>0.43529411764705883</v>
      </c>
      <c r="AG110" s="131">
        <f t="shared" si="129"/>
        <v>0.43529411764705883</v>
      </c>
      <c r="AH110" s="131">
        <f t="shared" si="129"/>
        <v>0.43529411764705883</v>
      </c>
      <c r="AI110" s="131">
        <f t="shared" si="129"/>
        <v>0.43529411764705883</v>
      </c>
      <c r="AJ110" s="131">
        <f t="shared" si="129"/>
        <v>0.43529411764705883</v>
      </c>
      <c r="AK110" s="131">
        <f t="shared" si="129"/>
        <v>0.43529411764705883</v>
      </c>
      <c r="AL110" s="131">
        <f t="shared" si="129"/>
        <v>0.43529411764705883</v>
      </c>
      <c r="AM110" s="131">
        <f t="shared" si="129"/>
        <v>0.43529411764705883</v>
      </c>
      <c r="AN110" s="131">
        <f t="shared" si="129"/>
        <v>0.43529411764705883</v>
      </c>
      <c r="AO110" s="131">
        <f t="shared" si="129"/>
        <v>0.43529411764705883</v>
      </c>
      <c r="AP110" s="131">
        <f t="shared" si="129"/>
        <v>0.43529411764705883</v>
      </c>
      <c r="AQ110" s="31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31"/>
      <c r="BD110" s="31"/>
      <c r="BE110" s="131">
        <f t="shared" ref="BE110:BG110" si="130">BE100/BE182</f>
        <v>0.43529411764705883</v>
      </c>
      <c r="BF110" s="131">
        <f t="shared" si="130"/>
        <v>0.43529411764705883</v>
      </c>
      <c r="BG110" s="131">
        <f t="shared" si="130"/>
        <v>0.43529411764705883</v>
      </c>
      <c r="BH110" s="31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</row>
    <row r="111" spans="1:79" ht="14.25" customHeight="1" outlineLevel="1" x14ac:dyDescent="0.25">
      <c r="A111" s="22"/>
      <c r="B111" s="22" t="str">
        <f t="shared" si="122"/>
        <v>SaaS</v>
      </c>
      <c r="C111" s="22"/>
      <c r="D111" s="22"/>
      <c r="E111" s="22"/>
      <c r="F111" s="80"/>
      <c r="G111" s="82"/>
      <c r="H111" s="82"/>
      <c r="I111" s="82"/>
      <c r="J111" s="82"/>
      <c r="K111" s="82"/>
      <c r="L111" s="22"/>
      <c r="M111" s="131"/>
      <c r="N111" s="131"/>
      <c r="O111" s="131"/>
      <c r="P111" s="131"/>
      <c r="Q111" s="131"/>
      <c r="R111" s="131"/>
      <c r="S111" s="132"/>
      <c r="T111" s="131"/>
      <c r="U111" s="131"/>
      <c r="V111" s="131"/>
      <c r="W111" s="131"/>
      <c r="X111" s="131">
        <f t="shared" ref="X111:AP111" si="131">X101/X183</f>
        <v>-0.68846765067058335</v>
      </c>
      <c r="Y111" s="131">
        <f t="shared" si="131"/>
        <v>7.3247421139461921E-2</v>
      </c>
      <c r="Z111" s="131">
        <f t="shared" si="131"/>
        <v>0.25719011482692217</v>
      </c>
      <c r="AA111" s="131">
        <f t="shared" si="131"/>
        <v>0.40265365964671324</v>
      </c>
      <c r="AB111" s="131">
        <f t="shared" si="131"/>
        <v>0.48956089023781557</v>
      </c>
      <c r="AC111" s="131">
        <f t="shared" si="131"/>
        <v>0.5471784420723792</v>
      </c>
      <c r="AD111" s="131">
        <f t="shared" si="131"/>
        <v>0.58805038880545302</v>
      </c>
      <c r="AE111" s="132">
        <f t="shared" si="131"/>
        <v>0.59868944904923949</v>
      </c>
      <c r="AF111" s="131">
        <f t="shared" si="131"/>
        <v>0.63145742219693302</v>
      </c>
      <c r="AG111" s="131">
        <f t="shared" si="131"/>
        <v>0.65274314636021258</v>
      </c>
      <c r="AH111" s="131">
        <f t="shared" si="131"/>
        <v>0.66986723081461841</v>
      </c>
      <c r="AI111" s="131">
        <f t="shared" si="131"/>
        <v>0.68390950034411935</v>
      </c>
      <c r="AJ111" s="131">
        <f t="shared" si="131"/>
        <v>0.69560558044449916</v>
      </c>
      <c r="AK111" s="131">
        <f t="shared" si="131"/>
        <v>0.69583795297436934</v>
      </c>
      <c r="AL111" s="131">
        <f t="shared" si="131"/>
        <v>0.70523738558152727</v>
      </c>
      <c r="AM111" s="131">
        <f t="shared" si="131"/>
        <v>0.71333449031793716</v>
      </c>
      <c r="AN111" s="131">
        <f t="shared" si="131"/>
        <v>0.7203647067845057</v>
      </c>
      <c r="AO111" s="131">
        <f t="shared" si="131"/>
        <v>0.72010874429824823</v>
      </c>
      <c r="AP111" s="131">
        <f t="shared" si="131"/>
        <v>0.72609257624538404</v>
      </c>
      <c r="AQ111" s="31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31"/>
      <c r="BD111" s="31"/>
      <c r="BE111" s="131"/>
      <c r="BF111" s="131">
        <f t="shared" ref="BF111:BG111" si="132">BF101/BF183</f>
        <v>0.43130818217681849</v>
      </c>
      <c r="BG111" s="131">
        <f t="shared" si="132"/>
        <v>0.69750337155057751</v>
      </c>
      <c r="BH111" s="31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</row>
    <row r="112" spans="1:79" ht="14.25" customHeight="1" outlineLevel="1" x14ac:dyDescent="0.25">
      <c r="A112" s="22"/>
      <c r="B112" s="22" t="str">
        <f t="shared" si="122"/>
        <v>Corrections</v>
      </c>
      <c r="C112" s="22"/>
      <c r="D112" s="22"/>
      <c r="E112" s="22"/>
      <c r="F112" s="80"/>
      <c r="G112" s="82"/>
      <c r="H112" s="82"/>
      <c r="I112" s="82"/>
      <c r="J112" s="82"/>
      <c r="K112" s="82"/>
      <c r="L112" s="22"/>
      <c r="M112" s="131"/>
      <c r="N112" s="131"/>
      <c r="O112" s="131"/>
      <c r="P112" s="131"/>
      <c r="Q112" s="131"/>
      <c r="R112" s="131"/>
      <c r="S112" s="132"/>
      <c r="T112" s="131"/>
      <c r="U112" s="131"/>
      <c r="V112" s="131"/>
      <c r="W112" s="131"/>
      <c r="X112" s="131"/>
      <c r="Y112" s="131">
        <f t="shared" ref="Y112:AP112" si="133">Y102/Y184</f>
        <v>0.13043478260869562</v>
      </c>
      <c r="Z112" s="131">
        <f t="shared" si="133"/>
        <v>0.13043478260869562</v>
      </c>
      <c r="AA112" s="131">
        <f t="shared" si="133"/>
        <v>0.13043478260869562</v>
      </c>
      <c r="AB112" s="131">
        <f t="shared" si="133"/>
        <v>0.13043478260869562</v>
      </c>
      <c r="AC112" s="131">
        <f t="shared" si="133"/>
        <v>0.13043478260869562</v>
      </c>
      <c r="AD112" s="131">
        <f t="shared" si="133"/>
        <v>0.13043478260869562</v>
      </c>
      <c r="AE112" s="132">
        <f t="shared" si="133"/>
        <v>0.13043478260869562</v>
      </c>
      <c r="AF112" s="131">
        <f t="shared" si="133"/>
        <v>0.13043478260869562</v>
      </c>
      <c r="AG112" s="131">
        <f t="shared" si="133"/>
        <v>0.13043478260869562</v>
      </c>
      <c r="AH112" s="131">
        <f t="shared" si="133"/>
        <v>0.13043478260869562</v>
      </c>
      <c r="AI112" s="131">
        <f t="shared" si="133"/>
        <v>0.13043478260869565</v>
      </c>
      <c r="AJ112" s="131">
        <f t="shared" si="133"/>
        <v>0.13043478260869565</v>
      </c>
      <c r="AK112" s="131">
        <f t="shared" si="133"/>
        <v>0.13043478260869565</v>
      </c>
      <c r="AL112" s="131">
        <f t="shared" si="133"/>
        <v>0.14513856270549555</v>
      </c>
      <c r="AM112" s="131">
        <f t="shared" si="133"/>
        <v>0.14357682619647355</v>
      </c>
      <c r="AN112" s="131">
        <f t="shared" si="133"/>
        <v>0.14357682619647355</v>
      </c>
      <c r="AO112" s="131">
        <f t="shared" si="133"/>
        <v>0.14357682619647355</v>
      </c>
      <c r="AP112" s="131">
        <f t="shared" si="133"/>
        <v>0.14972273567467653</v>
      </c>
      <c r="AQ112" s="31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31"/>
      <c r="BD112" s="31"/>
      <c r="BE112" s="131"/>
      <c r="BF112" s="131">
        <f t="shared" ref="BF112:BG112" si="134">BF102/BF184</f>
        <v>0.13043478260869565</v>
      </c>
      <c r="BG112" s="131">
        <f t="shared" si="134"/>
        <v>0.13989324201833014</v>
      </c>
      <c r="BH112" s="31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</row>
    <row r="113" spans="1:79" ht="14.25" customHeight="1" outlineLevel="1" x14ac:dyDescent="0.25">
      <c r="A113" s="22"/>
      <c r="B113" s="22" t="str">
        <f t="shared" si="122"/>
        <v>Healthcare Compliance</v>
      </c>
      <c r="C113" s="22"/>
      <c r="D113" s="22"/>
      <c r="E113" s="22"/>
      <c r="F113" s="80"/>
      <c r="G113" s="82"/>
      <c r="H113" s="82"/>
      <c r="I113" s="82"/>
      <c r="J113" s="82"/>
      <c r="K113" s="82"/>
      <c r="L113" s="22"/>
      <c r="M113" s="131"/>
      <c r="N113" s="131"/>
      <c r="O113" s="131"/>
      <c r="P113" s="131"/>
      <c r="Q113" s="131"/>
      <c r="R113" s="131"/>
      <c r="S113" s="132"/>
      <c r="T113" s="131"/>
      <c r="U113" s="131"/>
      <c r="V113" s="131"/>
      <c r="W113" s="131"/>
      <c r="X113" s="131"/>
      <c r="Y113" s="131"/>
      <c r="Z113" s="131"/>
      <c r="AA113" s="131"/>
      <c r="AB113" s="131">
        <f t="shared" ref="AB113:AP113" si="135">AB103/AB185</f>
        <v>-4.0701683501683501</v>
      </c>
      <c r="AC113" s="131">
        <f t="shared" si="135"/>
        <v>-1.7132659932659937</v>
      </c>
      <c r="AD113" s="131">
        <f t="shared" si="135"/>
        <v>-2.1621997755331086</v>
      </c>
      <c r="AE113" s="132">
        <f t="shared" si="135"/>
        <v>-0.64373414510400795</v>
      </c>
      <c r="AF113" s="131">
        <f t="shared" si="135"/>
        <v>-0.28133652243241275</v>
      </c>
      <c r="AG113" s="131">
        <f t="shared" si="135"/>
        <v>-8.0004509837082072E-2</v>
      </c>
      <c r="AH113" s="131">
        <f t="shared" si="135"/>
        <v>-6.7192472671924727E-2</v>
      </c>
      <c r="AI113" s="131">
        <f t="shared" si="135"/>
        <v>3.9245989930921439E-2</v>
      </c>
      <c r="AJ113" s="131">
        <f t="shared" si="135"/>
        <v>1.5829528158295282E-2</v>
      </c>
      <c r="AK113" s="131">
        <f t="shared" si="135"/>
        <v>8.7456352403975285E-2</v>
      </c>
      <c r="AL113" s="131">
        <f t="shared" si="135"/>
        <v>0.1173008625063419</v>
      </c>
      <c r="AM113" s="131">
        <f t="shared" si="135"/>
        <v>0.1173008625063419</v>
      </c>
      <c r="AN113" s="131">
        <f t="shared" si="135"/>
        <v>0.136814580650197</v>
      </c>
      <c r="AO113" s="131">
        <f t="shared" si="135"/>
        <v>0.18728109309120167</v>
      </c>
      <c r="AP113" s="131">
        <f t="shared" si="135"/>
        <v>0.19657534246575342</v>
      </c>
      <c r="AQ113" s="31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31"/>
      <c r="BD113" s="31"/>
      <c r="BE113" s="131"/>
      <c r="BF113" s="131">
        <f t="shared" ref="BF113:BG113" si="136">BF103/BF185</f>
        <v>-2.3305499438832773</v>
      </c>
      <c r="BG113" s="131">
        <f t="shared" si="136"/>
        <v>7.6859388671975393E-2</v>
      </c>
      <c r="BH113" s="31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</row>
    <row r="114" spans="1:79" ht="14.25" customHeight="1" outlineLevel="1" x14ac:dyDescent="0.25">
      <c r="A114" s="22"/>
      <c r="B114" s="22" t="str">
        <f t="shared" si="122"/>
        <v>Employee Wellness</v>
      </c>
      <c r="C114" s="22"/>
      <c r="D114" s="22"/>
      <c r="E114" s="22"/>
      <c r="F114" s="80"/>
      <c r="G114" s="82"/>
      <c r="H114" s="82"/>
      <c r="I114" s="82"/>
      <c r="J114" s="82"/>
      <c r="K114" s="82"/>
      <c r="L114" s="22"/>
      <c r="M114" s="22"/>
      <c r="N114" s="22"/>
      <c r="O114" s="22"/>
      <c r="P114" s="22"/>
      <c r="Q114" s="22"/>
      <c r="R114" s="22"/>
      <c r="S114" s="31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132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31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31"/>
      <c r="BD114" s="31"/>
      <c r="BE114" s="22"/>
      <c r="BF114" s="22"/>
      <c r="BG114" s="22"/>
      <c r="BH114" s="31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</row>
    <row r="115" spans="1:79" ht="14.25" customHeight="1" outlineLevel="1" x14ac:dyDescent="0.25">
      <c r="A115" s="22"/>
      <c r="B115" s="22"/>
      <c r="C115" s="22"/>
      <c r="D115" s="22"/>
      <c r="E115" s="22"/>
      <c r="F115" s="80"/>
      <c r="G115" s="82"/>
      <c r="H115" s="82"/>
      <c r="I115" s="82"/>
      <c r="J115" s="82"/>
      <c r="K115" s="82"/>
      <c r="L115" s="22"/>
      <c r="M115" s="22"/>
      <c r="N115" s="22"/>
      <c r="O115" s="22"/>
      <c r="P115" s="22"/>
      <c r="Q115" s="22"/>
      <c r="R115" s="22"/>
      <c r="S115" s="31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31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31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31"/>
      <c r="BD115" s="31"/>
      <c r="BE115" s="22"/>
      <c r="BF115" s="22"/>
      <c r="BG115" s="22"/>
      <c r="BH115" s="31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</row>
    <row r="116" spans="1:79" ht="14.25" customHeight="1" x14ac:dyDescent="0.25">
      <c r="A116" s="22"/>
      <c r="B116" s="22"/>
      <c r="C116" s="22"/>
      <c r="D116" s="22"/>
      <c r="E116" s="22"/>
      <c r="F116" s="80"/>
      <c r="G116" s="82"/>
      <c r="H116" s="82"/>
      <c r="I116" s="82"/>
      <c r="J116" s="82"/>
      <c r="K116" s="82"/>
      <c r="L116" s="22"/>
      <c r="M116" s="22"/>
      <c r="N116" s="22"/>
      <c r="O116" s="22"/>
      <c r="P116" s="22"/>
      <c r="Q116" s="22"/>
      <c r="R116" s="22"/>
      <c r="S116" s="31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31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31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31"/>
      <c r="BD116" s="31"/>
      <c r="BE116" s="22"/>
      <c r="BF116" s="22"/>
      <c r="BG116" s="22"/>
      <c r="BH116" s="31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</row>
    <row r="117" spans="1:79" ht="14.25" customHeight="1" x14ac:dyDescent="0.25">
      <c r="A117" s="133" t="s">
        <v>219</v>
      </c>
      <c r="B117" s="133"/>
      <c r="C117" s="133"/>
      <c r="D117" s="133"/>
      <c r="E117" s="133"/>
      <c r="F117" s="134"/>
      <c r="G117" s="135">
        <f t="shared" ref="G117:AP117" si="137">SUM(G165:G173)</f>
        <v>0</v>
      </c>
      <c r="H117" s="135">
        <f t="shared" si="137"/>
        <v>0</v>
      </c>
      <c r="I117" s="135">
        <f t="shared" si="137"/>
        <v>0</v>
      </c>
      <c r="J117" s="135">
        <f t="shared" si="137"/>
        <v>0</v>
      </c>
      <c r="K117" s="135">
        <f t="shared" si="137"/>
        <v>0</v>
      </c>
      <c r="L117" s="135">
        <f t="shared" si="137"/>
        <v>0</v>
      </c>
      <c r="M117" s="135">
        <f t="shared" si="137"/>
        <v>25449.146373389434</v>
      </c>
      <c r="N117" s="135">
        <f t="shared" si="137"/>
        <v>180381.6301313306</v>
      </c>
      <c r="O117" s="135">
        <f t="shared" si="137"/>
        <v>265921.54746671941</v>
      </c>
      <c r="P117" s="135">
        <f t="shared" si="137"/>
        <v>352096.70833333337</v>
      </c>
      <c r="Q117" s="135">
        <f t="shared" si="137"/>
        <v>378001.70833333337</v>
      </c>
      <c r="R117" s="135">
        <f t="shared" si="137"/>
        <v>223976.70833333337</v>
      </c>
      <c r="S117" s="136">
        <f t="shared" si="137"/>
        <v>292739.41666666669</v>
      </c>
      <c r="T117" s="135">
        <f t="shared" si="137"/>
        <v>270612.125</v>
      </c>
      <c r="U117" s="135">
        <f t="shared" si="137"/>
        <v>329702.05833333323</v>
      </c>
      <c r="V117" s="135">
        <f t="shared" si="137"/>
        <v>320632.09999999986</v>
      </c>
      <c r="W117" s="135">
        <f t="shared" si="137"/>
        <v>223431.43333333323</v>
      </c>
      <c r="X117" s="135">
        <f t="shared" si="137"/>
        <v>316590.90833333338</v>
      </c>
      <c r="Y117" s="135">
        <f t="shared" si="137"/>
        <v>419060.24999999983</v>
      </c>
      <c r="Z117" s="135">
        <f t="shared" si="137"/>
        <v>704955.90733333316</v>
      </c>
      <c r="AA117" s="135">
        <f t="shared" si="137"/>
        <v>808538.47052999993</v>
      </c>
      <c r="AB117" s="135">
        <f t="shared" si="137"/>
        <v>1091605.0580807666</v>
      </c>
      <c r="AC117" s="135">
        <f t="shared" si="137"/>
        <v>1509116.9227716771</v>
      </c>
      <c r="AD117" s="135">
        <f t="shared" si="137"/>
        <v>1796949.3051651935</v>
      </c>
      <c r="AE117" s="136">
        <f t="shared" si="137"/>
        <v>2091946.3227630376</v>
      </c>
      <c r="AF117" s="135">
        <f t="shared" si="137"/>
        <v>2519869.265685657</v>
      </c>
      <c r="AG117" s="135">
        <f t="shared" si="137"/>
        <v>2839299.1179503808</v>
      </c>
      <c r="AH117" s="135">
        <f t="shared" si="137"/>
        <v>3237683.3518126537</v>
      </c>
      <c r="AI117" s="135">
        <f t="shared" si="137"/>
        <v>3531312.1841977872</v>
      </c>
      <c r="AJ117" s="135">
        <f t="shared" si="137"/>
        <v>3922891.8525498617</v>
      </c>
      <c r="AK117" s="135">
        <f t="shared" si="137"/>
        <v>4192936.821474947</v>
      </c>
      <c r="AL117" s="135">
        <f t="shared" si="137"/>
        <v>4471271.8930024067</v>
      </c>
      <c r="AM117" s="135">
        <f t="shared" si="137"/>
        <v>5218309.9807711132</v>
      </c>
      <c r="AN117" s="135">
        <f t="shared" si="137"/>
        <v>5604240.90927146</v>
      </c>
      <c r="AO117" s="135">
        <f t="shared" si="137"/>
        <v>5879129.533497341</v>
      </c>
      <c r="AP117" s="135">
        <f t="shared" si="137"/>
        <v>6148968.8086567689</v>
      </c>
      <c r="AQ117" s="137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7"/>
      <c r="BD117" s="137"/>
      <c r="BE117" s="133"/>
      <c r="BF117" s="133"/>
      <c r="BG117" s="133"/>
      <c r="BH117" s="137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  <c r="BX117" s="133"/>
      <c r="BY117" s="133"/>
      <c r="BZ117" s="133"/>
      <c r="CA117" s="133"/>
    </row>
    <row r="118" spans="1:79" ht="14.25" customHeight="1" outlineLevel="1" x14ac:dyDescent="0.25">
      <c r="A118" s="22"/>
      <c r="B118" s="22"/>
      <c r="C118" s="22"/>
      <c r="D118" s="22"/>
      <c r="E118" s="22"/>
      <c r="F118" s="80"/>
      <c r="G118" s="82"/>
      <c r="H118" s="82"/>
      <c r="I118" s="82"/>
      <c r="J118" s="82"/>
      <c r="K118" s="82"/>
      <c r="L118" s="22"/>
      <c r="M118" s="22"/>
      <c r="N118" s="22"/>
      <c r="O118" s="22"/>
      <c r="P118" s="22"/>
      <c r="Q118" s="22"/>
      <c r="R118" s="22"/>
      <c r="S118" s="31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31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31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31"/>
      <c r="BD118" s="31"/>
      <c r="BE118" s="22"/>
      <c r="BF118" s="22"/>
      <c r="BG118" s="22"/>
      <c r="BH118" s="31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</row>
    <row r="119" spans="1:79" ht="14.25" customHeight="1" outlineLevel="1" x14ac:dyDescent="0.25">
      <c r="A119" s="30" t="s">
        <v>220</v>
      </c>
      <c r="B119" s="30"/>
      <c r="C119" s="30"/>
      <c r="D119" s="30"/>
      <c r="E119" s="30"/>
      <c r="F119" s="110"/>
      <c r="G119" s="138"/>
      <c r="H119" s="138"/>
      <c r="I119" s="138"/>
      <c r="J119" s="138"/>
      <c r="K119" s="138"/>
      <c r="L119" s="30"/>
      <c r="M119" s="126">
        <f t="shared" ref="M119:AP119" si="138">M121</f>
        <v>1012535.278266772</v>
      </c>
      <c r="N119" s="126">
        <f t="shared" si="138"/>
        <v>1263146.6000000001</v>
      </c>
      <c r="O119" s="126">
        <f t="shared" si="138"/>
        <v>1537039.2</v>
      </c>
      <c r="P119" s="126">
        <f t="shared" si="138"/>
        <v>1593096.8</v>
      </c>
      <c r="Q119" s="126">
        <f t="shared" si="138"/>
        <v>1981583</v>
      </c>
      <c r="R119" s="126">
        <f t="shared" si="138"/>
        <v>2228080.7999999998</v>
      </c>
      <c r="S119" s="127">
        <f t="shared" si="138"/>
        <v>2656798.333333333</v>
      </c>
      <c r="T119" s="126">
        <f t="shared" si="138"/>
        <v>3078515.8666666667</v>
      </c>
      <c r="U119" s="126">
        <f t="shared" si="138"/>
        <v>3495233.6</v>
      </c>
      <c r="V119" s="126">
        <f t="shared" si="138"/>
        <v>3899951.5333333332</v>
      </c>
      <c r="W119" s="126">
        <f t="shared" si="138"/>
        <v>4297669.4666666668</v>
      </c>
      <c r="X119" s="126">
        <f t="shared" si="138"/>
        <v>4685387.8</v>
      </c>
      <c r="Y119" s="126">
        <f t="shared" si="138"/>
        <v>5891006.5333333332</v>
      </c>
      <c r="Z119" s="126">
        <f t="shared" si="138"/>
        <v>6249725.4666666668</v>
      </c>
      <c r="AA119" s="126">
        <f t="shared" si="138"/>
        <v>6596444.5999999996</v>
      </c>
      <c r="AB119" s="126">
        <f t="shared" si="138"/>
        <v>7765251.4333333336</v>
      </c>
      <c r="AC119" s="126">
        <f t="shared" si="138"/>
        <v>8089158.666666666</v>
      </c>
      <c r="AD119" s="126">
        <f t="shared" si="138"/>
        <v>8403066.3000000007</v>
      </c>
      <c r="AE119" s="127">
        <f t="shared" si="138"/>
        <v>9559186.2333333343</v>
      </c>
      <c r="AF119" s="126">
        <f t="shared" si="138"/>
        <v>9864331.5666666683</v>
      </c>
      <c r="AG119" s="126">
        <f t="shared" si="138"/>
        <v>10994377.300000001</v>
      </c>
      <c r="AH119" s="126">
        <f t="shared" si="138"/>
        <v>11280522.833333334</v>
      </c>
      <c r="AI119" s="126">
        <f t="shared" si="138"/>
        <v>12391568.766666668</v>
      </c>
      <c r="AJ119" s="126">
        <f t="shared" si="138"/>
        <v>12662714.9</v>
      </c>
      <c r="AK119" s="126">
        <f t="shared" si="138"/>
        <v>12926861.033333333</v>
      </c>
      <c r="AL119" s="126">
        <f t="shared" si="138"/>
        <v>16045419.866666667</v>
      </c>
      <c r="AM119" s="126">
        <f t="shared" si="138"/>
        <v>17135678.899999999</v>
      </c>
      <c r="AN119" s="126">
        <f t="shared" si="138"/>
        <v>17386038.133333333</v>
      </c>
      <c r="AO119" s="126">
        <f t="shared" si="138"/>
        <v>17629397.366666667</v>
      </c>
      <c r="AP119" s="126">
        <f t="shared" si="138"/>
        <v>20723956.600000001</v>
      </c>
      <c r="AQ119" s="111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111"/>
      <c r="BD119" s="111"/>
      <c r="BE119" s="30"/>
      <c r="BF119" s="30"/>
      <c r="BG119" s="30"/>
      <c r="BH119" s="111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</row>
    <row r="120" spans="1:79" ht="14.25" customHeight="1" outlineLevel="2" x14ac:dyDescent="0.25">
      <c r="A120" s="22"/>
      <c r="B120" s="22"/>
      <c r="C120" s="22"/>
      <c r="D120" s="22"/>
      <c r="E120" s="22"/>
      <c r="F120" s="80"/>
      <c r="G120" s="82"/>
      <c r="H120" s="82"/>
      <c r="I120" s="82"/>
      <c r="J120" s="82"/>
      <c r="K120" s="82"/>
      <c r="L120" s="22"/>
      <c r="M120" s="22"/>
      <c r="N120" s="22"/>
      <c r="O120" s="22"/>
      <c r="P120" s="22"/>
      <c r="Q120" s="22"/>
      <c r="R120" s="22"/>
      <c r="S120" s="31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31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31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31"/>
      <c r="BD120" s="31"/>
      <c r="BE120" s="22"/>
      <c r="BF120" s="22"/>
      <c r="BG120" s="22"/>
      <c r="BH120" s="31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</row>
    <row r="121" spans="1:79" ht="14.25" customHeight="1" outlineLevel="2" x14ac:dyDescent="0.25">
      <c r="A121" s="46"/>
      <c r="B121" s="46" t="s">
        <v>221</v>
      </c>
      <c r="C121" s="46"/>
      <c r="D121" s="46"/>
      <c r="E121" s="46"/>
      <c r="F121" s="81"/>
      <c r="G121" s="139"/>
      <c r="H121" s="139"/>
      <c r="I121" s="139"/>
      <c r="J121" s="139"/>
      <c r="K121" s="139"/>
      <c r="L121" s="46"/>
      <c r="M121" s="140">
        <f t="shared" ref="M121:AP121" si="139">SUM(M122:M128)</f>
        <v>1012535.278266772</v>
      </c>
      <c r="N121" s="140">
        <f t="shared" si="139"/>
        <v>1263146.6000000001</v>
      </c>
      <c r="O121" s="140">
        <f t="shared" si="139"/>
        <v>1537039.2</v>
      </c>
      <c r="P121" s="140">
        <f t="shared" si="139"/>
        <v>1593096.8</v>
      </c>
      <c r="Q121" s="140">
        <f t="shared" si="139"/>
        <v>1981583</v>
      </c>
      <c r="R121" s="140">
        <f t="shared" si="139"/>
        <v>2228080.7999999998</v>
      </c>
      <c r="S121" s="141">
        <f t="shared" si="139"/>
        <v>2656798.333333333</v>
      </c>
      <c r="T121" s="140">
        <f t="shared" si="139"/>
        <v>3078515.8666666667</v>
      </c>
      <c r="U121" s="140">
        <f t="shared" si="139"/>
        <v>3495233.6</v>
      </c>
      <c r="V121" s="140">
        <f t="shared" si="139"/>
        <v>3899951.5333333332</v>
      </c>
      <c r="W121" s="140">
        <f t="shared" si="139"/>
        <v>4297669.4666666668</v>
      </c>
      <c r="X121" s="140">
        <f t="shared" si="139"/>
        <v>4685387.8</v>
      </c>
      <c r="Y121" s="140">
        <f t="shared" si="139"/>
        <v>5891006.5333333332</v>
      </c>
      <c r="Z121" s="140">
        <f t="shared" si="139"/>
        <v>6249725.4666666668</v>
      </c>
      <c r="AA121" s="140">
        <f t="shared" si="139"/>
        <v>6596444.5999999996</v>
      </c>
      <c r="AB121" s="140">
        <f t="shared" si="139"/>
        <v>7765251.4333333336</v>
      </c>
      <c r="AC121" s="140">
        <f t="shared" si="139"/>
        <v>8089158.666666666</v>
      </c>
      <c r="AD121" s="140">
        <f t="shared" si="139"/>
        <v>8403066.3000000007</v>
      </c>
      <c r="AE121" s="141">
        <f t="shared" si="139"/>
        <v>9559186.2333333343</v>
      </c>
      <c r="AF121" s="140">
        <f t="shared" si="139"/>
        <v>9864331.5666666683</v>
      </c>
      <c r="AG121" s="140">
        <f t="shared" si="139"/>
        <v>10994377.300000001</v>
      </c>
      <c r="AH121" s="140">
        <f t="shared" si="139"/>
        <v>11280522.833333334</v>
      </c>
      <c r="AI121" s="140">
        <f t="shared" si="139"/>
        <v>12391568.766666668</v>
      </c>
      <c r="AJ121" s="140">
        <f t="shared" si="139"/>
        <v>12662714.9</v>
      </c>
      <c r="AK121" s="140">
        <f t="shared" si="139"/>
        <v>12926861.033333333</v>
      </c>
      <c r="AL121" s="140">
        <f t="shared" si="139"/>
        <v>16045419.866666667</v>
      </c>
      <c r="AM121" s="140">
        <f t="shared" si="139"/>
        <v>17135678.899999999</v>
      </c>
      <c r="AN121" s="140">
        <f t="shared" si="139"/>
        <v>17386038.133333333</v>
      </c>
      <c r="AO121" s="140">
        <f t="shared" si="139"/>
        <v>17629397.366666667</v>
      </c>
      <c r="AP121" s="140">
        <f t="shared" si="139"/>
        <v>20723956.600000001</v>
      </c>
      <c r="AQ121" s="29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29"/>
      <c r="BD121" s="29"/>
      <c r="BE121" s="46"/>
      <c r="BF121" s="46"/>
      <c r="BG121" s="46"/>
      <c r="BH121" s="29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  <c r="CA121" s="46"/>
    </row>
    <row r="122" spans="1:79" ht="14.25" customHeight="1" outlineLevel="2" x14ac:dyDescent="0.25">
      <c r="A122" s="22"/>
      <c r="B122" s="22" t="s">
        <v>13</v>
      </c>
      <c r="C122" s="22"/>
      <c r="D122" s="22"/>
      <c r="E122" s="22"/>
      <c r="F122" s="80"/>
      <c r="G122" s="82"/>
      <c r="H122" s="82"/>
      <c r="I122" s="82"/>
      <c r="J122" s="82"/>
      <c r="K122" s="82"/>
      <c r="L122" s="22"/>
      <c r="M122" s="116">
        <f t="shared" ref="M122:AP122" si="140">M209</f>
        <v>702599.67826677207</v>
      </c>
      <c r="N122" s="116">
        <f t="shared" si="140"/>
        <v>1019370</v>
      </c>
      <c r="O122" s="116">
        <f t="shared" si="140"/>
        <v>1167210</v>
      </c>
      <c r="P122" s="116">
        <f t="shared" si="140"/>
        <v>1100220</v>
      </c>
      <c r="Q122" s="116">
        <f t="shared" si="140"/>
        <v>1208460</v>
      </c>
      <c r="R122" s="116">
        <f t="shared" si="140"/>
        <v>1249710</v>
      </c>
      <c r="S122" s="125">
        <f t="shared" si="140"/>
        <v>1277100</v>
      </c>
      <c r="T122" s="116">
        <f t="shared" si="140"/>
        <v>1304490</v>
      </c>
      <c r="U122" s="116">
        <f t="shared" si="140"/>
        <v>1331880</v>
      </c>
      <c r="V122" s="116">
        <f t="shared" si="140"/>
        <v>1359270</v>
      </c>
      <c r="W122" s="116">
        <f t="shared" si="140"/>
        <v>1386660</v>
      </c>
      <c r="X122" s="116">
        <f t="shared" si="140"/>
        <v>1414050</v>
      </c>
      <c r="Y122" s="116">
        <f t="shared" si="140"/>
        <v>1441440</v>
      </c>
      <c r="Z122" s="116">
        <f t="shared" si="140"/>
        <v>1468830</v>
      </c>
      <c r="AA122" s="116">
        <f t="shared" si="140"/>
        <v>1496220</v>
      </c>
      <c r="AB122" s="116">
        <f t="shared" si="140"/>
        <v>1523610</v>
      </c>
      <c r="AC122" s="116">
        <f t="shared" si="140"/>
        <v>1551000</v>
      </c>
      <c r="AD122" s="116">
        <f t="shared" si="140"/>
        <v>1578390</v>
      </c>
      <c r="AE122" s="125">
        <f t="shared" si="140"/>
        <v>1605780</v>
      </c>
      <c r="AF122" s="116">
        <f t="shared" si="140"/>
        <v>1633170</v>
      </c>
      <c r="AG122" s="116">
        <f t="shared" si="140"/>
        <v>1660560</v>
      </c>
      <c r="AH122" s="116">
        <f t="shared" si="140"/>
        <v>1687950</v>
      </c>
      <c r="AI122" s="116">
        <f t="shared" si="140"/>
        <v>1715340</v>
      </c>
      <c r="AJ122" s="116">
        <f t="shared" si="140"/>
        <v>1742730</v>
      </c>
      <c r="AK122" s="116">
        <f t="shared" si="140"/>
        <v>1770120</v>
      </c>
      <c r="AL122" s="116">
        <f t="shared" si="140"/>
        <v>1797510</v>
      </c>
      <c r="AM122" s="116">
        <f t="shared" si="140"/>
        <v>1824900</v>
      </c>
      <c r="AN122" s="116">
        <f t="shared" si="140"/>
        <v>1852290</v>
      </c>
      <c r="AO122" s="116">
        <f t="shared" si="140"/>
        <v>1879680</v>
      </c>
      <c r="AP122" s="116">
        <f t="shared" si="140"/>
        <v>1907070</v>
      </c>
      <c r="AQ122" s="31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31"/>
      <c r="BD122" s="31"/>
      <c r="BE122" s="22"/>
      <c r="BF122" s="22"/>
      <c r="BG122" s="22"/>
      <c r="BH122" s="31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</row>
    <row r="123" spans="1:79" ht="14.25" customHeight="1" outlineLevel="2" x14ac:dyDescent="0.25">
      <c r="A123" s="22"/>
      <c r="B123" s="22" t="s">
        <v>222</v>
      </c>
      <c r="C123" s="22"/>
      <c r="D123" s="22"/>
      <c r="E123" s="22"/>
      <c r="F123" s="80"/>
      <c r="G123" s="82"/>
      <c r="H123" s="82"/>
      <c r="I123" s="82"/>
      <c r="J123" s="82"/>
      <c r="K123" s="82"/>
      <c r="L123" s="22"/>
      <c r="M123" s="116">
        <f t="shared" ref="M123:AP123" si="141">M265</f>
        <v>94940</v>
      </c>
      <c r="N123" s="116">
        <f t="shared" si="141"/>
        <v>81780</v>
      </c>
      <c r="O123" s="116">
        <f t="shared" si="141"/>
        <v>84835</v>
      </c>
      <c r="P123" s="116">
        <f t="shared" si="141"/>
        <v>91885</v>
      </c>
      <c r="Q123" s="116">
        <f t="shared" si="141"/>
        <v>150635</v>
      </c>
      <c r="R123" s="116">
        <f t="shared" si="141"/>
        <v>209385</v>
      </c>
      <c r="S123" s="125">
        <f t="shared" si="141"/>
        <v>240718.33333333331</v>
      </c>
      <c r="T123" s="116">
        <f t="shared" si="141"/>
        <v>272051.66666666663</v>
      </c>
      <c r="U123" s="116">
        <f t="shared" si="141"/>
        <v>303384.99999999994</v>
      </c>
      <c r="V123" s="116">
        <f t="shared" si="141"/>
        <v>334718.33333333326</v>
      </c>
      <c r="W123" s="116">
        <f t="shared" si="141"/>
        <v>366051.66666666657</v>
      </c>
      <c r="X123" s="116">
        <f t="shared" si="141"/>
        <v>397384.99999999988</v>
      </c>
      <c r="Y123" s="116">
        <f t="shared" si="141"/>
        <v>428718.3333333332</v>
      </c>
      <c r="Z123" s="116">
        <f t="shared" si="141"/>
        <v>460051.66666666651</v>
      </c>
      <c r="AA123" s="116">
        <f t="shared" si="141"/>
        <v>491384.99999999988</v>
      </c>
      <c r="AB123" s="116">
        <f t="shared" si="141"/>
        <v>522718.33333333326</v>
      </c>
      <c r="AC123" s="116">
        <f t="shared" si="141"/>
        <v>554051.66666666663</v>
      </c>
      <c r="AD123" s="116">
        <f t="shared" si="141"/>
        <v>585385</v>
      </c>
      <c r="AE123" s="125">
        <f t="shared" si="141"/>
        <v>616718.33333333337</v>
      </c>
      <c r="AF123" s="116">
        <f t="shared" si="141"/>
        <v>648051.66666666674</v>
      </c>
      <c r="AG123" s="116">
        <f t="shared" si="141"/>
        <v>679385.00000000012</v>
      </c>
      <c r="AH123" s="116">
        <f t="shared" si="141"/>
        <v>710718.33333333349</v>
      </c>
      <c r="AI123" s="116">
        <f t="shared" si="141"/>
        <v>742051.66666666686</v>
      </c>
      <c r="AJ123" s="116">
        <f t="shared" si="141"/>
        <v>773385.00000000023</v>
      </c>
      <c r="AK123" s="116">
        <f t="shared" si="141"/>
        <v>804718.3333333336</v>
      </c>
      <c r="AL123" s="116">
        <f t="shared" si="141"/>
        <v>836051.66666666698</v>
      </c>
      <c r="AM123" s="116">
        <f t="shared" si="141"/>
        <v>867385.00000000035</v>
      </c>
      <c r="AN123" s="116">
        <f t="shared" si="141"/>
        <v>898718.33333333372</v>
      </c>
      <c r="AO123" s="116">
        <f t="shared" si="141"/>
        <v>930051.66666666709</v>
      </c>
      <c r="AP123" s="116">
        <f t="shared" si="141"/>
        <v>961385.00000000047</v>
      </c>
      <c r="AQ123" s="31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31"/>
      <c r="BD123" s="31"/>
      <c r="BE123" s="22"/>
      <c r="BF123" s="22"/>
      <c r="BG123" s="22"/>
      <c r="BH123" s="31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</row>
    <row r="124" spans="1:79" ht="14.25" customHeight="1" outlineLevel="2" x14ac:dyDescent="0.25">
      <c r="A124" s="22"/>
      <c r="B124" s="22" t="s">
        <v>15</v>
      </c>
      <c r="C124" s="22"/>
      <c r="D124" s="22"/>
      <c r="E124" s="22"/>
      <c r="F124" s="80"/>
      <c r="G124" s="82"/>
      <c r="H124" s="82"/>
      <c r="I124" s="82"/>
      <c r="J124" s="82"/>
      <c r="K124" s="82"/>
      <c r="L124" s="22"/>
      <c r="M124" s="116">
        <f t="shared" ref="M124:AP124" si="142">M297</f>
        <v>214995.6</v>
      </c>
      <c r="N124" s="116">
        <f t="shared" si="142"/>
        <v>161996.6</v>
      </c>
      <c r="O124" s="116">
        <f t="shared" si="142"/>
        <v>284994.2</v>
      </c>
      <c r="P124" s="116">
        <f t="shared" si="142"/>
        <v>400991.80000000005</v>
      </c>
      <c r="Q124" s="116">
        <f t="shared" si="142"/>
        <v>579988</v>
      </c>
      <c r="R124" s="116">
        <f t="shared" si="142"/>
        <v>683985.8</v>
      </c>
      <c r="S124" s="125">
        <f t="shared" si="142"/>
        <v>968980</v>
      </c>
      <c r="T124" s="116">
        <f t="shared" si="142"/>
        <v>1246974.2000000002</v>
      </c>
      <c r="U124" s="116">
        <f t="shared" si="142"/>
        <v>1519968.6</v>
      </c>
      <c r="V124" s="116">
        <f t="shared" si="142"/>
        <v>1780963.2000000002</v>
      </c>
      <c r="W124" s="116">
        <f t="shared" si="142"/>
        <v>2034957.8</v>
      </c>
      <c r="X124" s="116">
        <f t="shared" si="142"/>
        <v>2278952.7999999998</v>
      </c>
      <c r="Y124" s="116">
        <f t="shared" si="142"/>
        <v>2505948.2000000002</v>
      </c>
      <c r="Z124" s="116">
        <f t="shared" si="142"/>
        <v>2720943.8</v>
      </c>
      <c r="AA124" s="116">
        <f t="shared" si="142"/>
        <v>2923939.6</v>
      </c>
      <c r="AB124" s="116">
        <f t="shared" si="142"/>
        <v>3107935.6</v>
      </c>
      <c r="AC124" s="116">
        <f t="shared" si="142"/>
        <v>3281932</v>
      </c>
      <c r="AD124" s="116">
        <f t="shared" si="142"/>
        <v>3445928.8</v>
      </c>
      <c r="AE124" s="125">
        <f t="shared" si="142"/>
        <v>3600925.4000000004</v>
      </c>
      <c r="AF124" s="116">
        <f t="shared" si="142"/>
        <v>3745922.4000000004</v>
      </c>
      <c r="AG124" s="116">
        <f t="shared" si="142"/>
        <v>3880919.8</v>
      </c>
      <c r="AH124" s="116">
        <f t="shared" si="142"/>
        <v>4006917</v>
      </c>
      <c r="AI124" s="116">
        <f t="shared" si="142"/>
        <v>4122914.6</v>
      </c>
      <c r="AJ124" s="116">
        <f t="shared" si="142"/>
        <v>4233912.4000000004</v>
      </c>
      <c r="AK124" s="116">
        <f t="shared" si="142"/>
        <v>4337910.2</v>
      </c>
      <c r="AL124" s="116">
        <f t="shared" si="142"/>
        <v>4436908.2</v>
      </c>
      <c r="AM124" s="116">
        <f t="shared" si="142"/>
        <v>4523906.4000000004</v>
      </c>
      <c r="AN124" s="116">
        <f t="shared" si="142"/>
        <v>4605904.8000000007</v>
      </c>
      <c r="AO124" s="116">
        <f t="shared" si="142"/>
        <v>4680903.2</v>
      </c>
      <c r="AP124" s="116">
        <f t="shared" si="142"/>
        <v>4755901.5999999996</v>
      </c>
      <c r="AQ124" s="31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1"/>
      <c r="BD124" s="31"/>
      <c r="BE124" s="22"/>
      <c r="BF124" s="22"/>
      <c r="BG124" s="22"/>
      <c r="BH124" s="31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</row>
    <row r="125" spans="1:79" ht="14.25" customHeight="1" outlineLevel="2" x14ac:dyDescent="0.25">
      <c r="A125" s="22"/>
      <c r="B125" s="22" t="s">
        <v>16</v>
      </c>
      <c r="C125" s="22"/>
      <c r="D125" s="22"/>
      <c r="E125" s="22"/>
      <c r="F125" s="80"/>
      <c r="G125" s="82"/>
      <c r="H125" s="82"/>
      <c r="I125" s="82"/>
      <c r="J125" s="82"/>
      <c r="K125" s="82"/>
      <c r="L125" s="22"/>
      <c r="M125" s="116">
        <f t="shared" ref="M125:AP125" si="143">M330</f>
        <v>0</v>
      </c>
      <c r="N125" s="116">
        <f t="shared" si="143"/>
        <v>0</v>
      </c>
      <c r="O125" s="116">
        <f t="shared" si="143"/>
        <v>0</v>
      </c>
      <c r="P125" s="116">
        <f t="shared" si="143"/>
        <v>0</v>
      </c>
      <c r="Q125" s="116">
        <f t="shared" si="143"/>
        <v>42500</v>
      </c>
      <c r="R125" s="116">
        <f t="shared" si="143"/>
        <v>85000</v>
      </c>
      <c r="S125" s="125">
        <f t="shared" si="143"/>
        <v>170000</v>
      </c>
      <c r="T125" s="116">
        <f t="shared" si="143"/>
        <v>255000</v>
      </c>
      <c r="U125" s="116">
        <f t="shared" si="143"/>
        <v>340000</v>
      </c>
      <c r="V125" s="116">
        <f t="shared" si="143"/>
        <v>425000</v>
      </c>
      <c r="W125" s="116">
        <f t="shared" si="143"/>
        <v>510000</v>
      </c>
      <c r="X125" s="116">
        <f t="shared" si="143"/>
        <v>595000</v>
      </c>
      <c r="Y125" s="116">
        <f t="shared" si="143"/>
        <v>680000</v>
      </c>
      <c r="Z125" s="116">
        <f t="shared" si="143"/>
        <v>765000</v>
      </c>
      <c r="AA125" s="116">
        <f t="shared" si="143"/>
        <v>850000</v>
      </c>
      <c r="AB125" s="116">
        <f t="shared" si="143"/>
        <v>935000</v>
      </c>
      <c r="AC125" s="116">
        <f t="shared" si="143"/>
        <v>1020000</v>
      </c>
      <c r="AD125" s="116">
        <f t="shared" si="143"/>
        <v>1105000</v>
      </c>
      <c r="AE125" s="125">
        <f t="shared" si="143"/>
        <v>1190000</v>
      </c>
      <c r="AF125" s="116">
        <f t="shared" si="143"/>
        <v>1275000</v>
      </c>
      <c r="AG125" s="116">
        <f t="shared" si="143"/>
        <v>1360000</v>
      </c>
      <c r="AH125" s="116">
        <f t="shared" si="143"/>
        <v>1445000</v>
      </c>
      <c r="AI125" s="116">
        <f t="shared" si="143"/>
        <v>1530000</v>
      </c>
      <c r="AJ125" s="116">
        <f t="shared" si="143"/>
        <v>1615000</v>
      </c>
      <c r="AK125" s="116">
        <f t="shared" si="143"/>
        <v>1700000</v>
      </c>
      <c r="AL125" s="116">
        <f t="shared" si="143"/>
        <v>1785000</v>
      </c>
      <c r="AM125" s="116">
        <f t="shared" si="143"/>
        <v>1870000</v>
      </c>
      <c r="AN125" s="116">
        <f t="shared" si="143"/>
        <v>1955000</v>
      </c>
      <c r="AO125" s="116">
        <f t="shared" si="143"/>
        <v>2040000</v>
      </c>
      <c r="AP125" s="116">
        <f t="shared" si="143"/>
        <v>2125000</v>
      </c>
      <c r="AQ125" s="31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31"/>
      <c r="BD125" s="31"/>
      <c r="BE125" s="22"/>
      <c r="BF125" s="22"/>
      <c r="BG125" s="22"/>
      <c r="BH125" s="31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</row>
    <row r="126" spans="1:79" ht="14.25" customHeight="1" outlineLevel="2" x14ac:dyDescent="0.25">
      <c r="A126" s="22"/>
      <c r="B126" s="22" t="s">
        <v>18</v>
      </c>
      <c r="C126" s="22"/>
      <c r="D126" s="22"/>
      <c r="E126" s="22"/>
      <c r="F126" s="80"/>
      <c r="G126" s="82"/>
      <c r="H126" s="82"/>
      <c r="I126" s="82"/>
      <c r="J126" s="82"/>
      <c r="K126" s="82"/>
      <c r="L126" s="22"/>
      <c r="M126" s="116">
        <f t="shared" ref="M126:AP126" si="144">M408</f>
        <v>0</v>
      </c>
      <c r="N126" s="116">
        <f t="shared" si="144"/>
        <v>0</v>
      </c>
      <c r="O126" s="116">
        <f t="shared" si="144"/>
        <v>0</v>
      </c>
      <c r="P126" s="116">
        <f t="shared" si="144"/>
        <v>0</v>
      </c>
      <c r="Q126" s="116">
        <f t="shared" si="144"/>
        <v>0</v>
      </c>
      <c r="R126" s="116">
        <f t="shared" si="144"/>
        <v>0</v>
      </c>
      <c r="S126" s="125">
        <f t="shared" si="144"/>
        <v>0</v>
      </c>
      <c r="T126" s="116">
        <f t="shared" si="144"/>
        <v>0</v>
      </c>
      <c r="U126" s="116">
        <f t="shared" si="144"/>
        <v>0</v>
      </c>
      <c r="V126" s="116">
        <f t="shared" si="144"/>
        <v>0</v>
      </c>
      <c r="W126" s="116">
        <f t="shared" si="144"/>
        <v>0</v>
      </c>
      <c r="X126" s="116">
        <f t="shared" si="144"/>
        <v>0</v>
      </c>
      <c r="Y126" s="116">
        <f t="shared" si="144"/>
        <v>834900.00000000012</v>
      </c>
      <c r="Z126" s="116">
        <f t="shared" si="144"/>
        <v>834900.00000000012</v>
      </c>
      <c r="AA126" s="116">
        <f t="shared" si="144"/>
        <v>834900.00000000012</v>
      </c>
      <c r="AB126" s="116">
        <f t="shared" si="144"/>
        <v>1669800.0000000002</v>
      </c>
      <c r="AC126" s="116">
        <f t="shared" si="144"/>
        <v>1669800.0000000002</v>
      </c>
      <c r="AD126" s="116">
        <f t="shared" si="144"/>
        <v>1669800.0000000002</v>
      </c>
      <c r="AE126" s="125">
        <f t="shared" si="144"/>
        <v>2504700.0000000005</v>
      </c>
      <c r="AF126" s="116">
        <f t="shared" si="144"/>
        <v>2504700.0000000005</v>
      </c>
      <c r="AG126" s="116">
        <f t="shared" si="144"/>
        <v>3339600.0000000005</v>
      </c>
      <c r="AH126" s="116">
        <f t="shared" si="144"/>
        <v>3339600.0000000005</v>
      </c>
      <c r="AI126" s="116">
        <f t="shared" si="144"/>
        <v>4174500.0000000005</v>
      </c>
      <c r="AJ126" s="116">
        <f t="shared" si="144"/>
        <v>4174500.0000000005</v>
      </c>
      <c r="AK126" s="116">
        <f t="shared" si="144"/>
        <v>4174500.0000000005</v>
      </c>
      <c r="AL126" s="116">
        <f t="shared" si="144"/>
        <v>7025700</v>
      </c>
      <c r="AM126" s="116">
        <f t="shared" si="144"/>
        <v>7860600</v>
      </c>
      <c r="AN126" s="116">
        <f t="shared" si="144"/>
        <v>7860600</v>
      </c>
      <c r="AO126" s="116">
        <f t="shared" si="144"/>
        <v>7860600</v>
      </c>
      <c r="AP126" s="116">
        <f t="shared" si="144"/>
        <v>10711800</v>
      </c>
      <c r="AQ126" s="31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31"/>
      <c r="BD126" s="31"/>
      <c r="BE126" s="22"/>
      <c r="BF126" s="22"/>
      <c r="BG126" s="22"/>
      <c r="BH126" s="31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</row>
    <row r="127" spans="1:79" ht="14.25" customHeight="1" outlineLevel="2" x14ac:dyDescent="0.25">
      <c r="A127" s="22"/>
      <c r="B127" s="22" t="s">
        <v>20</v>
      </c>
      <c r="C127" s="22"/>
      <c r="D127" s="22"/>
      <c r="E127" s="22"/>
      <c r="F127" s="80"/>
      <c r="G127" s="82"/>
      <c r="H127" s="82"/>
      <c r="I127" s="82"/>
      <c r="J127" s="82"/>
      <c r="K127" s="82"/>
      <c r="L127" s="22"/>
      <c r="M127" s="116">
        <f t="shared" ref="M127:AP127" si="145">M454</f>
        <v>0</v>
      </c>
      <c r="N127" s="116">
        <f t="shared" si="145"/>
        <v>0</v>
      </c>
      <c r="O127" s="116">
        <f t="shared" si="145"/>
        <v>0</v>
      </c>
      <c r="P127" s="116">
        <f t="shared" si="145"/>
        <v>0</v>
      </c>
      <c r="Q127" s="116">
        <f t="shared" si="145"/>
        <v>0</v>
      </c>
      <c r="R127" s="116">
        <f t="shared" si="145"/>
        <v>0</v>
      </c>
      <c r="S127" s="125">
        <f t="shared" si="145"/>
        <v>0</v>
      </c>
      <c r="T127" s="116">
        <f t="shared" si="145"/>
        <v>0</v>
      </c>
      <c r="U127" s="116">
        <f t="shared" si="145"/>
        <v>0</v>
      </c>
      <c r="V127" s="116">
        <f t="shared" si="145"/>
        <v>0</v>
      </c>
      <c r="W127" s="116">
        <f t="shared" si="145"/>
        <v>0</v>
      </c>
      <c r="X127" s="116">
        <f t="shared" si="145"/>
        <v>0</v>
      </c>
      <c r="Y127" s="116">
        <f t="shared" si="145"/>
        <v>0</v>
      </c>
      <c r="Z127" s="116">
        <f t="shared" si="145"/>
        <v>0</v>
      </c>
      <c r="AA127" s="116">
        <f t="shared" si="145"/>
        <v>0</v>
      </c>
      <c r="AB127" s="116">
        <f t="shared" si="145"/>
        <v>0</v>
      </c>
      <c r="AC127" s="116">
        <f t="shared" si="145"/>
        <v>0</v>
      </c>
      <c r="AD127" s="116">
        <f t="shared" si="145"/>
        <v>0</v>
      </c>
      <c r="AE127" s="125">
        <f t="shared" si="145"/>
        <v>0</v>
      </c>
      <c r="AF127" s="116">
        <f t="shared" si="145"/>
        <v>0</v>
      </c>
      <c r="AG127" s="116">
        <f t="shared" si="145"/>
        <v>0</v>
      </c>
      <c r="AH127" s="116">
        <f t="shared" si="145"/>
        <v>0</v>
      </c>
      <c r="AI127" s="116">
        <f t="shared" si="145"/>
        <v>0</v>
      </c>
      <c r="AJ127" s="116">
        <f t="shared" si="145"/>
        <v>0</v>
      </c>
      <c r="AK127" s="116">
        <f t="shared" si="145"/>
        <v>0</v>
      </c>
      <c r="AL127" s="116">
        <f t="shared" si="145"/>
        <v>0</v>
      </c>
      <c r="AM127" s="116">
        <f t="shared" si="145"/>
        <v>0</v>
      </c>
      <c r="AN127" s="116">
        <f t="shared" si="145"/>
        <v>0</v>
      </c>
      <c r="AO127" s="116">
        <f t="shared" si="145"/>
        <v>0</v>
      </c>
      <c r="AP127" s="116">
        <f t="shared" si="145"/>
        <v>0</v>
      </c>
      <c r="AQ127" s="31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31"/>
      <c r="BD127" s="31"/>
      <c r="BE127" s="22"/>
      <c r="BF127" s="22"/>
      <c r="BG127" s="22"/>
      <c r="BH127" s="31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</row>
    <row r="128" spans="1:79" ht="14.25" customHeight="1" outlineLevel="2" x14ac:dyDescent="0.25">
      <c r="A128" s="22"/>
      <c r="B128" s="22" t="s">
        <v>19</v>
      </c>
      <c r="C128" s="22"/>
      <c r="D128" s="22"/>
      <c r="E128" s="22"/>
      <c r="F128" s="80"/>
      <c r="G128" s="82"/>
      <c r="H128" s="82"/>
      <c r="I128" s="82"/>
      <c r="J128" s="82"/>
      <c r="K128" s="82"/>
      <c r="L128" s="22"/>
      <c r="M128" s="116"/>
      <c r="N128" s="116"/>
      <c r="O128" s="116"/>
      <c r="P128" s="116"/>
      <c r="Q128" s="116"/>
      <c r="R128" s="116"/>
      <c r="S128" s="125"/>
      <c r="T128" s="116"/>
      <c r="U128" s="116"/>
      <c r="V128" s="116"/>
      <c r="W128" s="116"/>
      <c r="X128" s="116"/>
      <c r="Y128" s="116">
        <f t="shared" ref="Y128:AP128" si="146">Y512</f>
        <v>0</v>
      </c>
      <c r="Z128" s="116">
        <f t="shared" si="146"/>
        <v>0</v>
      </c>
      <c r="AA128" s="116">
        <f t="shared" si="146"/>
        <v>0</v>
      </c>
      <c r="AB128" s="116">
        <f t="shared" si="146"/>
        <v>6187.5</v>
      </c>
      <c r="AC128" s="116">
        <f t="shared" si="146"/>
        <v>12375</v>
      </c>
      <c r="AD128" s="116">
        <f t="shared" si="146"/>
        <v>18562.5</v>
      </c>
      <c r="AE128" s="125">
        <f t="shared" si="146"/>
        <v>41062.5</v>
      </c>
      <c r="AF128" s="116">
        <f t="shared" si="146"/>
        <v>57487.5</v>
      </c>
      <c r="AG128" s="116">
        <f t="shared" si="146"/>
        <v>73912.5</v>
      </c>
      <c r="AH128" s="116">
        <f t="shared" si="146"/>
        <v>90337.5</v>
      </c>
      <c r="AI128" s="116">
        <f t="shared" si="146"/>
        <v>106762.5</v>
      </c>
      <c r="AJ128" s="116">
        <f t="shared" si="146"/>
        <v>123187.5</v>
      </c>
      <c r="AK128" s="116">
        <f t="shared" si="146"/>
        <v>139612.5</v>
      </c>
      <c r="AL128" s="116">
        <f t="shared" si="146"/>
        <v>164250</v>
      </c>
      <c r="AM128" s="116">
        <f t="shared" si="146"/>
        <v>188887.5</v>
      </c>
      <c r="AN128" s="116">
        <f t="shared" si="146"/>
        <v>213525</v>
      </c>
      <c r="AO128" s="116">
        <f t="shared" si="146"/>
        <v>238162.5</v>
      </c>
      <c r="AP128" s="116">
        <f t="shared" si="146"/>
        <v>262800</v>
      </c>
      <c r="AQ128" s="31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31"/>
      <c r="BD128" s="31"/>
      <c r="BE128" s="22"/>
      <c r="BF128" s="22"/>
      <c r="BG128" s="22"/>
      <c r="BH128" s="31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</row>
    <row r="129" spans="1:79" ht="14.25" customHeight="1" outlineLevel="2" x14ac:dyDescent="0.25">
      <c r="A129" s="142"/>
      <c r="B129" s="142"/>
      <c r="C129" s="142"/>
      <c r="D129" s="142"/>
      <c r="E129" s="142"/>
      <c r="F129" s="80"/>
      <c r="G129" s="143"/>
      <c r="H129" s="143"/>
      <c r="I129" s="143"/>
      <c r="J129" s="143"/>
      <c r="K129" s="143"/>
      <c r="L129" s="142"/>
      <c r="M129" s="144"/>
      <c r="N129" s="144"/>
      <c r="O129" s="144"/>
      <c r="P129" s="144"/>
      <c r="Q129" s="144"/>
      <c r="R129" s="144"/>
      <c r="S129" s="145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5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6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6"/>
      <c r="BD129" s="146"/>
      <c r="BE129" s="142"/>
      <c r="BF129" s="142"/>
      <c r="BG129" s="142"/>
      <c r="BH129" s="146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</row>
    <row r="130" spans="1:79" ht="14.25" customHeight="1" outlineLevel="2" x14ac:dyDescent="0.25">
      <c r="A130" s="142"/>
      <c r="B130" s="142"/>
      <c r="C130" s="142"/>
      <c r="D130" s="142"/>
      <c r="E130" s="142"/>
      <c r="F130" s="80"/>
      <c r="G130" s="143"/>
      <c r="H130" s="143"/>
      <c r="I130" s="143"/>
      <c r="J130" s="143"/>
      <c r="K130" s="143"/>
      <c r="L130" s="142"/>
      <c r="M130" s="144"/>
      <c r="N130" s="144"/>
      <c r="O130" s="144"/>
      <c r="P130" s="144"/>
      <c r="Q130" s="144"/>
      <c r="R130" s="144"/>
      <c r="S130" s="145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5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6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6"/>
      <c r="BD130" s="146"/>
      <c r="BE130" s="142"/>
      <c r="BF130" s="142"/>
      <c r="BG130" s="142"/>
      <c r="BH130" s="146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/>
      <c r="BU130" s="142"/>
      <c r="BV130" s="142"/>
      <c r="BW130" s="142"/>
      <c r="BX130" s="142"/>
      <c r="BY130" s="142"/>
      <c r="BZ130" s="142"/>
      <c r="CA130" s="142"/>
    </row>
    <row r="131" spans="1:79" ht="14.25" customHeight="1" outlineLevel="2" x14ac:dyDescent="0.25">
      <c r="A131" s="147"/>
      <c r="B131" s="147" t="s">
        <v>223</v>
      </c>
      <c r="C131" s="147"/>
      <c r="D131" s="147"/>
      <c r="E131" s="147"/>
      <c r="F131" s="81"/>
      <c r="G131" s="148"/>
      <c r="H131" s="148"/>
      <c r="I131" s="148"/>
      <c r="J131" s="148"/>
      <c r="K131" s="148"/>
      <c r="L131" s="147"/>
      <c r="M131" s="149">
        <f t="shared" ref="M131:AP131" si="147">SUM(M132:M138)</f>
        <v>1675882.6994061866</v>
      </c>
      <c r="N131" s="149">
        <f t="shared" si="147"/>
        <v>2163693.6391333863</v>
      </c>
      <c r="O131" s="149">
        <f t="shared" si="147"/>
        <v>2744808</v>
      </c>
      <c r="P131" s="149">
        <f t="shared" si="147"/>
        <v>3162834.8</v>
      </c>
      <c r="Q131" s="149">
        <f t="shared" si="147"/>
        <v>3925867.8</v>
      </c>
      <c r="R131" s="149">
        <f t="shared" si="147"/>
        <v>4907723.5999999996</v>
      </c>
      <c r="S131" s="150">
        <f t="shared" si="147"/>
        <v>6130291.9333333336</v>
      </c>
      <c r="T131" s="149">
        <f t="shared" si="147"/>
        <v>7592712.8000000007</v>
      </c>
      <c r="U131" s="149">
        <f t="shared" si="147"/>
        <v>9217436.4666666668</v>
      </c>
      <c r="V131" s="149">
        <f t="shared" si="147"/>
        <v>11057155.733333334</v>
      </c>
      <c r="W131" s="149">
        <f t="shared" si="147"/>
        <v>13203868.6</v>
      </c>
      <c r="X131" s="149">
        <f t="shared" si="147"/>
        <v>15471578.866666665</v>
      </c>
      <c r="Y131" s="149">
        <f t="shared" si="147"/>
        <v>17850286.93333333</v>
      </c>
      <c r="Z131" s="149">
        <f t="shared" si="147"/>
        <v>21099894.399999999</v>
      </c>
      <c r="AA131" s="149">
        <f t="shared" si="147"/>
        <v>23613599.866666671</v>
      </c>
      <c r="AB131" s="149">
        <f t="shared" si="147"/>
        <v>26867394.633333337</v>
      </c>
      <c r="AC131" s="149">
        <f t="shared" si="147"/>
        <v>29182291.600000001</v>
      </c>
      <c r="AD131" s="149">
        <f t="shared" si="147"/>
        <v>31388190.966666669</v>
      </c>
      <c r="AE131" s="150">
        <f t="shared" si="147"/>
        <v>34339304.833333336</v>
      </c>
      <c r="AF131" s="149">
        <f t="shared" si="147"/>
        <v>36340446.100000001</v>
      </c>
      <c r="AG131" s="149">
        <f t="shared" si="147"/>
        <v>39067489.766666666</v>
      </c>
      <c r="AH131" s="149">
        <f t="shared" si="147"/>
        <v>40858635.233333334</v>
      </c>
      <c r="AI131" s="149">
        <f t="shared" si="147"/>
        <v>43385682.700000003</v>
      </c>
      <c r="AJ131" s="149">
        <f t="shared" si="147"/>
        <v>44985832.166666664</v>
      </c>
      <c r="AK131" s="149">
        <f t="shared" si="147"/>
        <v>46505983.433333337</v>
      </c>
      <c r="AL131" s="149">
        <f t="shared" si="147"/>
        <v>50810548.800000004</v>
      </c>
      <c r="AM131" s="149">
        <f t="shared" si="147"/>
        <v>53021815.566666663</v>
      </c>
      <c r="AN131" s="149">
        <f t="shared" si="147"/>
        <v>54325184.133333333</v>
      </c>
      <c r="AO131" s="149">
        <f t="shared" si="147"/>
        <v>55558554.100000009</v>
      </c>
      <c r="AP131" s="149">
        <f t="shared" si="147"/>
        <v>59583125.066666663</v>
      </c>
      <c r="AQ131" s="151"/>
      <c r="AR131" s="147"/>
      <c r="AS131" s="147"/>
      <c r="AT131" s="147"/>
      <c r="AU131" s="147"/>
      <c r="AV131" s="147"/>
      <c r="AW131" s="147"/>
      <c r="AX131" s="147"/>
      <c r="AY131" s="147"/>
      <c r="AZ131" s="147"/>
      <c r="BA131" s="147"/>
      <c r="BB131" s="147"/>
      <c r="BC131" s="151"/>
      <c r="BD131" s="151"/>
      <c r="BE131" s="147"/>
      <c r="BF131" s="147"/>
      <c r="BG131" s="147"/>
      <c r="BH131" s="151"/>
      <c r="BI131" s="147"/>
      <c r="BJ131" s="147"/>
      <c r="BK131" s="147"/>
      <c r="BL131" s="147"/>
      <c r="BM131" s="147"/>
      <c r="BN131" s="147"/>
      <c r="BO131" s="147"/>
      <c r="BP131" s="147"/>
      <c r="BQ131" s="147"/>
      <c r="BR131" s="147"/>
      <c r="BS131" s="147"/>
      <c r="BT131" s="147"/>
      <c r="BU131" s="147"/>
      <c r="BV131" s="147"/>
      <c r="BW131" s="147"/>
      <c r="BX131" s="147"/>
      <c r="BY131" s="147"/>
      <c r="BZ131" s="147"/>
      <c r="CA131" s="147"/>
    </row>
    <row r="132" spans="1:79" ht="14.25" customHeight="1" outlineLevel="2" x14ac:dyDescent="0.25">
      <c r="A132" s="142"/>
      <c r="B132" s="142" t="s">
        <v>13</v>
      </c>
      <c r="C132" s="142"/>
      <c r="D132" s="142"/>
      <c r="E132" s="142"/>
      <c r="F132" s="80"/>
      <c r="G132" s="143"/>
      <c r="H132" s="143"/>
      <c r="I132" s="143"/>
      <c r="J132" s="143"/>
      <c r="K132" s="143"/>
      <c r="L132" s="142"/>
      <c r="M132" s="144">
        <f t="shared" ref="M132:AP132" si="148">M213</f>
        <v>1047835.4994061866</v>
      </c>
      <c r="N132" s="144">
        <f t="shared" si="148"/>
        <v>1370669.839133386</v>
      </c>
      <c r="O132" s="144">
        <f t="shared" si="148"/>
        <v>1676895</v>
      </c>
      <c r="P132" s="144">
        <f t="shared" si="148"/>
        <v>1683825</v>
      </c>
      <c r="Q132" s="144">
        <f t="shared" si="148"/>
        <v>1758570</v>
      </c>
      <c r="R132" s="144">
        <f t="shared" si="148"/>
        <v>1853940</v>
      </c>
      <c r="S132" s="145">
        <f t="shared" si="148"/>
        <v>1901955</v>
      </c>
      <c r="T132" s="144">
        <f t="shared" si="148"/>
        <v>1943040</v>
      </c>
      <c r="U132" s="144">
        <f t="shared" si="148"/>
        <v>1984125</v>
      </c>
      <c r="V132" s="144">
        <f t="shared" si="148"/>
        <v>2025210</v>
      </c>
      <c r="W132" s="144">
        <f t="shared" si="148"/>
        <v>2066295</v>
      </c>
      <c r="X132" s="144">
        <f t="shared" si="148"/>
        <v>2107380</v>
      </c>
      <c r="Y132" s="144">
        <f t="shared" si="148"/>
        <v>2148465</v>
      </c>
      <c r="Z132" s="144">
        <f t="shared" si="148"/>
        <v>2189550</v>
      </c>
      <c r="AA132" s="144">
        <f t="shared" si="148"/>
        <v>2230635</v>
      </c>
      <c r="AB132" s="144">
        <f t="shared" si="148"/>
        <v>2271720</v>
      </c>
      <c r="AC132" s="144">
        <f t="shared" si="148"/>
        <v>2312805</v>
      </c>
      <c r="AD132" s="144">
        <f t="shared" si="148"/>
        <v>2353890</v>
      </c>
      <c r="AE132" s="145">
        <f t="shared" si="148"/>
        <v>2394975</v>
      </c>
      <c r="AF132" s="144">
        <f t="shared" si="148"/>
        <v>2436060</v>
      </c>
      <c r="AG132" s="144">
        <f t="shared" si="148"/>
        <v>2477145</v>
      </c>
      <c r="AH132" s="144">
        <f t="shared" si="148"/>
        <v>2518230</v>
      </c>
      <c r="AI132" s="144">
        <f t="shared" si="148"/>
        <v>2559315</v>
      </c>
      <c r="AJ132" s="144">
        <f t="shared" si="148"/>
        <v>2600400</v>
      </c>
      <c r="AK132" s="144">
        <f t="shared" si="148"/>
        <v>2641485</v>
      </c>
      <c r="AL132" s="144">
        <f t="shared" si="148"/>
        <v>2682570</v>
      </c>
      <c r="AM132" s="144">
        <f t="shared" si="148"/>
        <v>2723655</v>
      </c>
      <c r="AN132" s="144">
        <f t="shared" si="148"/>
        <v>2764740</v>
      </c>
      <c r="AO132" s="144">
        <f t="shared" si="148"/>
        <v>2805825</v>
      </c>
      <c r="AP132" s="144">
        <f t="shared" si="148"/>
        <v>2846910</v>
      </c>
      <c r="AQ132" s="146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6"/>
      <c r="BD132" s="146"/>
      <c r="BE132" s="142"/>
      <c r="BF132" s="142"/>
      <c r="BG132" s="142"/>
      <c r="BH132" s="146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2"/>
      <c r="BZ132" s="142"/>
      <c r="CA132" s="142"/>
    </row>
    <row r="133" spans="1:79" ht="14.25" customHeight="1" outlineLevel="2" x14ac:dyDescent="0.25">
      <c r="A133" s="142"/>
      <c r="B133" s="142" t="s">
        <v>222</v>
      </c>
      <c r="C133" s="142"/>
      <c r="D133" s="142"/>
      <c r="E133" s="142"/>
      <c r="F133" s="80"/>
      <c r="G133" s="143"/>
      <c r="H133" s="143"/>
      <c r="I133" s="143"/>
      <c r="J133" s="143"/>
      <c r="K133" s="143"/>
      <c r="L133" s="142"/>
      <c r="M133" s="144">
        <f t="shared" ref="M133:AP133" si="149">M269</f>
        <v>173740</v>
      </c>
      <c r="N133" s="144">
        <f t="shared" si="149"/>
        <v>176720</v>
      </c>
      <c r="O133" s="144">
        <f t="shared" si="149"/>
        <v>166615</v>
      </c>
      <c r="P133" s="144">
        <f t="shared" si="149"/>
        <v>176720</v>
      </c>
      <c r="Q133" s="144">
        <f t="shared" si="149"/>
        <v>242520</v>
      </c>
      <c r="R133" s="144">
        <f t="shared" si="149"/>
        <v>360020</v>
      </c>
      <c r="S133" s="145">
        <f t="shared" si="149"/>
        <v>450103.33333333331</v>
      </c>
      <c r="T133" s="144">
        <f t="shared" si="149"/>
        <v>512769.99999999994</v>
      </c>
      <c r="U133" s="144">
        <f t="shared" si="149"/>
        <v>575436.66666666651</v>
      </c>
      <c r="V133" s="144">
        <f t="shared" si="149"/>
        <v>638103.33333333326</v>
      </c>
      <c r="W133" s="144">
        <f t="shared" si="149"/>
        <v>700769.99999999977</v>
      </c>
      <c r="X133" s="144">
        <f t="shared" si="149"/>
        <v>763436.66666666651</v>
      </c>
      <c r="Y133" s="144">
        <f t="shared" si="149"/>
        <v>826103.33333333302</v>
      </c>
      <c r="Z133" s="144">
        <f t="shared" si="149"/>
        <v>888769.99999999977</v>
      </c>
      <c r="AA133" s="144">
        <f t="shared" si="149"/>
        <v>951436.6666666664</v>
      </c>
      <c r="AB133" s="144">
        <f t="shared" si="149"/>
        <v>1014103.3333333331</v>
      </c>
      <c r="AC133" s="144">
        <f t="shared" si="149"/>
        <v>1076770</v>
      </c>
      <c r="AD133" s="144">
        <f t="shared" si="149"/>
        <v>1139436.6666666665</v>
      </c>
      <c r="AE133" s="145">
        <f t="shared" si="149"/>
        <v>1202103.3333333335</v>
      </c>
      <c r="AF133" s="144">
        <f t="shared" si="149"/>
        <v>1264770</v>
      </c>
      <c r="AG133" s="144">
        <f t="shared" si="149"/>
        <v>1327436.666666667</v>
      </c>
      <c r="AH133" s="144">
        <f t="shared" si="149"/>
        <v>1390103.3333333335</v>
      </c>
      <c r="AI133" s="144">
        <f t="shared" si="149"/>
        <v>1452770.0000000005</v>
      </c>
      <c r="AJ133" s="144">
        <f t="shared" si="149"/>
        <v>1515436.666666667</v>
      </c>
      <c r="AK133" s="144">
        <f t="shared" si="149"/>
        <v>1578103.333333334</v>
      </c>
      <c r="AL133" s="144">
        <f t="shared" si="149"/>
        <v>1640770.0000000005</v>
      </c>
      <c r="AM133" s="144">
        <f t="shared" si="149"/>
        <v>1703436.6666666674</v>
      </c>
      <c r="AN133" s="144">
        <f t="shared" si="149"/>
        <v>1766103.333333334</v>
      </c>
      <c r="AO133" s="144">
        <f t="shared" si="149"/>
        <v>1828770.0000000009</v>
      </c>
      <c r="AP133" s="144">
        <f t="shared" si="149"/>
        <v>1891436.6666666674</v>
      </c>
      <c r="AQ133" s="146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6"/>
      <c r="BD133" s="146"/>
      <c r="BE133" s="142"/>
      <c r="BF133" s="142"/>
      <c r="BG133" s="142"/>
      <c r="BH133" s="146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</row>
    <row r="134" spans="1:79" ht="14.25" customHeight="1" outlineLevel="2" x14ac:dyDescent="0.25">
      <c r="A134" s="142"/>
      <c r="B134" s="142" t="s">
        <v>15</v>
      </c>
      <c r="C134" s="142"/>
      <c r="D134" s="142"/>
      <c r="E134" s="142"/>
      <c r="F134" s="80"/>
      <c r="G134" s="143"/>
      <c r="H134" s="143"/>
      <c r="I134" s="143"/>
      <c r="J134" s="143"/>
      <c r="K134" s="143"/>
      <c r="L134" s="142"/>
      <c r="M134" s="144">
        <f t="shared" ref="M134:AP134" si="150">M301</f>
        <v>454307.2</v>
      </c>
      <c r="N134" s="144">
        <f t="shared" si="150"/>
        <v>616303.80000000005</v>
      </c>
      <c r="O134" s="144">
        <f t="shared" si="150"/>
        <v>901298</v>
      </c>
      <c r="P134" s="144">
        <f t="shared" si="150"/>
        <v>1302289.8</v>
      </c>
      <c r="Q134" s="144">
        <f t="shared" si="150"/>
        <v>1882277.8</v>
      </c>
      <c r="R134" s="144">
        <f t="shared" si="150"/>
        <v>2566263.6</v>
      </c>
      <c r="S134" s="145">
        <f t="shared" si="150"/>
        <v>3523233.6</v>
      </c>
      <c r="T134" s="144">
        <f t="shared" si="150"/>
        <v>4711902.8000000007</v>
      </c>
      <c r="U134" s="144">
        <f t="shared" si="150"/>
        <v>6062874.8000000007</v>
      </c>
      <c r="V134" s="144">
        <f t="shared" si="150"/>
        <v>7628842.4000000013</v>
      </c>
      <c r="W134" s="144">
        <f t="shared" si="150"/>
        <v>9501803.5999999996</v>
      </c>
      <c r="X134" s="144">
        <f t="shared" si="150"/>
        <v>11495762.199999999</v>
      </c>
      <c r="Y134" s="144">
        <f t="shared" si="150"/>
        <v>13600718.599999998</v>
      </c>
      <c r="Z134" s="144">
        <f t="shared" si="150"/>
        <v>15741674.399999999</v>
      </c>
      <c r="AA134" s="144">
        <f t="shared" si="150"/>
        <v>17981628.200000003</v>
      </c>
      <c r="AB134" s="144">
        <f t="shared" si="150"/>
        <v>20120583.800000004</v>
      </c>
      <c r="AC134" s="144">
        <f t="shared" si="150"/>
        <v>22155541.600000001</v>
      </c>
      <c r="AD134" s="144">
        <f t="shared" si="150"/>
        <v>24081501.800000001</v>
      </c>
      <c r="AE134" s="145">
        <f t="shared" si="150"/>
        <v>25901464</v>
      </c>
      <c r="AF134" s="144">
        <f t="shared" si="150"/>
        <v>27612428.600000001</v>
      </c>
      <c r="AG134" s="144">
        <f t="shared" si="150"/>
        <v>29214395.599999998</v>
      </c>
      <c r="AH134" s="144">
        <f t="shared" si="150"/>
        <v>30715364.400000002</v>
      </c>
      <c r="AI134" s="144">
        <f t="shared" si="150"/>
        <v>32117335.200000003</v>
      </c>
      <c r="AJ134" s="144">
        <f t="shared" si="150"/>
        <v>33427308</v>
      </c>
      <c r="AK134" s="144">
        <f t="shared" si="150"/>
        <v>34657282.600000001</v>
      </c>
      <c r="AL134" s="144">
        <f t="shared" si="150"/>
        <v>35812258.800000004</v>
      </c>
      <c r="AM134" s="144">
        <f t="shared" si="150"/>
        <v>36890236.399999999</v>
      </c>
      <c r="AN134" s="144">
        <f t="shared" si="150"/>
        <v>37895215.799999997</v>
      </c>
      <c r="AO134" s="144">
        <f t="shared" si="150"/>
        <v>38830196.600000009</v>
      </c>
      <c r="AP134" s="144">
        <f t="shared" si="150"/>
        <v>39705178.399999999</v>
      </c>
      <c r="AQ134" s="146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6"/>
      <c r="BD134" s="146"/>
      <c r="BE134" s="142"/>
      <c r="BF134" s="142"/>
      <c r="BG134" s="142"/>
      <c r="BH134" s="146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</row>
    <row r="135" spans="1:79" ht="14.25" customHeight="1" outlineLevel="2" x14ac:dyDescent="0.25">
      <c r="A135" s="142"/>
      <c r="B135" s="142" t="s">
        <v>16</v>
      </c>
      <c r="C135" s="142"/>
      <c r="D135" s="142"/>
      <c r="E135" s="142"/>
      <c r="F135" s="80"/>
      <c r="G135" s="143"/>
      <c r="H135" s="143"/>
      <c r="I135" s="143"/>
      <c r="J135" s="143"/>
      <c r="K135" s="143"/>
      <c r="L135" s="142"/>
      <c r="M135" s="144">
        <f>M340</f>
        <v>0</v>
      </c>
      <c r="N135" s="144">
        <f t="shared" ref="N135:AP135" si="151">N334</f>
        <v>0</v>
      </c>
      <c r="O135" s="144">
        <f t="shared" si="151"/>
        <v>0</v>
      </c>
      <c r="P135" s="144">
        <f t="shared" si="151"/>
        <v>0</v>
      </c>
      <c r="Q135" s="144">
        <f t="shared" si="151"/>
        <v>42500</v>
      </c>
      <c r="R135" s="144">
        <f t="shared" si="151"/>
        <v>127500</v>
      </c>
      <c r="S135" s="145">
        <f t="shared" si="151"/>
        <v>255000</v>
      </c>
      <c r="T135" s="144">
        <f t="shared" si="151"/>
        <v>425000</v>
      </c>
      <c r="U135" s="144">
        <f t="shared" si="151"/>
        <v>595000</v>
      </c>
      <c r="V135" s="144">
        <f t="shared" si="151"/>
        <v>765000</v>
      </c>
      <c r="W135" s="144">
        <f t="shared" si="151"/>
        <v>935000</v>
      </c>
      <c r="X135" s="144">
        <f t="shared" si="151"/>
        <v>1105000</v>
      </c>
      <c r="Y135" s="144">
        <f t="shared" si="151"/>
        <v>1275000</v>
      </c>
      <c r="Z135" s="144">
        <f t="shared" si="151"/>
        <v>1445000</v>
      </c>
      <c r="AA135" s="144">
        <f t="shared" si="151"/>
        <v>1615000</v>
      </c>
      <c r="AB135" s="144">
        <f t="shared" si="151"/>
        <v>1785000</v>
      </c>
      <c r="AC135" s="144">
        <f t="shared" si="151"/>
        <v>1955000</v>
      </c>
      <c r="AD135" s="144">
        <f t="shared" si="151"/>
        <v>2125000</v>
      </c>
      <c r="AE135" s="145">
        <f t="shared" si="151"/>
        <v>2295000</v>
      </c>
      <c r="AF135" s="144">
        <f t="shared" si="151"/>
        <v>2465000</v>
      </c>
      <c r="AG135" s="144">
        <f t="shared" si="151"/>
        <v>2635000</v>
      </c>
      <c r="AH135" s="144">
        <f t="shared" si="151"/>
        <v>2805000</v>
      </c>
      <c r="AI135" s="144">
        <f t="shared" si="151"/>
        <v>2975000</v>
      </c>
      <c r="AJ135" s="144">
        <f t="shared" si="151"/>
        <v>3145000</v>
      </c>
      <c r="AK135" s="144">
        <f t="shared" si="151"/>
        <v>3315000</v>
      </c>
      <c r="AL135" s="144">
        <f t="shared" si="151"/>
        <v>3485000</v>
      </c>
      <c r="AM135" s="144">
        <f t="shared" si="151"/>
        <v>3655000</v>
      </c>
      <c r="AN135" s="144">
        <f t="shared" si="151"/>
        <v>3825000</v>
      </c>
      <c r="AO135" s="144">
        <f t="shared" si="151"/>
        <v>3995000</v>
      </c>
      <c r="AP135" s="144">
        <f t="shared" si="151"/>
        <v>4165000</v>
      </c>
      <c r="AQ135" s="146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6"/>
      <c r="BD135" s="146"/>
      <c r="BE135" s="142"/>
      <c r="BF135" s="142"/>
      <c r="BG135" s="142"/>
      <c r="BH135" s="146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</row>
    <row r="136" spans="1:79" ht="14.25" customHeight="1" outlineLevel="2" x14ac:dyDescent="0.25">
      <c r="A136" s="142"/>
      <c r="B136" s="142" t="s">
        <v>18</v>
      </c>
      <c r="C136" s="142"/>
      <c r="D136" s="142"/>
      <c r="E136" s="142"/>
      <c r="F136" s="80"/>
      <c r="G136" s="143"/>
      <c r="H136" s="143"/>
      <c r="I136" s="143"/>
      <c r="J136" s="143"/>
      <c r="K136" s="143"/>
      <c r="L136" s="142"/>
      <c r="M136" s="144">
        <f t="shared" ref="M136:Y136" si="152">M418</f>
        <v>0</v>
      </c>
      <c r="N136" s="144">
        <f t="shared" si="152"/>
        <v>0</v>
      </c>
      <c r="O136" s="144">
        <f t="shared" si="152"/>
        <v>0</v>
      </c>
      <c r="P136" s="144">
        <f t="shared" si="152"/>
        <v>0</v>
      </c>
      <c r="Q136" s="144">
        <f t="shared" si="152"/>
        <v>0</v>
      </c>
      <c r="R136" s="144">
        <f t="shared" si="152"/>
        <v>0</v>
      </c>
      <c r="S136" s="145">
        <f t="shared" si="152"/>
        <v>0</v>
      </c>
      <c r="T136" s="144">
        <f t="shared" si="152"/>
        <v>0</v>
      </c>
      <c r="U136" s="144">
        <f t="shared" si="152"/>
        <v>0</v>
      </c>
      <c r="V136" s="144">
        <f t="shared" si="152"/>
        <v>0</v>
      </c>
      <c r="W136" s="144">
        <f t="shared" si="152"/>
        <v>0</v>
      </c>
      <c r="X136" s="144">
        <f t="shared" si="152"/>
        <v>0</v>
      </c>
      <c r="Y136" s="144">
        <f t="shared" si="152"/>
        <v>0</v>
      </c>
      <c r="Z136" s="144">
        <f t="shared" ref="Z136:AP136" si="153">Z412</f>
        <v>834900.00000000012</v>
      </c>
      <c r="AA136" s="144">
        <f t="shared" si="153"/>
        <v>834900.00000000012</v>
      </c>
      <c r="AB136" s="144">
        <f t="shared" si="153"/>
        <v>1669800.0000000002</v>
      </c>
      <c r="AC136" s="144">
        <f t="shared" si="153"/>
        <v>1669800.0000000002</v>
      </c>
      <c r="AD136" s="144">
        <f t="shared" si="153"/>
        <v>1669800.0000000002</v>
      </c>
      <c r="AE136" s="145">
        <f t="shared" si="153"/>
        <v>2504700.0000000005</v>
      </c>
      <c r="AF136" s="144">
        <f t="shared" si="153"/>
        <v>2504700.0000000005</v>
      </c>
      <c r="AG136" s="144">
        <f t="shared" si="153"/>
        <v>3339600.0000000005</v>
      </c>
      <c r="AH136" s="144">
        <f t="shared" si="153"/>
        <v>3339600.0000000005</v>
      </c>
      <c r="AI136" s="144">
        <f t="shared" si="153"/>
        <v>4174500.0000000005</v>
      </c>
      <c r="AJ136" s="144">
        <f t="shared" si="153"/>
        <v>4174500.0000000005</v>
      </c>
      <c r="AK136" s="144">
        <f t="shared" si="153"/>
        <v>4174500.0000000005</v>
      </c>
      <c r="AL136" s="144">
        <f t="shared" si="153"/>
        <v>7025700</v>
      </c>
      <c r="AM136" s="144">
        <f t="shared" si="153"/>
        <v>7860600</v>
      </c>
      <c r="AN136" s="144">
        <f t="shared" si="153"/>
        <v>7860600</v>
      </c>
      <c r="AO136" s="144">
        <f t="shared" si="153"/>
        <v>7860600</v>
      </c>
      <c r="AP136" s="144">
        <f t="shared" si="153"/>
        <v>10711800</v>
      </c>
      <c r="AQ136" s="146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6"/>
      <c r="BD136" s="146"/>
      <c r="BE136" s="142"/>
      <c r="BF136" s="142"/>
      <c r="BG136" s="142"/>
      <c r="BH136" s="146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</row>
    <row r="137" spans="1:79" ht="14.25" customHeight="1" outlineLevel="2" x14ac:dyDescent="0.25">
      <c r="A137" s="142"/>
      <c r="B137" s="142" t="s">
        <v>20</v>
      </c>
      <c r="C137" s="142"/>
      <c r="D137" s="142"/>
      <c r="E137" s="142"/>
      <c r="F137" s="80"/>
      <c r="G137" s="143"/>
      <c r="H137" s="143"/>
      <c r="I137" s="143"/>
      <c r="J137" s="143"/>
      <c r="K137" s="143"/>
      <c r="L137" s="142"/>
      <c r="M137" s="144">
        <f t="shared" ref="M137:AP137" si="154">M458</f>
        <v>0</v>
      </c>
      <c r="N137" s="144">
        <f t="shared" si="154"/>
        <v>0</v>
      </c>
      <c r="O137" s="144">
        <f t="shared" si="154"/>
        <v>0</v>
      </c>
      <c r="P137" s="144">
        <f t="shared" si="154"/>
        <v>0</v>
      </c>
      <c r="Q137" s="144">
        <f t="shared" si="154"/>
        <v>0</v>
      </c>
      <c r="R137" s="144">
        <f t="shared" si="154"/>
        <v>0</v>
      </c>
      <c r="S137" s="145">
        <f t="shared" si="154"/>
        <v>0</v>
      </c>
      <c r="T137" s="144">
        <f t="shared" si="154"/>
        <v>0</v>
      </c>
      <c r="U137" s="144">
        <f t="shared" si="154"/>
        <v>0</v>
      </c>
      <c r="V137" s="144">
        <f t="shared" si="154"/>
        <v>0</v>
      </c>
      <c r="W137" s="144">
        <f t="shared" si="154"/>
        <v>0</v>
      </c>
      <c r="X137" s="144">
        <f t="shared" si="154"/>
        <v>0</v>
      </c>
      <c r="Y137" s="144">
        <f t="shared" si="154"/>
        <v>0</v>
      </c>
      <c r="Z137" s="144">
        <f t="shared" si="154"/>
        <v>0</v>
      </c>
      <c r="AA137" s="144">
        <f t="shared" si="154"/>
        <v>0</v>
      </c>
      <c r="AB137" s="144">
        <f t="shared" si="154"/>
        <v>0</v>
      </c>
      <c r="AC137" s="144">
        <f t="shared" si="154"/>
        <v>0</v>
      </c>
      <c r="AD137" s="144">
        <f t="shared" si="154"/>
        <v>0</v>
      </c>
      <c r="AE137" s="145">
        <f t="shared" si="154"/>
        <v>0</v>
      </c>
      <c r="AF137" s="144">
        <f t="shared" si="154"/>
        <v>0</v>
      </c>
      <c r="AG137" s="144">
        <f t="shared" si="154"/>
        <v>0</v>
      </c>
      <c r="AH137" s="144">
        <f t="shared" si="154"/>
        <v>0</v>
      </c>
      <c r="AI137" s="144">
        <f t="shared" si="154"/>
        <v>0</v>
      </c>
      <c r="AJ137" s="144">
        <f t="shared" si="154"/>
        <v>0</v>
      </c>
      <c r="AK137" s="144">
        <f t="shared" si="154"/>
        <v>0</v>
      </c>
      <c r="AL137" s="144">
        <f t="shared" si="154"/>
        <v>0</v>
      </c>
      <c r="AM137" s="144">
        <f t="shared" si="154"/>
        <v>0</v>
      </c>
      <c r="AN137" s="144">
        <f t="shared" si="154"/>
        <v>0</v>
      </c>
      <c r="AO137" s="144">
        <f t="shared" si="154"/>
        <v>0</v>
      </c>
      <c r="AP137" s="144">
        <f t="shared" si="154"/>
        <v>0</v>
      </c>
      <c r="AQ137" s="146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6"/>
      <c r="BD137" s="146"/>
      <c r="BE137" s="142"/>
      <c r="BF137" s="142"/>
      <c r="BG137" s="142"/>
      <c r="BH137" s="146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</row>
    <row r="138" spans="1:79" ht="14.25" customHeight="1" outlineLevel="2" x14ac:dyDescent="0.25">
      <c r="A138" s="142"/>
      <c r="B138" s="142" t="s">
        <v>19</v>
      </c>
      <c r="C138" s="142"/>
      <c r="D138" s="142"/>
      <c r="E138" s="142"/>
      <c r="F138" s="80"/>
      <c r="G138" s="143"/>
      <c r="H138" s="143"/>
      <c r="I138" s="143"/>
      <c r="J138" s="143"/>
      <c r="K138" s="143"/>
      <c r="L138" s="142"/>
      <c r="M138" s="144">
        <f t="shared" ref="M138:AP138" si="155">M516</f>
        <v>0</v>
      </c>
      <c r="N138" s="144">
        <f t="shared" si="155"/>
        <v>0</v>
      </c>
      <c r="O138" s="144">
        <f t="shared" si="155"/>
        <v>0</v>
      </c>
      <c r="P138" s="144">
        <f t="shared" si="155"/>
        <v>0</v>
      </c>
      <c r="Q138" s="144">
        <f t="shared" si="155"/>
        <v>0</v>
      </c>
      <c r="R138" s="144">
        <f t="shared" si="155"/>
        <v>0</v>
      </c>
      <c r="S138" s="145">
        <f t="shared" si="155"/>
        <v>0</v>
      </c>
      <c r="T138" s="144">
        <f t="shared" si="155"/>
        <v>0</v>
      </c>
      <c r="U138" s="144">
        <f t="shared" si="155"/>
        <v>0</v>
      </c>
      <c r="V138" s="144">
        <f t="shared" si="155"/>
        <v>0</v>
      </c>
      <c r="W138" s="144">
        <f t="shared" si="155"/>
        <v>0</v>
      </c>
      <c r="X138" s="144">
        <f t="shared" si="155"/>
        <v>0</v>
      </c>
      <c r="Y138" s="144">
        <f t="shared" si="155"/>
        <v>0</v>
      </c>
      <c r="Z138" s="144">
        <f t="shared" si="155"/>
        <v>0</v>
      </c>
      <c r="AA138" s="144">
        <f t="shared" si="155"/>
        <v>0</v>
      </c>
      <c r="AB138" s="144">
        <f t="shared" si="155"/>
        <v>6187.5</v>
      </c>
      <c r="AC138" s="144">
        <f t="shared" si="155"/>
        <v>12375</v>
      </c>
      <c r="AD138" s="144">
        <f t="shared" si="155"/>
        <v>18562.5</v>
      </c>
      <c r="AE138" s="145">
        <f t="shared" si="155"/>
        <v>41062.5</v>
      </c>
      <c r="AF138" s="144">
        <f t="shared" si="155"/>
        <v>57487.5</v>
      </c>
      <c r="AG138" s="144">
        <f t="shared" si="155"/>
        <v>73912.5</v>
      </c>
      <c r="AH138" s="144">
        <f t="shared" si="155"/>
        <v>90337.5</v>
      </c>
      <c r="AI138" s="144">
        <f t="shared" si="155"/>
        <v>106762.5</v>
      </c>
      <c r="AJ138" s="144">
        <f t="shared" si="155"/>
        <v>123187.5</v>
      </c>
      <c r="AK138" s="144">
        <f t="shared" si="155"/>
        <v>139612.5</v>
      </c>
      <c r="AL138" s="144">
        <f t="shared" si="155"/>
        <v>164250</v>
      </c>
      <c r="AM138" s="144">
        <f t="shared" si="155"/>
        <v>188887.5</v>
      </c>
      <c r="AN138" s="144">
        <f t="shared" si="155"/>
        <v>213525</v>
      </c>
      <c r="AO138" s="144">
        <f t="shared" si="155"/>
        <v>238162.5</v>
      </c>
      <c r="AP138" s="144">
        <f t="shared" si="155"/>
        <v>262800</v>
      </c>
      <c r="AQ138" s="146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6"/>
      <c r="BD138" s="146"/>
      <c r="BE138" s="142"/>
      <c r="BF138" s="142"/>
      <c r="BG138" s="142"/>
      <c r="BH138" s="146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</row>
    <row r="139" spans="1:79" ht="14.25" customHeight="1" outlineLevel="2" x14ac:dyDescent="0.25">
      <c r="A139" s="142"/>
      <c r="B139" s="142"/>
      <c r="C139" s="142"/>
      <c r="D139" s="142"/>
      <c r="E139" s="142"/>
      <c r="F139" s="80"/>
      <c r="G139" s="143"/>
      <c r="H139" s="143"/>
      <c r="I139" s="143"/>
      <c r="J139" s="143"/>
      <c r="K139" s="143"/>
      <c r="L139" s="142"/>
      <c r="M139" s="144"/>
      <c r="N139" s="144"/>
      <c r="O139" s="144"/>
      <c r="P139" s="144"/>
      <c r="Q139" s="144"/>
      <c r="R139" s="144"/>
      <c r="S139" s="145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5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6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6"/>
      <c r="BD139" s="146"/>
      <c r="BE139" s="142"/>
      <c r="BF139" s="142"/>
      <c r="BG139" s="142"/>
      <c r="BH139" s="146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</row>
    <row r="140" spans="1:79" ht="14.25" customHeight="1" outlineLevel="1" x14ac:dyDescent="0.25">
      <c r="A140" s="22"/>
      <c r="B140" s="22"/>
      <c r="C140" s="22"/>
      <c r="D140" s="22"/>
      <c r="E140" s="22"/>
      <c r="F140" s="80"/>
      <c r="G140" s="82"/>
      <c r="H140" s="82"/>
      <c r="I140" s="82"/>
      <c r="J140" s="82"/>
      <c r="K140" s="82"/>
      <c r="L140" s="22"/>
      <c r="M140" s="22"/>
      <c r="N140" s="22"/>
      <c r="O140" s="22"/>
      <c r="P140" s="22"/>
      <c r="Q140" s="22"/>
      <c r="R140" s="22"/>
      <c r="S140" s="31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31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31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31"/>
      <c r="BD140" s="31"/>
      <c r="BE140" s="22"/>
      <c r="BF140" s="22"/>
      <c r="BG140" s="22"/>
      <c r="BH140" s="31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</row>
    <row r="141" spans="1:79" ht="14.25" customHeight="1" outlineLevel="1" x14ac:dyDescent="0.25">
      <c r="A141" s="30" t="s">
        <v>224</v>
      </c>
      <c r="B141" s="30"/>
      <c r="C141" s="30"/>
      <c r="D141" s="30"/>
      <c r="E141" s="30"/>
      <c r="F141" s="110"/>
      <c r="G141" s="138"/>
      <c r="H141" s="138"/>
      <c r="I141" s="138"/>
      <c r="J141" s="138"/>
      <c r="K141" s="138"/>
      <c r="L141" s="30"/>
      <c r="M141" s="126">
        <f t="shared" ref="M141:AP141" si="156">M143</f>
        <v>512450.73847480334</v>
      </c>
      <c r="N141" s="126">
        <f t="shared" si="156"/>
        <v>642295</v>
      </c>
      <c r="O141" s="126">
        <f t="shared" si="156"/>
        <v>775265</v>
      </c>
      <c r="P141" s="126">
        <f t="shared" si="156"/>
        <v>792840</v>
      </c>
      <c r="Q141" s="126">
        <f t="shared" si="156"/>
        <v>974540</v>
      </c>
      <c r="R141" s="126">
        <f t="shared" si="156"/>
        <v>1088115</v>
      </c>
      <c r="S141" s="127">
        <f t="shared" si="156"/>
        <v>1286440</v>
      </c>
      <c r="T141" s="126">
        <f t="shared" si="156"/>
        <v>1481765</v>
      </c>
      <c r="U141" s="126">
        <f t="shared" si="156"/>
        <v>1674890</v>
      </c>
      <c r="V141" s="126">
        <f t="shared" si="156"/>
        <v>1862815</v>
      </c>
      <c r="W141" s="126">
        <f t="shared" si="156"/>
        <v>2047740</v>
      </c>
      <c r="X141" s="126">
        <f t="shared" si="156"/>
        <v>2228265</v>
      </c>
      <c r="Y141" s="126">
        <f t="shared" si="156"/>
        <v>3127390</v>
      </c>
      <c r="Z141" s="126">
        <f t="shared" si="156"/>
        <v>3295315</v>
      </c>
      <c r="AA141" s="126">
        <f t="shared" si="156"/>
        <v>3458040</v>
      </c>
      <c r="AB141" s="126">
        <f t="shared" si="156"/>
        <v>4342165</v>
      </c>
      <c r="AC141" s="126">
        <f t="shared" si="156"/>
        <v>4495890</v>
      </c>
      <c r="AD141" s="126">
        <f t="shared" si="156"/>
        <v>4645215</v>
      </c>
      <c r="AE141" s="127">
        <f t="shared" si="156"/>
        <v>5527315</v>
      </c>
      <c r="AF141" s="126">
        <f t="shared" si="156"/>
        <v>5674830</v>
      </c>
      <c r="AG141" s="126">
        <f t="shared" si="156"/>
        <v>6543945</v>
      </c>
      <c r="AH141" s="126">
        <f t="shared" si="156"/>
        <v>6683260</v>
      </c>
      <c r="AI141" s="126">
        <f t="shared" si="156"/>
        <v>7544175</v>
      </c>
      <c r="AJ141" s="126">
        <f t="shared" si="156"/>
        <v>7676890</v>
      </c>
      <c r="AK141" s="126">
        <f t="shared" si="156"/>
        <v>7806605</v>
      </c>
      <c r="AL141" s="126">
        <f t="shared" si="156"/>
        <v>10315115</v>
      </c>
      <c r="AM141" s="126">
        <f t="shared" si="156"/>
        <v>11168425</v>
      </c>
      <c r="AN141" s="126">
        <f t="shared" si="156"/>
        <v>11293535</v>
      </c>
      <c r="AO141" s="126">
        <f t="shared" si="156"/>
        <v>11415645</v>
      </c>
      <c r="AP141" s="126">
        <f t="shared" si="156"/>
        <v>13913755</v>
      </c>
      <c r="AQ141" s="111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111"/>
      <c r="BD141" s="111"/>
      <c r="BE141" s="30"/>
      <c r="BF141" s="30"/>
      <c r="BG141" s="30"/>
      <c r="BH141" s="111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</row>
    <row r="142" spans="1:79" ht="14.25" hidden="1" customHeight="1" outlineLevel="2" x14ac:dyDescent="0.25">
      <c r="A142" s="22"/>
      <c r="B142" s="22"/>
      <c r="C142" s="22"/>
      <c r="D142" s="22"/>
      <c r="E142" s="22"/>
      <c r="F142" s="80"/>
      <c r="G142" s="82"/>
      <c r="H142" s="82"/>
      <c r="I142" s="82"/>
      <c r="J142" s="82"/>
      <c r="K142" s="82"/>
      <c r="L142" s="22"/>
      <c r="M142" s="22"/>
      <c r="N142" s="22"/>
      <c r="O142" s="22"/>
      <c r="P142" s="22"/>
      <c r="Q142" s="22"/>
      <c r="R142" s="22"/>
      <c r="S142" s="31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31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31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31"/>
      <c r="BD142" s="31"/>
      <c r="BE142" s="22"/>
      <c r="BF142" s="22"/>
      <c r="BG142" s="22"/>
      <c r="BH142" s="31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</row>
    <row r="143" spans="1:79" ht="14.25" hidden="1" customHeight="1" outlineLevel="2" x14ac:dyDescent="0.25">
      <c r="A143" s="46"/>
      <c r="B143" s="46" t="s">
        <v>225</v>
      </c>
      <c r="C143" s="46"/>
      <c r="D143" s="46"/>
      <c r="E143" s="46"/>
      <c r="F143" s="81"/>
      <c r="G143" s="139"/>
      <c r="H143" s="139"/>
      <c r="I143" s="139"/>
      <c r="J143" s="139"/>
      <c r="K143" s="139"/>
      <c r="L143" s="46"/>
      <c r="M143" s="140">
        <f t="shared" ref="M143:AP143" si="157">SUM(M144:M150)</f>
        <v>512450.73847480334</v>
      </c>
      <c r="N143" s="140">
        <f t="shared" si="157"/>
        <v>642295</v>
      </c>
      <c r="O143" s="140">
        <f t="shared" si="157"/>
        <v>775265</v>
      </c>
      <c r="P143" s="140">
        <f t="shared" si="157"/>
        <v>792840</v>
      </c>
      <c r="Q143" s="140">
        <f t="shared" si="157"/>
        <v>974540</v>
      </c>
      <c r="R143" s="140">
        <f t="shared" si="157"/>
        <v>1088115</v>
      </c>
      <c r="S143" s="141">
        <f t="shared" si="157"/>
        <v>1286440</v>
      </c>
      <c r="T143" s="140">
        <f t="shared" si="157"/>
        <v>1481765</v>
      </c>
      <c r="U143" s="140">
        <f t="shared" si="157"/>
        <v>1674890</v>
      </c>
      <c r="V143" s="140">
        <f t="shared" si="157"/>
        <v>1862815</v>
      </c>
      <c r="W143" s="140">
        <f t="shared" si="157"/>
        <v>2047740</v>
      </c>
      <c r="X143" s="140">
        <f t="shared" si="157"/>
        <v>2228265</v>
      </c>
      <c r="Y143" s="140">
        <f t="shared" si="157"/>
        <v>3127390</v>
      </c>
      <c r="Z143" s="140">
        <f t="shared" si="157"/>
        <v>3295315</v>
      </c>
      <c r="AA143" s="140">
        <f t="shared" si="157"/>
        <v>3458040</v>
      </c>
      <c r="AB143" s="140">
        <f t="shared" si="157"/>
        <v>4342165</v>
      </c>
      <c r="AC143" s="140">
        <f t="shared" si="157"/>
        <v>4495890</v>
      </c>
      <c r="AD143" s="140">
        <f t="shared" si="157"/>
        <v>4645215</v>
      </c>
      <c r="AE143" s="141">
        <f t="shared" si="157"/>
        <v>5527315</v>
      </c>
      <c r="AF143" s="140">
        <f t="shared" si="157"/>
        <v>5674830</v>
      </c>
      <c r="AG143" s="140">
        <f t="shared" si="157"/>
        <v>6543945</v>
      </c>
      <c r="AH143" s="140">
        <f t="shared" si="157"/>
        <v>6683260</v>
      </c>
      <c r="AI143" s="140">
        <f t="shared" si="157"/>
        <v>7544175</v>
      </c>
      <c r="AJ143" s="140">
        <f t="shared" si="157"/>
        <v>7676890</v>
      </c>
      <c r="AK143" s="140">
        <f t="shared" si="157"/>
        <v>7806605</v>
      </c>
      <c r="AL143" s="140">
        <f t="shared" si="157"/>
        <v>10315115</v>
      </c>
      <c r="AM143" s="140">
        <f t="shared" si="157"/>
        <v>11168425</v>
      </c>
      <c r="AN143" s="140">
        <f t="shared" si="157"/>
        <v>11293535</v>
      </c>
      <c r="AO143" s="140">
        <f t="shared" si="157"/>
        <v>11415645</v>
      </c>
      <c r="AP143" s="140">
        <f t="shared" si="157"/>
        <v>13913755</v>
      </c>
      <c r="AQ143" s="29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29"/>
      <c r="BD143" s="29"/>
      <c r="BE143" s="46"/>
      <c r="BF143" s="46"/>
      <c r="BG143" s="46"/>
      <c r="BH143" s="29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  <c r="CA143" s="46"/>
    </row>
    <row r="144" spans="1:79" ht="14.25" hidden="1" customHeight="1" outlineLevel="2" x14ac:dyDescent="0.25">
      <c r="A144" s="22"/>
      <c r="B144" s="22" t="s">
        <v>13</v>
      </c>
      <c r="C144" s="22"/>
      <c r="D144" s="22"/>
      <c r="E144" s="22"/>
      <c r="F144" s="80"/>
      <c r="G144" s="82"/>
      <c r="H144" s="82"/>
      <c r="I144" s="82"/>
      <c r="J144" s="82"/>
      <c r="K144" s="82"/>
      <c r="L144" s="22"/>
      <c r="M144" s="116">
        <f t="shared" ref="M144:AP144" si="158">M200</f>
        <v>372590.73847480334</v>
      </c>
      <c r="N144" s="116">
        <f t="shared" si="158"/>
        <v>540575</v>
      </c>
      <c r="O144" s="116">
        <f t="shared" si="158"/>
        <v>618975</v>
      </c>
      <c r="P144" s="116">
        <f t="shared" si="158"/>
        <v>583450</v>
      </c>
      <c r="Q144" s="116">
        <f t="shared" si="158"/>
        <v>640850</v>
      </c>
      <c r="R144" s="116">
        <f t="shared" si="158"/>
        <v>662725</v>
      </c>
      <c r="S144" s="125">
        <f t="shared" si="158"/>
        <v>677250</v>
      </c>
      <c r="T144" s="116">
        <f t="shared" si="158"/>
        <v>691775</v>
      </c>
      <c r="U144" s="116">
        <f t="shared" si="158"/>
        <v>706300</v>
      </c>
      <c r="V144" s="116">
        <f t="shared" si="158"/>
        <v>720825</v>
      </c>
      <c r="W144" s="116">
        <f t="shared" si="158"/>
        <v>735350</v>
      </c>
      <c r="X144" s="116">
        <f t="shared" si="158"/>
        <v>749875</v>
      </c>
      <c r="Y144" s="116">
        <f t="shared" si="158"/>
        <v>764400</v>
      </c>
      <c r="Z144" s="116">
        <f t="shared" si="158"/>
        <v>778925</v>
      </c>
      <c r="AA144" s="116">
        <f t="shared" si="158"/>
        <v>793450</v>
      </c>
      <c r="AB144" s="116">
        <f t="shared" si="158"/>
        <v>807975</v>
      </c>
      <c r="AC144" s="116">
        <f t="shared" si="158"/>
        <v>822500</v>
      </c>
      <c r="AD144" s="116">
        <f t="shared" si="158"/>
        <v>837025</v>
      </c>
      <c r="AE144" s="125">
        <f t="shared" si="158"/>
        <v>851550</v>
      </c>
      <c r="AF144" s="116">
        <f t="shared" si="158"/>
        <v>866075</v>
      </c>
      <c r="AG144" s="116">
        <f t="shared" si="158"/>
        <v>880600</v>
      </c>
      <c r="AH144" s="116">
        <f t="shared" si="158"/>
        <v>895125</v>
      </c>
      <c r="AI144" s="116">
        <f t="shared" si="158"/>
        <v>909650</v>
      </c>
      <c r="AJ144" s="116">
        <f t="shared" si="158"/>
        <v>924175</v>
      </c>
      <c r="AK144" s="116">
        <f t="shared" si="158"/>
        <v>938700</v>
      </c>
      <c r="AL144" s="116">
        <f t="shared" si="158"/>
        <v>953225</v>
      </c>
      <c r="AM144" s="116">
        <f t="shared" si="158"/>
        <v>967750</v>
      </c>
      <c r="AN144" s="116">
        <f t="shared" si="158"/>
        <v>982275</v>
      </c>
      <c r="AO144" s="116">
        <f t="shared" si="158"/>
        <v>996800</v>
      </c>
      <c r="AP144" s="116">
        <f t="shared" si="158"/>
        <v>1011325</v>
      </c>
      <c r="AQ144" s="31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31"/>
      <c r="BD144" s="31"/>
      <c r="BE144" s="22"/>
      <c r="BF144" s="22"/>
      <c r="BG144" s="22"/>
      <c r="BH144" s="31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</row>
    <row r="145" spans="1:79" ht="14.25" hidden="1" customHeight="1" outlineLevel="2" x14ac:dyDescent="0.25">
      <c r="A145" s="22"/>
      <c r="B145" s="22" t="s">
        <v>222</v>
      </c>
      <c r="C145" s="22"/>
      <c r="D145" s="22"/>
      <c r="E145" s="22"/>
      <c r="F145" s="80"/>
      <c r="G145" s="82"/>
      <c r="H145" s="82"/>
      <c r="I145" s="82"/>
      <c r="J145" s="82"/>
      <c r="K145" s="82"/>
      <c r="L145" s="22"/>
      <c r="M145" s="116">
        <f t="shared" ref="M145:AP145" si="159">M266</f>
        <v>46460</v>
      </c>
      <c r="N145" s="116">
        <f t="shared" si="159"/>
        <v>31320</v>
      </c>
      <c r="O145" s="116">
        <f t="shared" si="159"/>
        <v>32490</v>
      </c>
      <c r="P145" s="116">
        <f t="shared" si="159"/>
        <v>35190</v>
      </c>
      <c r="Q145" s="116">
        <f t="shared" si="159"/>
        <v>57690</v>
      </c>
      <c r="R145" s="116">
        <f t="shared" si="159"/>
        <v>80190</v>
      </c>
      <c r="S145" s="125">
        <f t="shared" si="159"/>
        <v>92190</v>
      </c>
      <c r="T145" s="116">
        <f t="shared" si="159"/>
        <v>104189.99999999999</v>
      </c>
      <c r="U145" s="116">
        <f t="shared" si="159"/>
        <v>116189.99999999999</v>
      </c>
      <c r="V145" s="116">
        <f t="shared" si="159"/>
        <v>128189.99999999997</v>
      </c>
      <c r="W145" s="116">
        <f t="shared" si="159"/>
        <v>140189.99999999997</v>
      </c>
      <c r="X145" s="116">
        <f t="shared" si="159"/>
        <v>152189.99999999997</v>
      </c>
      <c r="Y145" s="116">
        <f t="shared" si="159"/>
        <v>164189.99999999994</v>
      </c>
      <c r="Z145" s="116">
        <f t="shared" si="159"/>
        <v>176189.99999999994</v>
      </c>
      <c r="AA145" s="116">
        <f t="shared" si="159"/>
        <v>188189.99999999997</v>
      </c>
      <c r="AB145" s="116">
        <f t="shared" si="159"/>
        <v>200189.99999999997</v>
      </c>
      <c r="AC145" s="116">
        <f t="shared" si="159"/>
        <v>212190</v>
      </c>
      <c r="AD145" s="116">
        <f t="shared" si="159"/>
        <v>224190</v>
      </c>
      <c r="AE145" s="125">
        <f t="shared" si="159"/>
        <v>236190</v>
      </c>
      <c r="AF145" s="116">
        <f t="shared" si="159"/>
        <v>248190.00000000003</v>
      </c>
      <c r="AG145" s="116">
        <f t="shared" si="159"/>
        <v>260190.00000000003</v>
      </c>
      <c r="AH145" s="116">
        <f t="shared" si="159"/>
        <v>272190.00000000006</v>
      </c>
      <c r="AI145" s="116">
        <f t="shared" si="159"/>
        <v>284190.00000000006</v>
      </c>
      <c r="AJ145" s="116">
        <f t="shared" si="159"/>
        <v>296190.00000000006</v>
      </c>
      <c r="AK145" s="116">
        <f t="shared" si="159"/>
        <v>308190.00000000012</v>
      </c>
      <c r="AL145" s="116">
        <f t="shared" si="159"/>
        <v>320190.00000000012</v>
      </c>
      <c r="AM145" s="116">
        <f t="shared" si="159"/>
        <v>332190.00000000012</v>
      </c>
      <c r="AN145" s="116">
        <f t="shared" si="159"/>
        <v>344190.00000000012</v>
      </c>
      <c r="AO145" s="116">
        <f t="shared" si="159"/>
        <v>356190.00000000017</v>
      </c>
      <c r="AP145" s="116">
        <f t="shared" si="159"/>
        <v>368190.00000000017</v>
      </c>
      <c r="AQ145" s="31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31"/>
      <c r="BD145" s="31"/>
      <c r="BE145" s="22"/>
      <c r="BF145" s="22"/>
      <c r="BG145" s="22"/>
      <c r="BH145" s="31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</row>
    <row r="146" spans="1:79" ht="14.25" hidden="1" customHeight="1" outlineLevel="2" x14ac:dyDescent="0.25">
      <c r="A146" s="22"/>
      <c r="B146" s="22" t="s">
        <v>15</v>
      </c>
      <c r="C146" s="22"/>
      <c r="D146" s="22"/>
      <c r="E146" s="22"/>
      <c r="F146" s="80"/>
      <c r="G146" s="82"/>
      <c r="H146" s="82"/>
      <c r="I146" s="82"/>
      <c r="J146" s="82"/>
      <c r="K146" s="82"/>
      <c r="L146" s="22"/>
      <c r="M146" s="116">
        <f t="shared" ref="M146:AP146" si="160">M298</f>
        <v>93400</v>
      </c>
      <c r="N146" s="116">
        <f t="shared" si="160"/>
        <v>70400</v>
      </c>
      <c r="O146" s="116">
        <f t="shared" si="160"/>
        <v>123800</v>
      </c>
      <c r="P146" s="116">
        <f t="shared" si="160"/>
        <v>174200</v>
      </c>
      <c r="Q146" s="116">
        <f t="shared" si="160"/>
        <v>252000</v>
      </c>
      <c r="R146" s="116">
        <f t="shared" si="160"/>
        <v>297200</v>
      </c>
      <c r="S146" s="125">
        <f t="shared" si="160"/>
        <v>421000</v>
      </c>
      <c r="T146" s="116">
        <f t="shared" si="160"/>
        <v>541800</v>
      </c>
      <c r="U146" s="116">
        <f t="shared" si="160"/>
        <v>660400</v>
      </c>
      <c r="V146" s="116">
        <f t="shared" si="160"/>
        <v>773800</v>
      </c>
      <c r="W146" s="116">
        <f t="shared" si="160"/>
        <v>884200</v>
      </c>
      <c r="X146" s="116">
        <f t="shared" si="160"/>
        <v>990200</v>
      </c>
      <c r="Y146" s="116">
        <f t="shared" si="160"/>
        <v>1088800</v>
      </c>
      <c r="Z146" s="116">
        <f t="shared" si="160"/>
        <v>1182200</v>
      </c>
      <c r="AA146" s="116">
        <f t="shared" si="160"/>
        <v>1270400</v>
      </c>
      <c r="AB146" s="116">
        <f t="shared" si="160"/>
        <v>1350400</v>
      </c>
      <c r="AC146" s="116">
        <f t="shared" si="160"/>
        <v>1426000</v>
      </c>
      <c r="AD146" s="116">
        <f t="shared" si="160"/>
        <v>1497200</v>
      </c>
      <c r="AE146" s="125">
        <f t="shared" si="160"/>
        <v>1564600</v>
      </c>
      <c r="AF146" s="116">
        <f t="shared" si="160"/>
        <v>1627600</v>
      </c>
      <c r="AG146" s="116">
        <f t="shared" si="160"/>
        <v>1686200</v>
      </c>
      <c r="AH146" s="116">
        <f t="shared" si="160"/>
        <v>1741000</v>
      </c>
      <c r="AI146" s="116">
        <f t="shared" si="160"/>
        <v>1791400</v>
      </c>
      <c r="AJ146" s="116">
        <f t="shared" si="160"/>
        <v>1839600</v>
      </c>
      <c r="AK146" s="116">
        <f t="shared" si="160"/>
        <v>1884800</v>
      </c>
      <c r="AL146" s="116">
        <f t="shared" si="160"/>
        <v>1927800</v>
      </c>
      <c r="AM146" s="116">
        <f t="shared" si="160"/>
        <v>1965600</v>
      </c>
      <c r="AN146" s="116">
        <f t="shared" si="160"/>
        <v>2001200</v>
      </c>
      <c r="AO146" s="116">
        <f t="shared" si="160"/>
        <v>2033800</v>
      </c>
      <c r="AP146" s="116">
        <f t="shared" si="160"/>
        <v>2066400</v>
      </c>
      <c r="AQ146" s="31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31"/>
      <c r="BD146" s="31"/>
      <c r="BE146" s="22"/>
      <c r="BF146" s="22"/>
      <c r="BG146" s="22"/>
      <c r="BH146" s="31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</row>
    <row r="147" spans="1:79" ht="14.25" hidden="1" customHeight="1" outlineLevel="2" x14ac:dyDescent="0.25">
      <c r="A147" s="22"/>
      <c r="B147" s="22" t="s">
        <v>16</v>
      </c>
      <c r="C147" s="22"/>
      <c r="D147" s="22"/>
      <c r="E147" s="22"/>
      <c r="F147" s="80"/>
      <c r="G147" s="82"/>
      <c r="H147" s="82"/>
      <c r="I147" s="82"/>
      <c r="J147" s="82"/>
      <c r="K147" s="82"/>
      <c r="L147" s="22"/>
      <c r="M147" s="116">
        <f t="shared" ref="M147:AP147" si="161">M331</f>
        <v>0</v>
      </c>
      <c r="N147" s="116">
        <f t="shared" si="161"/>
        <v>0</v>
      </c>
      <c r="O147" s="116">
        <f t="shared" si="161"/>
        <v>0</v>
      </c>
      <c r="P147" s="116">
        <f t="shared" si="161"/>
        <v>0</v>
      </c>
      <c r="Q147" s="116">
        <f t="shared" si="161"/>
        <v>24000</v>
      </c>
      <c r="R147" s="116">
        <f t="shared" si="161"/>
        <v>48000</v>
      </c>
      <c r="S147" s="125">
        <f t="shared" si="161"/>
        <v>96000</v>
      </c>
      <c r="T147" s="116">
        <f t="shared" si="161"/>
        <v>144000</v>
      </c>
      <c r="U147" s="116">
        <f t="shared" si="161"/>
        <v>192000</v>
      </c>
      <c r="V147" s="116">
        <f t="shared" si="161"/>
        <v>240000</v>
      </c>
      <c r="W147" s="116">
        <f t="shared" si="161"/>
        <v>288000</v>
      </c>
      <c r="X147" s="116">
        <f t="shared" si="161"/>
        <v>336000</v>
      </c>
      <c r="Y147" s="116">
        <f t="shared" si="161"/>
        <v>384000</v>
      </c>
      <c r="Z147" s="116">
        <f t="shared" si="161"/>
        <v>432000</v>
      </c>
      <c r="AA147" s="116">
        <f t="shared" si="161"/>
        <v>480000</v>
      </c>
      <c r="AB147" s="116">
        <f t="shared" si="161"/>
        <v>528000</v>
      </c>
      <c r="AC147" s="116">
        <f t="shared" si="161"/>
        <v>576000</v>
      </c>
      <c r="AD147" s="116">
        <f t="shared" si="161"/>
        <v>624000</v>
      </c>
      <c r="AE147" s="125">
        <f t="shared" si="161"/>
        <v>672000</v>
      </c>
      <c r="AF147" s="116">
        <f t="shared" si="161"/>
        <v>720000</v>
      </c>
      <c r="AG147" s="116">
        <f t="shared" si="161"/>
        <v>768000</v>
      </c>
      <c r="AH147" s="116">
        <f t="shared" si="161"/>
        <v>816000</v>
      </c>
      <c r="AI147" s="116">
        <f t="shared" si="161"/>
        <v>864000</v>
      </c>
      <c r="AJ147" s="116">
        <f t="shared" si="161"/>
        <v>912000</v>
      </c>
      <c r="AK147" s="116">
        <f t="shared" si="161"/>
        <v>960000</v>
      </c>
      <c r="AL147" s="116">
        <f t="shared" si="161"/>
        <v>1008000</v>
      </c>
      <c r="AM147" s="116">
        <f t="shared" si="161"/>
        <v>1056000</v>
      </c>
      <c r="AN147" s="116">
        <f t="shared" si="161"/>
        <v>1104000</v>
      </c>
      <c r="AO147" s="116">
        <f t="shared" si="161"/>
        <v>1152000</v>
      </c>
      <c r="AP147" s="116">
        <f t="shared" si="161"/>
        <v>1200000</v>
      </c>
      <c r="AQ147" s="31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31"/>
      <c r="BD147" s="31"/>
      <c r="BE147" s="22"/>
      <c r="BF147" s="22"/>
      <c r="BG147" s="22"/>
      <c r="BH147" s="31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</row>
    <row r="148" spans="1:79" ht="14.25" hidden="1" customHeight="1" outlineLevel="2" x14ac:dyDescent="0.25">
      <c r="A148" s="22"/>
      <c r="B148" s="22" t="s">
        <v>18</v>
      </c>
      <c r="C148" s="22"/>
      <c r="D148" s="22"/>
      <c r="E148" s="22"/>
      <c r="F148" s="80"/>
      <c r="G148" s="82"/>
      <c r="H148" s="82"/>
      <c r="I148" s="82"/>
      <c r="J148" s="82"/>
      <c r="K148" s="82"/>
      <c r="L148" s="22"/>
      <c r="M148" s="116">
        <f t="shared" ref="M148:X148" si="162">M408</f>
        <v>0</v>
      </c>
      <c r="N148" s="116">
        <f t="shared" si="162"/>
        <v>0</v>
      </c>
      <c r="O148" s="116">
        <f t="shared" si="162"/>
        <v>0</v>
      </c>
      <c r="P148" s="116">
        <f t="shared" si="162"/>
        <v>0</v>
      </c>
      <c r="Q148" s="116">
        <f t="shared" si="162"/>
        <v>0</v>
      </c>
      <c r="R148" s="116">
        <f t="shared" si="162"/>
        <v>0</v>
      </c>
      <c r="S148" s="125">
        <f t="shared" si="162"/>
        <v>0</v>
      </c>
      <c r="T148" s="116">
        <f t="shared" si="162"/>
        <v>0</v>
      </c>
      <c r="U148" s="116">
        <f t="shared" si="162"/>
        <v>0</v>
      </c>
      <c r="V148" s="116">
        <f t="shared" si="162"/>
        <v>0</v>
      </c>
      <c r="W148" s="116">
        <f t="shared" si="162"/>
        <v>0</v>
      </c>
      <c r="X148" s="116">
        <f t="shared" si="162"/>
        <v>0</v>
      </c>
      <c r="Y148" s="116">
        <f t="shared" ref="Y148:AP148" si="163">Y409</f>
        <v>726000.00000000012</v>
      </c>
      <c r="Z148" s="116">
        <f t="shared" si="163"/>
        <v>726000.00000000012</v>
      </c>
      <c r="AA148" s="116">
        <f t="shared" si="163"/>
        <v>726000.00000000012</v>
      </c>
      <c r="AB148" s="116">
        <f t="shared" si="163"/>
        <v>1452000.0000000002</v>
      </c>
      <c r="AC148" s="116">
        <f t="shared" si="163"/>
        <v>1452000.0000000002</v>
      </c>
      <c r="AD148" s="116">
        <f t="shared" si="163"/>
        <v>1452000.0000000002</v>
      </c>
      <c r="AE148" s="125">
        <f t="shared" si="163"/>
        <v>2178000.0000000005</v>
      </c>
      <c r="AF148" s="116">
        <f t="shared" si="163"/>
        <v>2178000.0000000005</v>
      </c>
      <c r="AG148" s="116">
        <f t="shared" si="163"/>
        <v>2904000.0000000005</v>
      </c>
      <c r="AH148" s="116">
        <f t="shared" si="163"/>
        <v>2904000.0000000005</v>
      </c>
      <c r="AI148" s="116">
        <f t="shared" si="163"/>
        <v>3630000.0000000005</v>
      </c>
      <c r="AJ148" s="116">
        <f t="shared" si="163"/>
        <v>3630000.0000000005</v>
      </c>
      <c r="AK148" s="116">
        <f t="shared" si="163"/>
        <v>3630000.0000000005</v>
      </c>
      <c r="AL148" s="116">
        <f t="shared" si="163"/>
        <v>6006000</v>
      </c>
      <c r="AM148" s="116">
        <f t="shared" si="163"/>
        <v>6732000</v>
      </c>
      <c r="AN148" s="116">
        <f t="shared" si="163"/>
        <v>6732000</v>
      </c>
      <c r="AO148" s="116">
        <f t="shared" si="163"/>
        <v>6732000</v>
      </c>
      <c r="AP148" s="116">
        <f t="shared" si="163"/>
        <v>9108000</v>
      </c>
      <c r="AQ148" s="31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31"/>
      <c r="BD148" s="31"/>
      <c r="BE148" s="22"/>
      <c r="BF148" s="22"/>
      <c r="BG148" s="22"/>
      <c r="BH148" s="31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</row>
    <row r="149" spans="1:79" ht="14.25" hidden="1" customHeight="1" outlineLevel="2" x14ac:dyDescent="0.25">
      <c r="A149" s="22"/>
      <c r="B149" s="22" t="s">
        <v>20</v>
      </c>
      <c r="C149" s="22"/>
      <c r="D149" s="22"/>
      <c r="E149" s="22"/>
      <c r="F149" s="80"/>
      <c r="G149" s="82"/>
      <c r="H149" s="82"/>
      <c r="I149" s="82"/>
      <c r="J149" s="82"/>
      <c r="K149" s="82"/>
      <c r="L149" s="22"/>
      <c r="M149" s="116">
        <f t="shared" ref="M149:W149" si="164">M409</f>
        <v>0</v>
      </c>
      <c r="N149" s="116">
        <f t="shared" si="164"/>
        <v>0</v>
      </c>
      <c r="O149" s="116">
        <f t="shared" si="164"/>
        <v>0</v>
      </c>
      <c r="P149" s="116">
        <f t="shared" si="164"/>
        <v>0</v>
      </c>
      <c r="Q149" s="116">
        <f t="shared" si="164"/>
        <v>0</v>
      </c>
      <c r="R149" s="116">
        <f t="shared" si="164"/>
        <v>0</v>
      </c>
      <c r="S149" s="125">
        <f t="shared" si="164"/>
        <v>0</v>
      </c>
      <c r="T149" s="116">
        <f t="shared" si="164"/>
        <v>0</v>
      </c>
      <c r="U149" s="116">
        <f t="shared" si="164"/>
        <v>0</v>
      </c>
      <c r="V149" s="116">
        <f t="shared" si="164"/>
        <v>0</v>
      </c>
      <c r="W149" s="116">
        <f t="shared" si="164"/>
        <v>0</v>
      </c>
      <c r="X149" s="116">
        <f t="shared" ref="X149:AP149" si="165">X455</f>
        <v>0</v>
      </c>
      <c r="Y149" s="116">
        <f t="shared" si="165"/>
        <v>0</v>
      </c>
      <c r="Z149" s="116">
        <f t="shared" si="165"/>
        <v>0</v>
      </c>
      <c r="AA149" s="116">
        <f t="shared" si="165"/>
        <v>0</v>
      </c>
      <c r="AB149" s="116">
        <f t="shared" si="165"/>
        <v>0</v>
      </c>
      <c r="AC149" s="116">
        <f t="shared" si="165"/>
        <v>0</v>
      </c>
      <c r="AD149" s="116">
        <f t="shared" si="165"/>
        <v>0</v>
      </c>
      <c r="AE149" s="125">
        <f t="shared" si="165"/>
        <v>0</v>
      </c>
      <c r="AF149" s="116">
        <f t="shared" si="165"/>
        <v>0</v>
      </c>
      <c r="AG149" s="116">
        <f t="shared" si="165"/>
        <v>0</v>
      </c>
      <c r="AH149" s="116">
        <f t="shared" si="165"/>
        <v>0</v>
      </c>
      <c r="AI149" s="116">
        <f t="shared" si="165"/>
        <v>0</v>
      </c>
      <c r="AJ149" s="116">
        <f t="shared" si="165"/>
        <v>0</v>
      </c>
      <c r="AK149" s="116">
        <f t="shared" si="165"/>
        <v>0</v>
      </c>
      <c r="AL149" s="116">
        <f t="shared" si="165"/>
        <v>0</v>
      </c>
      <c r="AM149" s="116">
        <f t="shared" si="165"/>
        <v>0</v>
      </c>
      <c r="AN149" s="116">
        <f t="shared" si="165"/>
        <v>0</v>
      </c>
      <c r="AO149" s="116">
        <f t="shared" si="165"/>
        <v>0</v>
      </c>
      <c r="AP149" s="116">
        <f t="shared" si="165"/>
        <v>0</v>
      </c>
      <c r="AQ149" s="31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31"/>
      <c r="BD149" s="31"/>
      <c r="BE149" s="22"/>
      <c r="BF149" s="22"/>
      <c r="BG149" s="22"/>
      <c r="BH149" s="31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</row>
    <row r="150" spans="1:79" ht="14.25" hidden="1" customHeight="1" outlineLevel="2" x14ac:dyDescent="0.25">
      <c r="A150" s="22"/>
      <c r="B150" s="22" t="s">
        <v>19</v>
      </c>
      <c r="C150" s="22"/>
      <c r="D150" s="22"/>
      <c r="E150" s="22"/>
      <c r="F150" s="80"/>
      <c r="G150" s="82"/>
      <c r="H150" s="82"/>
      <c r="I150" s="82"/>
      <c r="J150" s="82"/>
      <c r="K150" s="82"/>
      <c r="L150" s="22"/>
      <c r="M150" s="22"/>
      <c r="N150" s="22"/>
      <c r="O150" s="22"/>
      <c r="P150" s="22"/>
      <c r="Q150" s="22"/>
      <c r="R150" s="22"/>
      <c r="S150" s="125">
        <f t="shared" ref="S150:AP150" si="166">S513</f>
        <v>0</v>
      </c>
      <c r="T150" s="116">
        <f t="shared" si="166"/>
        <v>0</v>
      </c>
      <c r="U150" s="116">
        <f t="shared" si="166"/>
        <v>0</v>
      </c>
      <c r="V150" s="116">
        <f t="shared" si="166"/>
        <v>0</v>
      </c>
      <c r="W150" s="116">
        <f t="shared" si="166"/>
        <v>0</v>
      </c>
      <c r="X150" s="116">
        <f t="shared" si="166"/>
        <v>0</v>
      </c>
      <c r="Y150" s="116">
        <f t="shared" si="166"/>
        <v>0</v>
      </c>
      <c r="Z150" s="116">
        <f t="shared" si="166"/>
        <v>0</v>
      </c>
      <c r="AA150" s="116">
        <f t="shared" si="166"/>
        <v>0</v>
      </c>
      <c r="AB150" s="116">
        <f t="shared" si="166"/>
        <v>3600</v>
      </c>
      <c r="AC150" s="116">
        <f t="shared" si="166"/>
        <v>7200</v>
      </c>
      <c r="AD150" s="116">
        <f t="shared" si="166"/>
        <v>10800</v>
      </c>
      <c r="AE150" s="125">
        <f t="shared" si="166"/>
        <v>24975</v>
      </c>
      <c r="AF150" s="116">
        <f t="shared" si="166"/>
        <v>34965</v>
      </c>
      <c r="AG150" s="116">
        <f t="shared" si="166"/>
        <v>44955</v>
      </c>
      <c r="AH150" s="116">
        <f t="shared" si="166"/>
        <v>54945</v>
      </c>
      <c r="AI150" s="116">
        <f t="shared" si="166"/>
        <v>64935</v>
      </c>
      <c r="AJ150" s="116">
        <f t="shared" si="166"/>
        <v>74925</v>
      </c>
      <c r="AK150" s="116">
        <f t="shared" si="166"/>
        <v>84915</v>
      </c>
      <c r="AL150" s="116">
        <f t="shared" si="166"/>
        <v>99900</v>
      </c>
      <c r="AM150" s="116">
        <f t="shared" si="166"/>
        <v>114885</v>
      </c>
      <c r="AN150" s="116">
        <f t="shared" si="166"/>
        <v>129870</v>
      </c>
      <c r="AO150" s="116">
        <f t="shared" si="166"/>
        <v>144855</v>
      </c>
      <c r="AP150" s="116">
        <f t="shared" si="166"/>
        <v>159840</v>
      </c>
      <c r="AQ150" s="31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31"/>
      <c r="BD150" s="31"/>
      <c r="BE150" s="22"/>
      <c r="BF150" s="22"/>
      <c r="BG150" s="22"/>
      <c r="BH150" s="31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</row>
    <row r="151" spans="1:79" ht="14.25" hidden="1" customHeight="1" outlineLevel="2" x14ac:dyDescent="0.25">
      <c r="A151" s="22"/>
      <c r="B151" s="22"/>
      <c r="C151" s="22"/>
      <c r="D151" s="22"/>
      <c r="E151" s="22"/>
      <c r="F151" s="80"/>
      <c r="G151" s="82"/>
      <c r="H151" s="82"/>
      <c r="I151" s="82"/>
      <c r="J151" s="82"/>
      <c r="K151" s="82"/>
      <c r="L151" s="22"/>
      <c r="M151" s="22"/>
      <c r="N151" s="22"/>
      <c r="O151" s="22"/>
      <c r="P151" s="22"/>
      <c r="Q151" s="22"/>
      <c r="R151" s="22"/>
      <c r="S151" s="125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25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31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31"/>
      <c r="BD151" s="31"/>
      <c r="BE151" s="22"/>
      <c r="BF151" s="22"/>
      <c r="BG151" s="22"/>
      <c r="BH151" s="31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</row>
    <row r="152" spans="1:79" ht="14.25" hidden="1" customHeight="1" outlineLevel="2" x14ac:dyDescent="0.25">
      <c r="A152" s="142"/>
      <c r="B152" s="142"/>
      <c r="C152" s="142"/>
      <c r="D152" s="142"/>
      <c r="E152" s="142"/>
      <c r="F152" s="152"/>
      <c r="G152" s="143"/>
      <c r="H152" s="143"/>
      <c r="I152" s="143"/>
      <c r="J152" s="143"/>
      <c r="K152" s="143"/>
      <c r="L152" s="142"/>
      <c r="M152" s="142"/>
      <c r="N152" s="142"/>
      <c r="O152" s="142"/>
      <c r="P152" s="142"/>
      <c r="Q152" s="142"/>
      <c r="R152" s="142"/>
      <c r="S152" s="145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5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6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6"/>
      <c r="BD152" s="146"/>
      <c r="BE152" s="142"/>
      <c r="BF152" s="142"/>
      <c r="BG152" s="142"/>
      <c r="BH152" s="146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  <c r="BT152" s="142"/>
      <c r="BU152" s="142"/>
      <c r="BV152" s="142"/>
      <c r="BW152" s="142"/>
      <c r="BX152" s="142"/>
      <c r="BY152" s="142"/>
      <c r="BZ152" s="142"/>
      <c r="CA152" s="142"/>
    </row>
    <row r="153" spans="1:79" ht="14.25" hidden="1" customHeight="1" outlineLevel="2" x14ac:dyDescent="0.25">
      <c r="A153" s="147"/>
      <c r="B153" s="147" t="s">
        <v>226</v>
      </c>
      <c r="C153" s="147"/>
      <c r="D153" s="147"/>
      <c r="E153" s="147"/>
      <c r="F153" s="81"/>
      <c r="G153" s="148"/>
      <c r="H153" s="148"/>
      <c r="I153" s="148"/>
      <c r="J153" s="148"/>
      <c r="K153" s="148"/>
      <c r="L153" s="147"/>
      <c r="M153" s="149">
        <f t="shared" ref="M153:AP153" si="167">SUM(M154:M160)</f>
        <v>512450.73847480334</v>
      </c>
      <c r="N153" s="149">
        <f t="shared" si="167"/>
        <v>642295</v>
      </c>
      <c r="O153" s="149">
        <f t="shared" si="167"/>
        <v>775265</v>
      </c>
      <c r="P153" s="149">
        <f t="shared" si="167"/>
        <v>792840</v>
      </c>
      <c r="Q153" s="149">
        <f t="shared" si="167"/>
        <v>974540</v>
      </c>
      <c r="R153" s="149">
        <f t="shared" si="167"/>
        <v>1088115</v>
      </c>
      <c r="S153" s="150">
        <f t="shared" si="167"/>
        <v>1286440</v>
      </c>
      <c r="T153" s="149">
        <f t="shared" si="167"/>
        <v>1481765</v>
      </c>
      <c r="U153" s="149">
        <f t="shared" si="167"/>
        <v>1674890</v>
      </c>
      <c r="V153" s="149">
        <f t="shared" si="167"/>
        <v>1862815</v>
      </c>
      <c r="W153" s="149">
        <f t="shared" si="167"/>
        <v>2047740</v>
      </c>
      <c r="X153" s="149">
        <f t="shared" si="167"/>
        <v>2228265</v>
      </c>
      <c r="Y153" s="149">
        <f t="shared" si="167"/>
        <v>2401390</v>
      </c>
      <c r="Z153" s="149">
        <f t="shared" si="167"/>
        <v>3295315</v>
      </c>
      <c r="AA153" s="149">
        <f t="shared" si="167"/>
        <v>3458040</v>
      </c>
      <c r="AB153" s="149">
        <f t="shared" si="167"/>
        <v>4342165</v>
      </c>
      <c r="AC153" s="149">
        <f t="shared" si="167"/>
        <v>4495890</v>
      </c>
      <c r="AD153" s="149">
        <f t="shared" si="167"/>
        <v>4645215</v>
      </c>
      <c r="AE153" s="150">
        <f t="shared" si="167"/>
        <v>5527315</v>
      </c>
      <c r="AF153" s="149">
        <f t="shared" si="167"/>
        <v>5674830</v>
      </c>
      <c r="AG153" s="149">
        <f t="shared" si="167"/>
        <v>6543945</v>
      </c>
      <c r="AH153" s="149">
        <f t="shared" si="167"/>
        <v>6683260</v>
      </c>
      <c r="AI153" s="149">
        <f t="shared" si="167"/>
        <v>7544175</v>
      </c>
      <c r="AJ153" s="149">
        <f t="shared" si="167"/>
        <v>7676890</v>
      </c>
      <c r="AK153" s="149">
        <f t="shared" si="167"/>
        <v>7806605</v>
      </c>
      <c r="AL153" s="149">
        <f t="shared" si="167"/>
        <v>10315115</v>
      </c>
      <c r="AM153" s="149">
        <f t="shared" si="167"/>
        <v>11168425</v>
      </c>
      <c r="AN153" s="149">
        <f t="shared" si="167"/>
        <v>11293535</v>
      </c>
      <c r="AO153" s="149">
        <f t="shared" si="167"/>
        <v>11415645</v>
      </c>
      <c r="AP153" s="149">
        <f t="shared" si="167"/>
        <v>13913755</v>
      </c>
      <c r="AQ153" s="151"/>
      <c r="AR153" s="147"/>
      <c r="AS153" s="147"/>
      <c r="AT153" s="147"/>
      <c r="AU153" s="147"/>
      <c r="AV153" s="147"/>
      <c r="AW153" s="147"/>
      <c r="AX153" s="147"/>
      <c r="AY153" s="147"/>
      <c r="AZ153" s="147"/>
      <c r="BA153" s="147"/>
      <c r="BB153" s="147"/>
      <c r="BC153" s="151"/>
      <c r="BD153" s="151"/>
      <c r="BE153" s="147"/>
      <c r="BF153" s="147"/>
      <c r="BG153" s="147"/>
      <c r="BH153" s="151"/>
      <c r="BI153" s="147"/>
      <c r="BJ153" s="147"/>
      <c r="BK153" s="147"/>
      <c r="BL153" s="147"/>
      <c r="BM153" s="147"/>
      <c r="BN153" s="147"/>
      <c r="BO153" s="147"/>
      <c r="BP153" s="147"/>
      <c r="BQ153" s="147"/>
      <c r="BR153" s="147"/>
      <c r="BS153" s="147"/>
      <c r="BT153" s="147"/>
      <c r="BU153" s="147"/>
      <c r="BV153" s="147"/>
      <c r="BW153" s="147"/>
      <c r="BX153" s="147"/>
      <c r="BY153" s="147"/>
      <c r="BZ153" s="147"/>
      <c r="CA153" s="147"/>
    </row>
    <row r="154" spans="1:79" ht="14.25" hidden="1" customHeight="1" outlineLevel="2" x14ac:dyDescent="0.25">
      <c r="A154" s="142"/>
      <c r="B154" s="142" t="s">
        <v>13</v>
      </c>
      <c r="C154" s="142"/>
      <c r="D154" s="142"/>
      <c r="E154" s="142"/>
      <c r="F154" s="80"/>
      <c r="G154" s="143"/>
      <c r="H154" s="143"/>
      <c r="I154" s="143"/>
      <c r="J154" s="143"/>
      <c r="K154" s="143"/>
      <c r="L154" s="142"/>
      <c r="M154" s="144">
        <f t="shared" ref="M154:AP154" si="168">M214</f>
        <v>372590.73847480334</v>
      </c>
      <c r="N154" s="144">
        <f t="shared" si="168"/>
        <v>540575</v>
      </c>
      <c r="O154" s="144">
        <f t="shared" si="168"/>
        <v>618975</v>
      </c>
      <c r="P154" s="144">
        <f t="shared" si="168"/>
        <v>583450</v>
      </c>
      <c r="Q154" s="144">
        <f t="shared" si="168"/>
        <v>640850</v>
      </c>
      <c r="R154" s="144">
        <f t="shared" si="168"/>
        <v>662725</v>
      </c>
      <c r="S154" s="145">
        <f t="shared" si="168"/>
        <v>677250</v>
      </c>
      <c r="T154" s="144">
        <f t="shared" si="168"/>
        <v>691775</v>
      </c>
      <c r="U154" s="144">
        <f t="shared" si="168"/>
        <v>706300</v>
      </c>
      <c r="V154" s="144">
        <f t="shared" si="168"/>
        <v>720825</v>
      </c>
      <c r="W154" s="144">
        <f t="shared" si="168"/>
        <v>735350</v>
      </c>
      <c r="X154" s="144">
        <f t="shared" si="168"/>
        <v>749875</v>
      </c>
      <c r="Y154" s="144">
        <f t="shared" si="168"/>
        <v>764400</v>
      </c>
      <c r="Z154" s="144">
        <f t="shared" si="168"/>
        <v>778925</v>
      </c>
      <c r="AA154" s="144">
        <f t="shared" si="168"/>
        <v>793450</v>
      </c>
      <c r="AB154" s="144">
        <f t="shared" si="168"/>
        <v>807975</v>
      </c>
      <c r="AC154" s="144">
        <f t="shared" si="168"/>
        <v>822500</v>
      </c>
      <c r="AD154" s="144">
        <f t="shared" si="168"/>
        <v>837025</v>
      </c>
      <c r="AE154" s="145">
        <f t="shared" si="168"/>
        <v>851550</v>
      </c>
      <c r="AF154" s="144">
        <f t="shared" si="168"/>
        <v>866075</v>
      </c>
      <c r="AG154" s="144">
        <f t="shared" si="168"/>
        <v>880600</v>
      </c>
      <c r="AH154" s="144">
        <f t="shared" si="168"/>
        <v>895125</v>
      </c>
      <c r="AI154" s="144">
        <f t="shared" si="168"/>
        <v>909650</v>
      </c>
      <c r="AJ154" s="144">
        <f t="shared" si="168"/>
        <v>924175</v>
      </c>
      <c r="AK154" s="144">
        <f t="shared" si="168"/>
        <v>938700</v>
      </c>
      <c r="AL154" s="144">
        <f t="shared" si="168"/>
        <v>953225</v>
      </c>
      <c r="AM154" s="144">
        <f t="shared" si="168"/>
        <v>967750</v>
      </c>
      <c r="AN154" s="144">
        <f t="shared" si="168"/>
        <v>982275</v>
      </c>
      <c r="AO154" s="144">
        <f t="shared" si="168"/>
        <v>996800</v>
      </c>
      <c r="AP154" s="144">
        <f t="shared" si="168"/>
        <v>1011325</v>
      </c>
      <c r="AQ154" s="146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6"/>
      <c r="BD154" s="146"/>
      <c r="BE154" s="142"/>
      <c r="BF154" s="142"/>
      <c r="BG154" s="142"/>
      <c r="BH154" s="146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  <c r="BT154" s="142"/>
      <c r="BU154" s="142"/>
      <c r="BV154" s="142"/>
      <c r="BW154" s="142"/>
      <c r="BX154" s="142"/>
      <c r="BY154" s="142"/>
      <c r="BZ154" s="142"/>
      <c r="CA154" s="142"/>
    </row>
    <row r="155" spans="1:79" ht="14.25" hidden="1" customHeight="1" outlineLevel="2" x14ac:dyDescent="0.25">
      <c r="A155" s="142"/>
      <c r="B155" s="142" t="s">
        <v>222</v>
      </c>
      <c r="C155" s="142"/>
      <c r="D155" s="142"/>
      <c r="E155" s="142"/>
      <c r="F155" s="80"/>
      <c r="G155" s="143"/>
      <c r="H155" s="143"/>
      <c r="I155" s="143"/>
      <c r="J155" s="143"/>
      <c r="K155" s="143"/>
      <c r="L155" s="142"/>
      <c r="M155" s="144">
        <f t="shared" ref="M155:AP155" si="169">M270</f>
        <v>46460</v>
      </c>
      <c r="N155" s="144">
        <f t="shared" si="169"/>
        <v>31320</v>
      </c>
      <c r="O155" s="144">
        <f t="shared" si="169"/>
        <v>32490</v>
      </c>
      <c r="P155" s="144">
        <f t="shared" si="169"/>
        <v>35190</v>
      </c>
      <c r="Q155" s="144">
        <f t="shared" si="169"/>
        <v>57690</v>
      </c>
      <c r="R155" s="144">
        <f t="shared" si="169"/>
        <v>80190</v>
      </c>
      <c r="S155" s="145">
        <f t="shared" si="169"/>
        <v>92190</v>
      </c>
      <c r="T155" s="144">
        <f t="shared" si="169"/>
        <v>104189.99999999999</v>
      </c>
      <c r="U155" s="144">
        <f t="shared" si="169"/>
        <v>116189.99999999999</v>
      </c>
      <c r="V155" s="144">
        <f t="shared" si="169"/>
        <v>128189.99999999997</v>
      </c>
      <c r="W155" s="144">
        <f t="shared" si="169"/>
        <v>140189.99999999997</v>
      </c>
      <c r="X155" s="144">
        <f t="shared" si="169"/>
        <v>152189.99999999997</v>
      </c>
      <c r="Y155" s="144">
        <f t="shared" si="169"/>
        <v>164189.99999999994</v>
      </c>
      <c r="Z155" s="144">
        <f t="shared" si="169"/>
        <v>176189.99999999994</v>
      </c>
      <c r="AA155" s="144">
        <f t="shared" si="169"/>
        <v>188189.99999999997</v>
      </c>
      <c r="AB155" s="144">
        <f t="shared" si="169"/>
        <v>200189.99999999997</v>
      </c>
      <c r="AC155" s="144">
        <f t="shared" si="169"/>
        <v>212190</v>
      </c>
      <c r="AD155" s="144">
        <f t="shared" si="169"/>
        <v>224190</v>
      </c>
      <c r="AE155" s="145">
        <f t="shared" si="169"/>
        <v>236190</v>
      </c>
      <c r="AF155" s="144">
        <f t="shared" si="169"/>
        <v>248190.00000000003</v>
      </c>
      <c r="AG155" s="144">
        <f t="shared" si="169"/>
        <v>260190.00000000003</v>
      </c>
      <c r="AH155" s="144">
        <f t="shared" si="169"/>
        <v>272190.00000000006</v>
      </c>
      <c r="AI155" s="144">
        <f t="shared" si="169"/>
        <v>284190.00000000006</v>
      </c>
      <c r="AJ155" s="144">
        <f t="shared" si="169"/>
        <v>296190.00000000006</v>
      </c>
      <c r="AK155" s="144">
        <f t="shared" si="169"/>
        <v>308190.00000000012</v>
      </c>
      <c r="AL155" s="144">
        <f t="shared" si="169"/>
        <v>320190.00000000012</v>
      </c>
      <c r="AM155" s="144">
        <f t="shared" si="169"/>
        <v>332190.00000000012</v>
      </c>
      <c r="AN155" s="144">
        <f t="shared" si="169"/>
        <v>344190.00000000012</v>
      </c>
      <c r="AO155" s="144">
        <f t="shared" si="169"/>
        <v>356190.00000000017</v>
      </c>
      <c r="AP155" s="144">
        <f t="shared" si="169"/>
        <v>368190.00000000017</v>
      </c>
      <c r="AQ155" s="146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6"/>
      <c r="BD155" s="146"/>
      <c r="BE155" s="142"/>
      <c r="BF155" s="142"/>
      <c r="BG155" s="142"/>
      <c r="BH155" s="146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  <c r="BT155" s="142"/>
      <c r="BU155" s="142"/>
      <c r="BV155" s="142"/>
      <c r="BW155" s="142"/>
      <c r="BX155" s="142"/>
      <c r="BY155" s="142"/>
      <c r="BZ155" s="142"/>
      <c r="CA155" s="142"/>
    </row>
    <row r="156" spans="1:79" ht="14.25" hidden="1" customHeight="1" outlineLevel="2" x14ac:dyDescent="0.25">
      <c r="A156" s="142"/>
      <c r="B156" s="142" t="s">
        <v>15</v>
      </c>
      <c r="C156" s="142"/>
      <c r="D156" s="142"/>
      <c r="E156" s="142"/>
      <c r="F156" s="80"/>
      <c r="G156" s="143"/>
      <c r="H156" s="143"/>
      <c r="I156" s="143"/>
      <c r="J156" s="143"/>
      <c r="K156" s="143"/>
      <c r="L156" s="142"/>
      <c r="M156" s="144">
        <f t="shared" ref="M156:AP156" si="170">M302</f>
        <v>93400</v>
      </c>
      <c r="N156" s="144">
        <f t="shared" si="170"/>
        <v>70400</v>
      </c>
      <c r="O156" s="144">
        <f t="shared" si="170"/>
        <v>123800</v>
      </c>
      <c r="P156" s="144">
        <f t="shared" si="170"/>
        <v>174200</v>
      </c>
      <c r="Q156" s="144">
        <f t="shared" si="170"/>
        <v>252000</v>
      </c>
      <c r="R156" s="144">
        <f t="shared" si="170"/>
        <v>297200</v>
      </c>
      <c r="S156" s="145">
        <f t="shared" si="170"/>
        <v>421000</v>
      </c>
      <c r="T156" s="144">
        <f t="shared" si="170"/>
        <v>541800</v>
      </c>
      <c r="U156" s="144">
        <f t="shared" si="170"/>
        <v>660400</v>
      </c>
      <c r="V156" s="144">
        <f t="shared" si="170"/>
        <v>773800</v>
      </c>
      <c r="W156" s="144">
        <f t="shared" si="170"/>
        <v>884200</v>
      </c>
      <c r="X156" s="144">
        <f t="shared" si="170"/>
        <v>990200</v>
      </c>
      <c r="Y156" s="144">
        <f t="shared" si="170"/>
        <v>1088800</v>
      </c>
      <c r="Z156" s="144">
        <f t="shared" si="170"/>
        <v>1182200</v>
      </c>
      <c r="AA156" s="144">
        <f t="shared" si="170"/>
        <v>1270400</v>
      </c>
      <c r="AB156" s="144">
        <f t="shared" si="170"/>
        <v>1350400</v>
      </c>
      <c r="AC156" s="144">
        <f t="shared" si="170"/>
        <v>1426000</v>
      </c>
      <c r="AD156" s="144">
        <f t="shared" si="170"/>
        <v>1497200</v>
      </c>
      <c r="AE156" s="145">
        <f t="shared" si="170"/>
        <v>1564600</v>
      </c>
      <c r="AF156" s="144">
        <f t="shared" si="170"/>
        <v>1627600</v>
      </c>
      <c r="AG156" s="144">
        <f t="shared" si="170"/>
        <v>1686200</v>
      </c>
      <c r="AH156" s="144">
        <f t="shared" si="170"/>
        <v>1741000</v>
      </c>
      <c r="AI156" s="144">
        <f t="shared" si="170"/>
        <v>1791400</v>
      </c>
      <c r="AJ156" s="144">
        <f t="shared" si="170"/>
        <v>1839600</v>
      </c>
      <c r="AK156" s="144">
        <f t="shared" si="170"/>
        <v>1884800</v>
      </c>
      <c r="AL156" s="144">
        <f t="shared" si="170"/>
        <v>1927800</v>
      </c>
      <c r="AM156" s="144">
        <f t="shared" si="170"/>
        <v>1965600</v>
      </c>
      <c r="AN156" s="144">
        <f t="shared" si="170"/>
        <v>2001200</v>
      </c>
      <c r="AO156" s="144">
        <f t="shared" si="170"/>
        <v>2033800</v>
      </c>
      <c r="AP156" s="144">
        <f t="shared" si="170"/>
        <v>2066400</v>
      </c>
      <c r="AQ156" s="146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6"/>
      <c r="BD156" s="146"/>
      <c r="BE156" s="142"/>
      <c r="BF156" s="142"/>
      <c r="BG156" s="142"/>
      <c r="BH156" s="146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  <c r="BT156" s="142"/>
      <c r="BU156" s="142"/>
      <c r="BV156" s="142"/>
      <c r="BW156" s="142"/>
      <c r="BX156" s="142"/>
      <c r="BY156" s="142"/>
      <c r="BZ156" s="142"/>
      <c r="CA156" s="142"/>
    </row>
    <row r="157" spans="1:79" ht="14.25" hidden="1" customHeight="1" outlineLevel="2" x14ac:dyDescent="0.25">
      <c r="A157" s="142"/>
      <c r="B157" s="142" t="s">
        <v>16</v>
      </c>
      <c r="C157" s="142"/>
      <c r="D157" s="142"/>
      <c r="E157" s="142"/>
      <c r="F157" s="80"/>
      <c r="G157" s="143"/>
      <c r="H157" s="143"/>
      <c r="I157" s="143"/>
      <c r="J157" s="143"/>
      <c r="K157" s="143"/>
      <c r="L157" s="142"/>
      <c r="M157" s="144">
        <f t="shared" ref="M157:AP157" si="171">M335</f>
        <v>0</v>
      </c>
      <c r="N157" s="144">
        <f t="shared" si="171"/>
        <v>0</v>
      </c>
      <c r="O157" s="144">
        <f t="shared" si="171"/>
        <v>0</v>
      </c>
      <c r="P157" s="144">
        <f t="shared" si="171"/>
        <v>0</v>
      </c>
      <c r="Q157" s="144">
        <f t="shared" si="171"/>
        <v>24000</v>
      </c>
      <c r="R157" s="144">
        <f t="shared" si="171"/>
        <v>48000</v>
      </c>
      <c r="S157" s="145">
        <f t="shared" si="171"/>
        <v>96000</v>
      </c>
      <c r="T157" s="144">
        <f t="shared" si="171"/>
        <v>144000</v>
      </c>
      <c r="U157" s="144">
        <f t="shared" si="171"/>
        <v>192000</v>
      </c>
      <c r="V157" s="144">
        <f t="shared" si="171"/>
        <v>240000</v>
      </c>
      <c r="W157" s="144">
        <f t="shared" si="171"/>
        <v>288000</v>
      </c>
      <c r="X157" s="144">
        <f t="shared" si="171"/>
        <v>336000</v>
      </c>
      <c r="Y157" s="144">
        <f t="shared" si="171"/>
        <v>384000</v>
      </c>
      <c r="Z157" s="144">
        <f t="shared" si="171"/>
        <v>432000</v>
      </c>
      <c r="AA157" s="144">
        <f t="shared" si="171"/>
        <v>480000</v>
      </c>
      <c r="AB157" s="144">
        <f t="shared" si="171"/>
        <v>528000</v>
      </c>
      <c r="AC157" s="144">
        <f t="shared" si="171"/>
        <v>576000</v>
      </c>
      <c r="AD157" s="144">
        <f t="shared" si="171"/>
        <v>624000</v>
      </c>
      <c r="AE157" s="145">
        <f t="shared" si="171"/>
        <v>672000</v>
      </c>
      <c r="AF157" s="144">
        <f t="shared" si="171"/>
        <v>720000</v>
      </c>
      <c r="AG157" s="144">
        <f t="shared" si="171"/>
        <v>768000</v>
      </c>
      <c r="AH157" s="144">
        <f t="shared" si="171"/>
        <v>816000</v>
      </c>
      <c r="AI157" s="144">
        <f t="shared" si="171"/>
        <v>864000</v>
      </c>
      <c r="AJ157" s="144">
        <f t="shared" si="171"/>
        <v>912000</v>
      </c>
      <c r="AK157" s="144">
        <f t="shared" si="171"/>
        <v>960000</v>
      </c>
      <c r="AL157" s="144">
        <f t="shared" si="171"/>
        <v>1008000</v>
      </c>
      <c r="AM157" s="144">
        <f t="shared" si="171"/>
        <v>1056000</v>
      </c>
      <c r="AN157" s="144">
        <f t="shared" si="171"/>
        <v>1104000</v>
      </c>
      <c r="AO157" s="144">
        <f t="shared" si="171"/>
        <v>1152000</v>
      </c>
      <c r="AP157" s="144">
        <f t="shared" si="171"/>
        <v>1200000</v>
      </c>
      <c r="AQ157" s="146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6"/>
      <c r="BD157" s="146"/>
      <c r="BE157" s="142"/>
      <c r="BF157" s="142"/>
      <c r="BG157" s="142"/>
      <c r="BH157" s="146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  <c r="BT157" s="142"/>
      <c r="BU157" s="142"/>
      <c r="BV157" s="142"/>
      <c r="BW157" s="142"/>
      <c r="BX157" s="142"/>
      <c r="BY157" s="142"/>
      <c r="BZ157" s="142"/>
      <c r="CA157" s="142"/>
    </row>
    <row r="158" spans="1:79" ht="14.25" hidden="1" customHeight="1" outlineLevel="2" x14ac:dyDescent="0.25">
      <c r="A158" s="142"/>
      <c r="B158" s="142" t="s">
        <v>18</v>
      </c>
      <c r="C158" s="142"/>
      <c r="D158" s="142"/>
      <c r="E158" s="142"/>
      <c r="F158" s="80"/>
      <c r="G158" s="143"/>
      <c r="H158" s="143"/>
      <c r="I158" s="143"/>
      <c r="J158" s="143"/>
      <c r="K158" s="143"/>
      <c r="L158" s="142"/>
      <c r="M158" s="144">
        <f t="shared" ref="M158:Y158" si="172">M440</f>
        <v>0</v>
      </c>
      <c r="N158" s="144">
        <f t="shared" si="172"/>
        <v>0</v>
      </c>
      <c r="O158" s="144">
        <f t="shared" si="172"/>
        <v>0</v>
      </c>
      <c r="P158" s="144">
        <f t="shared" si="172"/>
        <v>0</v>
      </c>
      <c r="Q158" s="144">
        <f t="shared" si="172"/>
        <v>0</v>
      </c>
      <c r="R158" s="144">
        <f t="shared" si="172"/>
        <v>0</v>
      </c>
      <c r="S158" s="145">
        <f t="shared" si="172"/>
        <v>0</v>
      </c>
      <c r="T158" s="144">
        <f t="shared" si="172"/>
        <v>0</v>
      </c>
      <c r="U158" s="144">
        <f t="shared" si="172"/>
        <v>0</v>
      </c>
      <c r="V158" s="144">
        <f t="shared" si="172"/>
        <v>0</v>
      </c>
      <c r="W158" s="144">
        <f t="shared" si="172"/>
        <v>0</v>
      </c>
      <c r="X158" s="144">
        <f t="shared" si="172"/>
        <v>0</v>
      </c>
      <c r="Y158" s="144">
        <f t="shared" si="172"/>
        <v>0</v>
      </c>
      <c r="Z158" s="144">
        <f t="shared" ref="Z158:AP158" si="173">Z413</f>
        <v>726000.00000000012</v>
      </c>
      <c r="AA158" s="144">
        <f t="shared" si="173"/>
        <v>726000.00000000012</v>
      </c>
      <c r="AB158" s="144">
        <f t="shared" si="173"/>
        <v>1452000.0000000002</v>
      </c>
      <c r="AC158" s="144">
        <f t="shared" si="173"/>
        <v>1452000.0000000002</v>
      </c>
      <c r="AD158" s="144">
        <f t="shared" si="173"/>
        <v>1452000.0000000002</v>
      </c>
      <c r="AE158" s="145">
        <f t="shared" si="173"/>
        <v>2178000.0000000005</v>
      </c>
      <c r="AF158" s="144">
        <f t="shared" si="173"/>
        <v>2178000.0000000005</v>
      </c>
      <c r="AG158" s="144">
        <f t="shared" si="173"/>
        <v>2904000.0000000005</v>
      </c>
      <c r="AH158" s="144">
        <f t="shared" si="173"/>
        <v>2904000.0000000005</v>
      </c>
      <c r="AI158" s="144">
        <f t="shared" si="173"/>
        <v>3630000.0000000005</v>
      </c>
      <c r="AJ158" s="144">
        <f t="shared" si="173"/>
        <v>3630000.0000000005</v>
      </c>
      <c r="AK158" s="144">
        <f t="shared" si="173"/>
        <v>3630000.0000000005</v>
      </c>
      <c r="AL158" s="144">
        <f t="shared" si="173"/>
        <v>6006000</v>
      </c>
      <c r="AM158" s="144">
        <f t="shared" si="173"/>
        <v>6732000</v>
      </c>
      <c r="AN158" s="144">
        <f t="shared" si="173"/>
        <v>6732000</v>
      </c>
      <c r="AO158" s="144">
        <f t="shared" si="173"/>
        <v>6732000</v>
      </c>
      <c r="AP158" s="144">
        <f t="shared" si="173"/>
        <v>9108000</v>
      </c>
      <c r="AQ158" s="146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6"/>
      <c r="BD158" s="146"/>
      <c r="BE158" s="142"/>
      <c r="BF158" s="142"/>
      <c r="BG158" s="142"/>
      <c r="BH158" s="146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  <c r="BT158" s="142"/>
      <c r="BU158" s="142"/>
      <c r="BV158" s="142"/>
      <c r="BW158" s="142"/>
      <c r="BX158" s="142"/>
      <c r="BY158" s="142"/>
      <c r="BZ158" s="142"/>
      <c r="CA158" s="142"/>
    </row>
    <row r="159" spans="1:79" ht="14.25" hidden="1" customHeight="1" outlineLevel="2" x14ac:dyDescent="0.25">
      <c r="A159" s="142"/>
      <c r="B159" s="142" t="s">
        <v>20</v>
      </c>
      <c r="C159" s="142"/>
      <c r="D159" s="142"/>
      <c r="E159" s="142"/>
      <c r="F159" s="80"/>
      <c r="G159" s="143"/>
      <c r="H159" s="143"/>
      <c r="I159" s="143"/>
      <c r="J159" s="143"/>
      <c r="K159" s="143"/>
      <c r="L159" s="142"/>
      <c r="M159" s="144">
        <f t="shared" ref="M159:AP159" si="174">M459</f>
        <v>0</v>
      </c>
      <c r="N159" s="144">
        <f t="shared" si="174"/>
        <v>0</v>
      </c>
      <c r="O159" s="144">
        <f t="shared" si="174"/>
        <v>0</v>
      </c>
      <c r="P159" s="144">
        <f t="shared" si="174"/>
        <v>0</v>
      </c>
      <c r="Q159" s="144">
        <f t="shared" si="174"/>
        <v>0</v>
      </c>
      <c r="R159" s="144">
        <f t="shared" si="174"/>
        <v>0</v>
      </c>
      <c r="S159" s="145">
        <f t="shared" si="174"/>
        <v>0</v>
      </c>
      <c r="T159" s="144">
        <f t="shared" si="174"/>
        <v>0</v>
      </c>
      <c r="U159" s="144">
        <f t="shared" si="174"/>
        <v>0</v>
      </c>
      <c r="V159" s="144">
        <f t="shared" si="174"/>
        <v>0</v>
      </c>
      <c r="W159" s="144">
        <f t="shared" si="174"/>
        <v>0</v>
      </c>
      <c r="X159" s="144">
        <f t="shared" si="174"/>
        <v>0</v>
      </c>
      <c r="Y159" s="144">
        <f t="shared" si="174"/>
        <v>0</v>
      </c>
      <c r="Z159" s="144">
        <f t="shared" si="174"/>
        <v>0</v>
      </c>
      <c r="AA159" s="144">
        <f t="shared" si="174"/>
        <v>0</v>
      </c>
      <c r="AB159" s="144">
        <f t="shared" si="174"/>
        <v>0</v>
      </c>
      <c r="AC159" s="144">
        <f t="shared" si="174"/>
        <v>0</v>
      </c>
      <c r="AD159" s="144">
        <f t="shared" si="174"/>
        <v>0</v>
      </c>
      <c r="AE159" s="145">
        <f t="shared" si="174"/>
        <v>0</v>
      </c>
      <c r="AF159" s="144">
        <f t="shared" si="174"/>
        <v>0</v>
      </c>
      <c r="AG159" s="144">
        <f t="shared" si="174"/>
        <v>0</v>
      </c>
      <c r="AH159" s="144">
        <f t="shared" si="174"/>
        <v>0</v>
      </c>
      <c r="AI159" s="144">
        <f t="shared" si="174"/>
        <v>0</v>
      </c>
      <c r="AJ159" s="144">
        <f t="shared" si="174"/>
        <v>0</v>
      </c>
      <c r="AK159" s="144">
        <f t="shared" si="174"/>
        <v>0</v>
      </c>
      <c r="AL159" s="144">
        <f t="shared" si="174"/>
        <v>0</v>
      </c>
      <c r="AM159" s="144">
        <f t="shared" si="174"/>
        <v>0</v>
      </c>
      <c r="AN159" s="144">
        <f t="shared" si="174"/>
        <v>0</v>
      </c>
      <c r="AO159" s="144">
        <f t="shared" si="174"/>
        <v>0</v>
      </c>
      <c r="AP159" s="144">
        <f t="shared" si="174"/>
        <v>0</v>
      </c>
      <c r="AQ159" s="146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6"/>
      <c r="BD159" s="146"/>
      <c r="BE159" s="142"/>
      <c r="BF159" s="142"/>
      <c r="BG159" s="142"/>
      <c r="BH159" s="146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2"/>
      <c r="BZ159" s="142"/>
      <c r="CA159" s="142"/>
    </row>
    <row r="160" spans="1:79" ht="14.25" hidden="1" customHeight="1" outlineLevel="2" x14ac:dyDescent="0.25">
      <c r="A160" s="142"/>
      <c r="B160" s="142" t="s">
        <v>19</v>
      </c>
      <c r="C160" s="142"/>
      <c r="D160" s="142"/>
      <c r="E160" s="142"/>
      <c r="F160" s="80"/>
      <c r="G160" s="143"/>
      <c r="H160" s="143"/>
      <c r="I160" s="143"/>
      <c r="J160" s="143"/>
      <c r="K160" s="143"/>
      <c r="L160" s="142"/>
      <c r="M160" s="144">
        <f t="shared" ref="M160:AP160" si="175">M517</f>
        <v>0</v>
      </c>
      <c r="N160" s="144">
        <f t="shared" si="175"/>
        <v>0</v>
      </c>
      <c r="O160" s="144">
        <f t="shared" si="175"/>
        <v>0</v>
      </c>
      <c r="P160" s="144">
        <f t="shared" si="175"/>
        <v>0</v>
      </c>
      <c r="Q160" s="144">
        <f t="shared" si="175"/>
        <v>0</v>
      </c>
      <c r="R160" s="144">
        <f t="shared" si="175"/>
        <v>0</v>
      </c>
      <c r="S160" s="145">
        <f t="shared" si="175"/>
        <v>0</v>
      </c>
      <c r="T160" s="144">
        <f t="shared" si="175"/>
        <v>0</v>
      </c>
      <c r="U160" s="144">
        <f t="shared" si="175"/>
        <v>0</v>
      </c>
      <c r="V160" s="144">
        <f t="shared" si="175"/>
        <v>0</v>
      </c>
      <c r="W160" s="144">
        <f t="shared" si="175"/>
        <v>0</v>
      </c>
      <c r="X160" s="144">
        <f t="shared" si="175"/>
        <v>0</v>
      </c>
      <c r="Y160" s="144">
        <f t="shared" si="175"/>
        <v>0</v>
      </c>
      <c r="Z160" s="144">
        <f t="shared" si="175"/>
        <v>0</v>
      </c>
      <c r="AA160" s="144">
        <f t="shared" si="175"/>
        <v>0</v>
      </c>
      <c r="AB160" s="144">
        <f t="shared" si="175"/>
        <v>3600</v>
      </c>
      <c r="AC160" s="144">
        <f t="shared" si="175"/>
        <v>7200</v>
      </c>
      <c r="AD160" s="144">
        <f t="shared" si="175"/>
        <v>10800</v>
      </c>
      <c r="AE160" s="145">
        <f t="shared" si="175"/>
        <v>24975</v>
      </c>
      <c r="AF160" s="144">
        <f t="shared" si="175"/>
        <v>34965</v>
      </c>
      <c r="AG160" s="144">
        <f t="shared" si="175"/>
        <v>44955</v>
      </c>
      <c r="AH160" s="144">
        <f t="shared" si="175"/>
        <v>54945</v>
      </c>
      <c r="AI160" s="144">
        <f t="shared" si="175"/>
        <v>64935</v>
      </c>
      <c r="AJ160" s="144">
        <f t="shared" si="175"/>
        <v>74925</v>
      </c>
      <c r="AK160" s="144">
        <f t="shared" si="175"/>
        <v>84915</v>
      </c>
      <c r="AL160" s="144">
        <f t="shared" si="175"/>
        <v>99900</v>
      </c>
      <c r="AM160" s="144">
        <f t="shared" si="175"/>
        <v>114885</v>
      </c>
      <c r="AN160" s="144">
        <f t="shared" si="175"/>
        <v>129870</v>
      </c>
      <c r="AO160" s="144">
        <f t="shared" si="175"/>
        <v>144855</v>
      </c>
      <c r="AP160" s="144">
        <f t="shared" si="175"/>
        <v>159840</v>
      </c>
      <c r="AQ160" s="146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6"/>
      <c r="BD160" s="146"/>
      <c r="BE160" s="142"/>
      <c r="BF160" s="142"/>
      <c r="BG160" s="142"/>
      <c r="BH160" s="146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  <c r="BT160" s="142"/>
      <c r="BU160" s="142"/>
      <c r="BV160" s="142"/>
      <c r="BW160" s="142"/>
      <c r="BX160" s="142"/>
      <c r="BY160" s="142"/>
      <c r="BZ160" s="142"/>
      <c r="CA160" s="142"/>
    </row>
    <row r="161" spans="1:79" ht="14.25" hidden="1" customHeight="1" outlineLevel="2" x14ac:dyDescent="0.25">
      <c r="A161" s="142"/>
      <c r="B161" s="142"/>
      <c r="C161" s="142"/>
      <c r="D161" s="142"/>
      <c r="E161" s="142"/>
      <c r="F161" s="152"/>
      <c r="G161" s="143"/>
      <c r="H161" s="143"/>
      <c r="I161" s="143"/>
      <c r="J161" s="143"/>
      <c r="K161" s="143"/>
      <c r="L161" s="142"/>
      <c r="M161" s="142"/>
      <c r="N161" s="142"/>
      <c r="O161" s="142"/>
      <c r="P161" s="142"/>
      <c r="Q161" s="142"/>
      <c r="R161" s="142"/>
      <c r="S161" s="145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5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6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6"/>
      <c r="BD161" s="146"/>
      <c r="BE161" s="142"/>
      <c r="BF161" s="142"/>
      <c r="BG161" s="142"/>
      <c r="BH161" s="146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  <c r="BT161" s="142"/>
      <c r="BU161" s="142"/>
      <c r="BV161" s="142"/>
      <c r="BW161" s="142"/>
      <c r="BX161" s="142"/>
      <c r="BY161" s="142"/>
      <c r="BZ161" s="142"/>
      <c r="CA161" s="142"/>
    </row>
    <row r="162" spans="1:79" ht="14.25" customHeight="1" outlineLevel="1" collapsed="1" x14ac:dyDescent="0.25">
      <c r="A162" s="22"/>
      <c r="B162" s="22"/>
      <c r="C162" s="22"/>
      <c r="D162" s="22"/>
      <c r="E162" s="22"/>
      <c r="F162" s="80"/>
      <c r="G162" s="82"/>
      <c r="H162" s="82"/>
      <c r="I162" s="82"/>
      <c r="J162" s="82"/>
      <c r="K162" s="82"/>
      <c r="L162" s="22"/>
      <c r="M162" s="22"/>
      <c r="N162" s="22"/>
      <c r="O162" s="22"/>
      <c r="P162" s="22"/>
      <c r="Q162" s="22"/>
      <c r="R162" s="22"/>
      <c r="S162" s="31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31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31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31"/>
      <c r="BD162" s="31"/>
      <c r="BE162" s="22"/>
      <c r="BF162" s="22"/>
      <c r="BG162" s="22"/>
      <c r="BH162" s="31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</row>
    <row r="163" spans="1:79" ht="14.25" customHeight="1" outlineLevel="1" x14ac:dyDescent="0.25">
      <c r="A163" s="30" t="s">
        <v>227</v>
      </c>
      <c r="B163" s="30"/>
      <c r="C163" s="30"/>
      <c r="D163" s="30"/>
      <c r="E163" s="30"/>
      <c r="F163" s="110"/>
      <c r="G163" s="138"/>
      <c r="H163" s="138"/>
      <c r="I163" s="138"/>
      <c r="J163" s="138"/>
      <c r="K163" s="138"/>
      <c r="L163" s="30"/>
      <c r="M163" s="126">
        <f t="shared" ref="M163:AP163" si="176">SUM(M165:M173)</f>
        <v>25449.146373389434</v>
      </c>
      <c r="N163" s="126">
        <f t="shared" si="176"/>
        <v>180381.6301313306</v>
      </c>
      <c r="O163" s="126">
        <f t="shared" si="176"/>
        <v>265921.54746671941</v>
      </c>
      <c r="P163" s="126">
        <f t="shared" si="176"/>
        <v>352096.70833333337</v>
      </c>
      <c r="Q163" s="126">
        <f t="shared" si="176"/>
        <v>378001.70833333337</v>
      </c>
      <c r="R163" s="126">
        <f t="shared" si="176"/>
        <v>223976.70833333337</v>
      </c>
      <c r="S163" s="127">
        <f t="shared" si="176"/>
        <v>292739.41666666669</v>
      </c>
      <c r="T163" s="126">
        <f t="shared" si="176"/>
        <v>270612.125</v>
      </c>
      <c r="U163" s="126">
        <f t="shared" si="176"/>
        <v>329702.05833333323</v>
      </c>
      <c r="V163" s="126">
        <f t="shared" si="176"/>
        <v>320632.09999999986</v>
      </c>
      <c r="W163" s="126">
        <f t="shared" si="176"/>
        <v>223431.43333333323</v>
      </c>
      <c r="X163" s="126">
        <f t="shared" si="176"/>
        <v>316590.90833333338</v>
      </c>
      <c r="Y163" s="126">
        <f t="shared" si="176"/>
        <v>419060.24999999983</v>
      </c>
      <c r="Z163" s="126">
        <f t="shared" si="176"/>
        <v>704955.90733333316</v>
      </c>
      <c r="AA163" s="126">
        <f t="shared" si="176"/>
        <v>808538.47052999993</v>
      </c>
      <c r="AB163" s="126">
        <f t="shared" si="176"/>
        <v>1091605.0580807666</v>
      </c>
      <c r="AC163" s="126">
        <f t="shared" si="176"/>
        <v>1509116.9227716771</v>
      </c>
      <c r="AD163" s="126">
        <f t="shared" si="176"/>
        <v>1796949.3051651935</v>
      </c>
      <c r="AE163" s="127">
        <f t="shared" si="176"/>
        <v>2091946.3227630376</v>
      </c>
      <c r="AF163" s="126">
        <f t="shared" si="176"/>
        <v>2519869.265685657</v>
      </c>
      <c r="AG163" s="126">
        <f t="shared" si="176"/>
        <v>2839299.1179503808</v>
      </c>
      <c r="AH163" s="126">
        <f t="shared" si="176"/>
        <v>3237683.3518126537</v>
      </c>
      <c r="AI163" s="126">
        <f t="shared" si="176"/>
        <v>3531312.1841977872</v>
      </c>
      <c r="AJ163" s="126">
        <f t="shared" si="176"/>
        <v>3922891.8525498617</v>
      </c>
      <c r="AK163" s="126">
        <f t="shared" si="176"/>
        <v>4192936.821474947</v>
      </c>
      <c r="AL163" s="126">
        <f t="shared" si="176"/>
        <v>4471271.8930024067</v>
      </c>
      <c r="AM163" s="126">
        <f t="shared" si="176"/>
        <v>5218309.9807711132</v>
      </c>
      <c r="AN163" s="126">
        <f t="shared" si="176"/>
        <v>5604240.90927146</v>
      </c>
      <c r="AO163" s="126">
        <f t="shared" si="176"/>
        <v>5879129.533497341</v>
      </c>
      <c r="AP163" s="126">
        <f t="shared" si="176"/>
        <v>6148968.8086567689</v>
      </c>
      <c r="AQ163" s="111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111"/>
      <c r="BD163" s="111"/>
      <c r="BE163" s="30"/>
      <c r="BF163" s="30"/>
      <c r="BG163" s="30"/>
      <c r="BH163" s="111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</row>
    <row r="164" spans="1:79" ht="14.25" customHeight="1" outlineLevel="1" x14ac:dyDescent="0.25">
      <c r="A164" s="22"/>
      <c r="B164" s="22"/>
      <c r="C164" s="22"/>
      <c r="D164" s="22"/>
      <c r="E164" s="22"/>
      <c r="F164" s="80"/>
      <c r="G164" s="82"/>
      <c r="H164" s="82"/>
      <c r="I164" s="82"/>
      <c r="J164" s="82"/>
      <c r="K164" s="82"/>
      <c r="L164" s="22"/>
      <c r="M164" s="22"/>
      <c r="N164" s="22"/>
      <c r="O164" s="22"/>
      <c r="P164" s="22"/>
      <c r="Q164" s="22"/>
      <c r="R164" s="22"/>
      <c r="S164" s="31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31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31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31"/>
      <c r="BD164" s="31"/>
      <c r="BE164" s="22"/>
      <c r="BF164" s="22"/>
      <c r="BG164" s="22"/>
      <c r="BH164" s="31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</row>
    <row r="165" spans="1:79" ht="14.25" customHeight="1" outlineLevel="1" x14ac:dyDescent="0.25">
      <c r="A165" s="22"/>
      <c r="B165" s="22" t="s">
        <v>13</v>
      </c>
      <c r="C165" s="22"/>
      <c r="D165" s="22"/>
      <c r="E165" s="22"/>
      <c r="F165" s="80"/>
      <c r="G165" s="82"/>
      <c r="H165" s="82"/>
      <c r="I165" s="82"/>
      <c r="J165" s="82"/>
      <c r="K165" s="82"/>
      <c r="L165" s="22"/>
      <c r="M165" s="116">
        <f t="shared" ref="M165:AP165" si="177">M206</f>
        <v>324312.43804005609</v>
      </c>
      <c r="N165" s="116">
        <f t="shared" si="177"/>
        <v>323944.92179799726</v>
      </c>
      <c r="O165" s="116">
        <f t="shared" si="177"/>
        <v>320409.83913338603</v>
      </c>
      <c r="P165" s="116">
        <f t="shared" si="177"/>
        <v>474315</v>
      </c>
      <c r="Q165" s="116">
        <f t="shared" si="177"/>
        <v>550265</v>
      </c>
      <c r="R165" s="116">
        <f t="shared" si="177"/>
        <v>513490</v>
      </c>
      <c r="S165" s="125">
        <f t="shared" si="177"/>
        <v>566360</v>
      </c>
      <c r="T165" s="116">
        <f t="shared" si="177"/>
        <v>586155</v>
      </c>
      <c r="U165" s="116">
        <f t="shared" si="177"/>
        <v>599020</v>
      </c>
      <c r="V165" s="116">
        <f t="shared" si="177"/>
        <v>611885</v>
      </c>
      <c r="W165" s="116">
        <f t="shared" si="177"/>
        <v>624750</v>
      </c>
      <c r="X165" s="116">
        <f t="shared" si="177"/>
        <v>637615</v>
      </c>
      <c r="Y165" s="116">
        <f t="shared" si="177"/>
        <v>650480</v>
      </c>
      <c r="Z165" s="116">
        <f t="shared" si="177"/>
        <v>663345</v>
      </c>
      <c r="AA165" s="116">
        <f t="shared" si="177"/>
        <v>676210</v>
      </c>
      <c r="AB165" s="116">
        <f t="shared" si="177"/>
        <v>689075</v>
      </c>
      <c r="AC165" s="116">
        <f t="shared" si="177"/>
        <v>701940</v>
      </c>
      <c r="AD165" s="116">
        <f t="shared" si="177"/>
        <v>714805</v>
      </c>
      <c r="AE165" s="125">
        <f t="shared" si="177"/>
        <v>727670</v>
      </c>
      <c r="AF165" s="116">
        <f t="shared" si="177"/>
        <v>740535</v>
      </c>
      <c r="AG165" s="116">
        <f t="shared" si="177"/>
        <v>753400</v>
      </c>
      <c r="AH165" s="116">
        <f t="shared" si="177"/>
        <v>766265</v>
      </c>
      <c r="AI165" s="116">
        <f t="shared" si="177"/>
        <v>779130</v>
      </c>
      <c r="AJ165" s="116">
        <f t="shared" si="177"/>
        <v>791995</v>
      </c>
      <c r="AK165" s="116">
        <f t="shared" si="177"/>
        <v>804860</v>
      </c>
      <c r="AL165" s="116">
        <f t="shared" si="177"/>
        <v>817725</v>
      </c>
      <c r="AM165" s="116">
        <f t="shared" si="177"/>
        <v>830590</v>
      </c>
      <c r="AN165" s="116">
        <f t="shared" si="177"/>
        <v>843455</v>
      </c>
      <c r="AO165" s="116">
        <f t="shared" si="177"/>
        <v>856320</v>
      </c>
      <c r="AP165" s="116">
        <f t="shared" si="177"/>
        <v>869185</v>
      </c>
      <c r="AQ165" s="31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31"/>
      <c r="BD165" s="31"/>
      <c r="BE165" s="22"/>
      <c r="BF165" s="22"/>
      <c r="BG165" s="22"/>
      <c r="BH165" s="31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</row>
    <row r="166" spans="1:79" ht="14.25" customHeight="1" outlineLevel="1" x14ac:dyDescent="0.25">
      <c r="A166" s="22"/>
      <c r="B166" s="22" t="s">
        <v>222</v>
      </c>
      <c r="C166" s="22"/>
      <c r="D166" s="22"/>
      <c r="E166" s="22"/>
      <c r="F166" s="80"/>
      <c r="G166" s="82"/>
      <c r="H166" s="82"/>
      <c r="I166" s="82"/>
      <c r="J166" s="82"/>
      <c r="K166" s="82"/>
      <c r="L166" s="22"/>
      <c r="M166" s="116">
        <f t="shared" ref="M166:AP166" si="178">M250</f>
        <v>24290</v>
      </c>
      <c r="N166" s="116">
        <f t="shared" si="178"/>
        <v>46130</v>
      </c>
      <c r="O166" s="116">
        <f t="shared" si="178"/>
        <v>63620</v>
      </c>
      <c r="P166" s="116">
        <f t="shared" si="178"/>
        <v>49290</v>
      </c>
      <c r="Q166" s="116">
        <f t="shared" si="178"/>
        <v>49645</v>
      </c>
      <c r="R166" s="116">
        <f t="shared" si="178"/>
        <v>34195</v>
      </c>
      <c r="S166" s="125">
        <f t="shared" si="178"/>
        <v>70445</v>
      </c>
      <c r="T166" s="116">
        <f t="shared" si="178"/>
        <v>117195</v>
      </c>
      <c r="U166" s="116">
        <f t="shared" si="178"/>
        <v>136528.33333333331</v>
      </c>
      <c r="V166" s="116">
        <f t="shared" si="178"/>
        <v>155861.66666666663</v>
      </c>
      <c r="W166" s="116">
        <f t="shared" si="178"/>
        <v>175194.99999999997</v>
      </c>
      <c r="X166" s="116">
        <f t="shared" si="178"/>
        <v>194528.33333333328</v>
      </c>
      <c r="Y166" s="116">
        <f t="shared" si="178"/>
        <v>213861.6666666666</v>
      </c>
      <c r="Z166" s="116">
        <f t="shared" si="178"/>
        <v>233194.99999999994</v>
      </c>
      <c r="AA166" s="116">
        <f t="shared" si="178"/>
        <v>252528.33333333326</v>
      </c>
      <c r="AB166" s="116">
        <f t="shared" si="178"/>
        <v>271861.66666666651</v>
      </c>
      <c r="AC166" s="116">
        <f t="shared" si="178"/>
        <v>291194.99999999988</v>
      </c>
      <c r="AD166" s="116">
        <f t="shared" si="178"/>
        <v>310528.33333333326</v>
      </c>
      <c r="AE166" s="125">
        <f t="shared" si="178"/>
        <v>329861.66666666663</v>
      </c>
      <c r="AF166" s="116">
        <f t="shared" si="178"/>
        <v>349195</v>
      </c>
      <c r="AG166" s="116">
        <f t="shared" si="178"/>
        <v>368528.33333333337</v>
      </c>
      <c r="AH166" s="116">
        <f t="shared" si="178"/>
        <v>387861.66666666674</v>
      </c>
      <c r="AI166" s="116">
        <f t="shared" si="178"/>
        <v>407195.00000000006</v>
      </c>
      <c r="AJ166" s="116">
        <f t="shared" si="178"/>
        <v>426528.33333333343</v>
      </c>
      <c r="AK166" s="116">
        <f t="shared" si="178"/>
        <v>445861.6666666668</v>
      </c>
      <c r="AL166" s="116">
        <f t="shared" si="178"/>
        <v>465195.00000000012</v>
      </c>
      <c r="AM166" s="116">
        <f t="shared" si="178"/>
        <v>484528.33333333349</v>
      </c>
      <c r="AN166" s="116">
        <f t="shared" si="178"/>
        <v>503861.66666666686</v>
      </c>
      <c r="AO166" s="116">
        <f t="shared" si="178"/>
        <v>523195.00000000023</v>
      </c>
      <c r="AP166" s="116">
        <f t="shared" si="178"/>
        <v>542528.33333333349</v>
      </c>
      <c r="AQ166" s="31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31"/>
      <c r="BD166" s="31"/>
      <c r="BE166" s="22"/>
      <c r="BF166" s="22"/>
      <c r="BG166" s="22"/>
      <c r="BH166" s="31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</row>
    <row r="167" spans="1:79" ht="14.25" customHeight="1" outlineLevel="1" x14ac:dyDescent="0.25">
      <c r="A167" s="22"/>
      <c r="B167" s="22" t="s">
        <v>15</v>
      </c>
      <c r="C167" s="22"/>
      <c r="D167" s="22"/>
      <c r="E167" s="22"/>
      <c r="F167" s="80"/>
      <c r="G167" s="82"/>
      <c r="H167" s="82"/>
      <c r="I167" s="82"/>
      <c r="J167" s="82"/>
      <c r="K167" s="82"/>
      <c r="L167" s="22"/>
      <c r="M167" s="116">
        <f t="shared" ref="M167:AP167" si="179">M293</f>
        <v>-121108.29166666666</v>
      </c>
      <c r="N167" s="116">
        <f t="shared" si="179"/>
        <v>-141108.29166666666</v>
      </c>
      <c r="O167" s="116">
        <f t="shared" si="179"/>
        <v>-118108.29166666666</v>
      </c>
      <c r="P167" s="116">
        <f t="shared" si="179"/>
        <v>-171508.29166666666</v>
      </c>
      <c r="Q167" s="116">
        <f t="shared" si="179"/>
        <v>-221908.29166666666</v>
      </c>
      <c r="R167" s="116">
        <f t="shared" si="179"/>
        <v>-299708.29166666663</v>
      </c>
      <c r="S167" s="125">
        <f t="shared" si="179"/>
        <v>-338565.58333333331</v>
      </c>
      <c r="T167" s="116">
        <f t="shared" si="179"/>
        <v>-421737.875</v>
      </c>
      <c r="U167" s="116">
        <f t="shared" si="179"/>
        <v>-431846.27500000002</v>
      </c>
      <c r="V167" s="116">
        <f t="shared" si="179"/>
        <v>-510114.56666666677</v>
      </c>
      <c r="W167" s="116">
        <f t="shared" si="179"/>
        <v>-676513.56666666677</v>
      </c>
      <c r="X167" s="116">
        <f t="shared" si="179"/>
        <v>-663915.96666666656</v>
      </c>
      <c r="Y167" s="116">
        <f t="shared" si="179"/>
        <v>-659585.65833333344</v>
      </c>
      <c r="Z167" s="116">
        <f t="shared" si="179"/>
        <v>-579189.45833333349</v>
      </c>
      <c r="AA167" s="116">
        <f t="shared" si="179"/>
        <v>-574258.94999999995</v>
      </c>
      <c r="AB167" s="116">
        <f t="shared" si="179"/>
        <v>-377464.75</v>
      </c>
      <c r="AC167" s="116">
        <f t="shared" si="179"/>
        <v>-179470.54999999981</v>
      </c>
      <c r="AD167" s="116">
        <f t="shared" si="179"/>
        <v>17923.850000000093</v>
      </c>
      <c r="AE167" s="125">
        <f t="shared" si="179"/>
        <v>194838.2416666667</v>
      </c>
      <c r="AF167" s="116">
        <f t="shared" si="179"/>
        <v>381432.84166666656</v>
      </c>
      <c r="AG167" s="116">
        <f t="shared" si="179"/>
        <v>562427.84166666633</v>
      </c>
      <c r="AH167" s="116">
        <f t="shared" si="179"/>
        <v>730823.2416666667</v>
      </c>
      <c r="AI167" s="116">
        <f t="shared" si="179"/>
        <v>885351.54999999981</v>
      </c>
      <c r="AJ167" s="116">
        <f t="shared" si="179"/>
        <v>1037947.3500000001</v>
      </c>
      <c r="AK167" s="116">
        <f t="shared" si="179"/>
        <v>1173743.3500000001</v>
      </c>
      <c r="AL167" s="116">
        <f t="shared" si="179"/>
        <v>1302539.75</v>
      </c>
      <c r="AM167" s="116">
        <f t="shared" si="179"/>
        <v>1423536.5499999998</v>
      </c>
      <c r="AN167" s="116">
        <f t="shared" si="179"/>
        <v>1540733.1500000004</v>
      </c>
      <c r="AO167" s="116">
        <f t="shared" si="179"/>
        <v>1644462.8583333334</v>
      </c>
      <c r="AP167" s="116">
        <f t="shared" si="179"/>
        <v>1746860.2583333328</v>
      </c>
      <c r="AQ167" s="31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31"/>
      <c r="BD167" s="31"/>
      <c r="BE167" s="22"/>
      <c r="BF167" s="22"/>
      <c r="BG167" s="22"/>
      <c r="BH167" s="31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</row>
    <row r="168" spans="1:79" ht="14.25" customHeight="1" outlineLevel="1" x14ac:dyDescent="0.25">
      <c r="A168" s="22"/>
      <c r="B168" s="22" t="s">
        <v>16</v>
      </c>
      <c r="C168" s="22"/>
      <c r="D168" s="22"/>
      <c r="E168" s="22"/>
      <c r="F168" s="80"/>
      <c r="G168" s="82"/>
      <c r="H168" s="82"/>
      <c r="I168" s="82"/>
      <c r="J168" s="82"/>
      <c r="K168" s="82"/>
      <c r="L168" s="22"/>
      <c r="M168" s="116">
        <f t="shared" ref="M168:AP168" si="180">M327</f>
        <v>0</v>
      </c>
      <c r="N168" s="116">
        <f t="shared" si="180"/>
        <v>0</v>
      </c>
      <c r="O168" s="116">
        <f t="shared" si="180"/>
        <v>0</v>
      </c>
      <c r="P168" s="116">
        <f t="shared" si="180"/>
        <v>0</v>
      </c>
      <c r="Q168" s="116">
        <f t="shared" si="180"/>
        <v>0</v>
      </c>
      <c r="R168" s="116">
        <f t="shared" si="180"/>
        <v>-24000</v>
      </c>
      <c r="S168" s="125">
        <f t="shared" si="180"/>
        <v>-5500</v>
      </c>
      <c r="T168" s="116">
        <f t="shared" si="180"/>
        <v>-11000</v>
      </c>
      <c r="U168" s="116">
        <f t="shared" si="180"/>
        <v>26000</v>
      </c>
      <c r="V168" s="116">
        <f t="shared" si="180"/>
        <v>63000</v>
      </c>
      <c r="W168" s="116">
        <f t="shared" si="180"/>
        <v>100000</v>
      </c>
      <c r="X168" s="116">
        <f t="shared" si="180"/>
        <v>137000</v>
      </c>
      <c r="Y168" s="116">
        <f t="shared" si="180"/>
        <v>174000</v>
      </c>
      <c r="Z168" s="116">
        <f t="shared" si="180"/>
        <v>211000</v>
      </c>
      <c r="AA168" s="116">
        <f t="shared" si="180"/>
        <v>248000</v>
      </c>
      <c r="AB168" s="116">
        <f t="shared" si="180"/>
        <v>285000</v>
      </c>
      <c r="AC168" s="116">
        <f t="shared" si="180"/>
        <v>322000</v>
      </c>
      <c r="AD168" s="116">
        <f t="shared" si="180"/>
        <v>359000</v>
      </c>
      <c r="AE168" s="125">
        <f t="shared" si="180"/>
        <v>396000</v>
      </c>
      <c r="AF168" s="116">
        <f t="shared" si="180"/>
        <v>433000</v>
      </c>
      <c r="AG168" s="116">
        <f t="shared" si="180"/>
        <v>470000</v>
      </c>
      <c r="AH168" s="116">
        <f t="shared" si="180"/>
        <v>507000</v>
      </c>
      <c r="AI168" s="116">
        <f t="shared" si="180"/>
        <v>544000</v>
      </c>
      <c r="AJ168" s="116">
        <f t="shared" si="180"/>
        <v>581000</v>
      </c>
      <c r="AK168" s="116">
        <f t="shared" si="180"/>
        <v>618000</v>
      </c>
      <c r="AL168" s="116">
        <f t="shared" si="180"/>
        <v>655000</v>
      </c>
      <c r="AM168" s="116">
        <f t="shared" si="180"/>
        <v>692000</v>
      </c>
      <c r="AN168" s="116">
        <f t="shared" si="180"/>
        <v>729000</v>
      </c>
      <c r="AO168" s="116">
        <f t="shared" si="180"/>
        <v>766000</v>
      </c>
      <c r="AP168" s="116">
        <f t="shared" si="180"/>
        <v>803000</v>
      </c>
      <c r="AQ168" s="31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31"/>
      <c r="BD168" s="31"/>
      <c r="BE168" s="22"/>
      <c r="BF168" s="22"/>
      <c r="BG168" s="22"/>
      <c r="BH168" s="31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</row>
    <row r="169" spans="1:79" ht="14.25" customHeight="1" outlineLevel="1" x14ac:dyDescent="0.25">
      <c r="A169" s="22"/>
      <c r="B169" s="22" t="s">
        <v>17</v>
      </c>
      <c r="C169" s="22"/>
      <c r="D169" s="22"/>
      <c r="E169" s="22"/>
      <c r="F169" s="80"/>
      <c r="G169" s="82"/>
      <c r="H169" s="82"/>
      <c r="I169" s="82"/>
      <c r="J169" s="82"/>
      <c r="K169" s="82"/>
      <c r="L169" s="22"/>
      <c r="M169" s="116">
        <f t="shared" ref="M169:AP169" si="181">M569</f>
        <v>0</v>
      </c>
      <c r="N169" s="116">
        <f t="shared" si="181"/>
        <v>0</v>
      </c>
      <c r="O169" s="116">
        <f t="shared" si="181"/>
        <v>0</v>
      </c>
      <c r="P169" s="116">
        <f t="shared" si="181"/>
        <v>0</v>
      </c>
      <c r="Q169" s="116">
        <f t="shared" si="181"/>
        <v>0</v>
      </c>
      <c r="R169" s="116">
        <f t="shared" si="181"/>
        <v>0</v>
      </c>
      <c r="S169" s="125">
        <f t="shared" si="181"/>
        <v>0</v>
      </c>
      <c r="T169" s="116">
        <f t="shared" si="181"/>
        <v>0</v>
      </c>
      <c r="U169" s="116">
        <f t="shared" si="181"/>
        <v>0</v>
      </c>
      <c r="V169" s="116">
        <f t="shared" si="181"/>
        <v>0</v>
      </c>
      <c r="W169" s="116">
        <f t="shared" si="181"/>
        <v>0</v>
      </c>
      <c r="X169" s="116">
        <f t="shared" si="181"/>
        <v>11363.541666666672</v>
      </c>
      <c r="Y169" s="116">
        <f t="shared" si="181"/>
        <v>40304.241666666654</v>
      </c>
      <c r="Z169" s="116">
        <f t="shared" si="181"/>
        <v>67705.365666666665</v>
      </c>
      <c r="AA169" s="116">
        <f t="shared" si="181"/>
        <v>97159.08719666666</v>
      </c>
      <c r="AB169" s="116">
        <f t="shared" si="181"/>
        <v>142004.80808076667</v>
      </c>
      <c r="AC169" s="116">
        <f t="shared" si="181"/>
        <v>179441.6394383437</v>
      </c>
      <c r="AD169" s="116">
        <f t="shared" si="181"/>
        <v>219615.45516519342</v>
      </c>
      <c r="AE169" s="125">
        <f t="shared" si="181"/>
        <v>260534.74776303768</v>
      </c>
      <c r="AF169" s="116">
        <f t="shared" si="181"/>
        <v>311614.75735232397</v>
      </c>
      <c r="AG169" s="116">
        <f t="shared" si="181"/>
        <v>370591.27628371457</v>
      </c>
      <c r="AH169" s="116">
        <f t="shared" si="181"/>
        <v>422638.44347932038</v>
      </c>
      <c r="AI169" s="116">
        <f t="shared" si="181"/>
        <v>482280.63419778744</v>
      </c>
      <c r="AJ169" s="116">
        <f t="shared" si="181"/>
        <v>545406.16921652807</v>
      </c>
      <c r="AK169" s="116">
        <f t="shared" si="181"/>
        <v>600196.80480828043</v>
      </c>
      <c r="AL169" s="116">
        <f t="shared" si="181"/>
        <v>676697.97633574018</v>
      </c>
      <c r="AM169" s="116">
        <f t="shared" si="181"/>
        <v>755450.93077111291</v>
      </c>
      <c r="AN169" s="116">
        <f t="shared" si="181"/>
        <v>839030.25927145977</v>
      </c>
      <c r="AO169" s="116">
        <f t="shared" si="181"/>
        <v>925600.84183067479</v>
      </c>
      <c r="AP169" s="116">
        <f t="shared" si="181"/>
        <v>1016787.7169901022</v>
      </c>
      <c r="AQ169" s="31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31"/>
      <c r="BD169" s="31"/>
      <c r="BE169" s="22"/>
      <c r="BF169" s="22"/>
      <c r="BG169" s="22"/>
      <c r="BH169" s="31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</row>
    <row r="170" spans="1:79" ht="14.25" customHeight="1" outlineLevel="1" x14ac:dyDescent="0.25">
      <c r="A170" s="22"/>
      <c r="B170" s="22" t="s">
        <v>18</v>
      </c>
      <c r="C170" s="22"/>
      <c r="D170" s="22"/>
      <c r="E170" s="22"/>
      <c r="F170" s="80"/>
      <c r="G170" s="82"/>
      <c r="H170" s="82"/>
      <c r="I170" s="82"/>
      <c r="J170" s="82"/>
      <c r="K170" s="82"/>
      <c r="L170" s="22"/>
      <c r="M170" s="116">
        <f t="shared" ref="M170:AP170" si="182">M418</f>
        <v>0</v>
      </c>
      <c r="N170" s="116">
        <f t="shared" si="182"/>
        <v>0</v>
      </c>
      <c r="O170" s="116">
        <f t="shared" si="182"/>
        <v>0</v>
      </c>
      <c r="P170" s="116">
        <f t="shared" si="182"/>
        <v>0</v>
      </c>
      <c r="Q170" s="116">
        <f t="shared" si="182"/>
        <v>0</v>
      </c>
      <c r="R170" s="116">
        <f t="shared" si="182"/>
        <v>0</v>
      </c>
      <c r="S170" s="125">
        <f t="shared" si="182"/>
        <v>0</v>
      </c>
      <c r="T170" s="116">
        <f t="shared" si="182"/>
        <v>0</v>
      </c>
      <c r="U170" s="116">
        <f t="shared" si="182"/>
        <v>0</v>
      </c>
      <c r="V170" s="116">
        <f t="shared" si="182"/>
        <v>0</v>
      </c>
      <c r="W170" s="116">
        <f t="shared" si="182"/>
        <v>0</v>
      </c>
      <c r="X170" s="116">
        <f t="shared" si="182"/>
        <v>0</v>
      </c>
      <c r="Y170" s="116">
        <f t="shared" si="182"/>
        <v>0</v>
      </c>
      <c r="Z170" s="116">
        <f t="shared" si="182"/>
        <v>108900</v>
      </c>
      <c r="AA170" s="116">
        <f t="shared" si="182"/>
        <v>108900</v>
      </c>
      <c r="AB170" s="116">
        <f t="shared" si="182"/>
        <v>108900</v>
      </c>
      <c r="AC170" s="116">
        <f t="shared" si="182"/>
        <v>217800</v>
      </c>
      <c r="AD170" s="116">
        <f t="shared" si="182"/>
        <v>217800</v>
      </c>
      <c r="AE170" s="125">
        <f t="shared" si="182"/>
        <v>217800</v>
      </c>
      <c r="AF170" s="116">
        <f t="shared" si="182"/>
        <v>326700</v>
      </c>
      <c r="AG170" s="116">
        <f t="shared" si="182"/>
        <v>326700</v>
      </c>
      <c r="AH170" s="116">
        <f t="shared" si="182"/>
        <v>435600</v>
      </c>
      <c r="AI170" s="116">
        <f t="shared" si="182"/>
        <v>435600</v>
      </c>
      <c r="AJ170" s="116">
        <f t="shared" si="182"/>
        <v>544500</v>
      </c>
      <c r="AK170" s="116">
        <f t="shared" si="182"/>
        <v>544500</v>
      </c>
      <c r="AL170" s="116">
        <f t="shared" si="182"/>
        <v>544500</v>
      </c>
      <c r="AM170" s="116">
        <f t="shared" si="182"/>
        <v>1019700</v>
      </c>
      <c r="AN170" s="116">
        <f t="shared" si="182"/>
        <v>1128600</v>
      </c>
      <c r="AO170" s="116">
        <f t="shared" si="182"/>
        <v>1128600</v>
      </c>
      <c r="AP170" s="116">
        <f t="shared" si="182"/>
        <v>1128600</v>
      </c>
      <c r="AQ170" s="31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31"/>
      <c r="BD170" s="31"/>
      <c r="BE170" s="22"/>
      <c r="BF170" s="22"/>
      <c r="BG170" s="22"/>
      <c r="BH170" s="31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</row>
    <row r="171" spans="1:79" ht="14.25" customHeight="1" outlineLevel="1" x14ac:dyDescent="0.25">
      <c r="A171" s="22"/>
      <c r="B171" s="22" t="s">
        <v>20</v>
      </c>
      <c r="C171" s="22"/>
      <c r="D171" s="22"/>
      <c r="E171" s="22"/>
      <c r="F171" s="80"/>
      <c r="G171" s="82"/>
      <c r="H171" s="82"/>
      <c r="I171" s="82"/>
      <c r="J171" s="82"/>
      <c r="K171" s="82"/>
      <c r="L171" s="22"/>
      <c r="M171" s="116">
        <f t="shared" ref="M171:AP171" si="183">M463</f>
        <v>0</v>
      </c>
      <c r="N171" s="116">
        <f t="shared" si="183"/>
        <v>0</v>
      </c>
      <c r="O171" s="116">
        <f t="shared" si="183"/>
        <v>0</v>
      </c>
      <c r="P171" s="116">
        <f t="shared" si="183"/>
        <v>0</v>
      </c>
      <c r="Q171" s="116">
        <f t="shared" si="183"/>
        <v>0</v>
      </c>
      <c r="R171" s="116">
        <f t="shared" si="183"/>
        <v>0</v>
      </c>
      <c r="S171" s="125">
        <f t="shared" si="183"/>
        <v>0</v>
      </c>
      <c r="T171" s="116">
        <f t="shared" si="183"/>
        <v>0</v>
      </c>
      <c r="U171" s="116">
        <f t="shared" si="183"/>
        <v>0</v>
      </c>
      <c r="V171" s="116">
        <f t="shared" si="183"/>
        <v>0</v>
      </c>
      <c r="W171" s="116">
        <f t="shared" si="183"/>
        <v>0</v>
      </c>
      <c r="X171" s="116">
        <f t="shared" si="183"/>
        <v>0</v>
      </c>
      <c r="Y171" s="116">
        <f t="shared" si="183"/>
        <v>0</v>
      </c>
      <c r="Z171" s="116">
        <f t="shared" si="183"/>
        <v>0</v>
      </c>
      <c r="AA171" s="116">
        <f t="shared" si="183"/>
        <v>0</v>
      </c>
      <c r="AB171" s="116">
        <f t="shared" si="183"/>
        <v>0</v>
      </c>
      <c r="AC171" s="116">
        <f t="shared" si="183"/>
        <v>0</v>
      </c>
      <c r="AD171" s="116">
        <f t="shared" si="183"/>
        <v>0</v>
      </c>
      <c r="AE171" s="125">
        <f t="shared" si="183"/>
        <v>0</v>
      </c>
      <c r="AF171" s="116">
        <f t="shared" si="183"/>
        <v>0</v>
      </c>
      <c r="AG171" s="116">
        <f t="shared" si="183"/>
        <v>0</v>
      </c>
      <c r="AH171" s="116">
        <f t="shared" si="183"/>
        <v>0</v>
      </c>
      <c r="AI171" s="116">
        <f t="shared" si="183"/>
        <v>0</v>
      </c>
      <c r="AJ171" s="116">
        <f t="shared" si="183"/>
        <v>0</v>
      </c>
      <c r="AK171" s="116">
        <f t="shared" si="183"/>
        <v>0</v>
      </c>
      <c r="AL171" s="116">
        <f t="shared" si="183"/>
        <v>0</v>
      </c>
      <c r="AM171" s="116">
        <f t="shared" si="183"/>
        <v>0</v>
      </c>
      <c r="AN171" s="116">
        <f t="shared" si="183"/>
        <v>0</v>
      </c>
      <c r="AO171" s="116">
        <f t="shared" si="183"/>
        <v>0</v>
      </c>
      <c r="AP171" s="116">
        <f t="shared" si="183"/>
        <v>0</v>
      </c>
      <c r="AQ171" s="31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31"/>
      <c r="BD171" s="31"/>
      <c r="BE171" s="22"/>
      <c r="BF171" s="22"/>
      <c r="BG171" s="22"/>
      <c r="BH171" s="31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</row>
    <row r="172" spans="1:79" ht="14.25" customHeight="1" outlineLevel="1" x14ac:dyDescent="0.25">
      <c r="A172" s="22"/>
      <c r="B172" s="22" t="s">
        <v>19</v>
      </c>
      <c r="C172" s="22"/>
      <c r="D172" s="22"/>
      <c r="E172" s="22"/>
      <c r="F172" s="80"/>
      <c r="G172" s="82"/>
      <c r="H172" s="82"/>
      <c r="I172" s="82"/>
      <c r="J172" s="82"/>
      <c r="K172" s="82"/>
      <c r="L172" s="22"/>
      <c r="M172" s="116"/>
      <c r="N172" s="22"/>
      <c r="O172" s="22"/>
      <c r="P172" s="22"/>
      <c r="Q172" s="22"/>
      <c r="R172" s="22"/>
      <c r="S172" s="31"/>
      <c r="T172" s="22"/>
      <c r="U172" s="22"/>
      <c r="V172" s="22"/>
      <c r="W172" s="22"/>
      <c r="X172" s="22"/>
      <c r="Y172" s="22"/>
      <c r="Z172" s="116">
        <f t="shared" ref="Z172:AP172" si="184">Z509</f>
        <v>0</v>
      </c>
      <c r="AA172" s="116">
        <f t="shared" si="184"/>
        <v>0</v>
      </c>
      <c r="AB172" s="116">
        <f t="shared" si="184"/>
        <v>-27771.666666666668</v>
      </c>
      <c r="AC172" s="116">
        <f t="shared" si="184"/>
        <v>-23789.166666666668</v>
      </c>
      <c r="AD172" s="116">
        <f t="shared" si="184"/>
        <v>-42723.333333333328</v>
      </c>
      <c r="AE172" s="125">
        <f t="shared" si="184"/>
        <v>-34758.333333333328</v>
      </c>
      <c r="AF172" s="116">
        <f t="shared" si="184"/>
        <v>-22608.333333333328</v>
      </c>
      <c r="AG172" s="116">
        <f t="shared" si="184"/>
        <v>-12348.333333333328</v>
      </c>
      <c r="AH172" s="116">
        <f t="shared" si="184"/>
        <v>-12505</v>
      </c>
      <c r="AI172" s="116">
        <f t="shared" si="184"/>
        <v>-2245</v>
      </c>
      <c r="AJ172" s="116">
        <f t="shared" si="184"/>
        <v>-4485</v>
      </c>
      <c r="AK172" s="116">
        <f t="shared" si="184"/>
        <v>5775</v>
      </c>
      <c r="AL172" s="116">
        <f t="shared" si="184"/>
        <v>9614.166666666657</v>
      </c>
      <c r="AM172" s="116">
        <f t="shared" si="184"/>
        <v>12504.166666666657</v>
      </c>
      <c r="AN172" s="116">
        <f t="shared" si="184"/>
        <v>19560.833333333314</v>
      </c>
      <c r="AO172" s="116">
        <f t="shared" si="184"/>
        <v>34950.833333333314</v>
      </c>
      <c r="AP172" s="116">
        <f t="shared" si="184"/>
        <v>42007.5</v>
      </c>
      <c r="AQ172" s="31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31"/>
      <c r="BD172" s="31"/>
      <c r="BE172" s="22"/>
      <c r="BF172" s="22"/>
      <c r="BG172" s="22"/>
      <c r="BH172" s="31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</row>
    <row r="173" spans="1:79" ht="14.25" customHeight="1" outlineLevel="1" x14ac:dyDescent="0.25">
      <c r="A173" s="22"/>
      <c r="B173" s="22" t="s">
        <v>228</v>
      </c>
      <c r="C173" s="22"/>
      <c r="D173" s="22"/>
      <c r="E173" s="22"/>
      <c r="F173" s="80"/>
      <c r="G173" s="82"/>
      <c r="H173" s="82"/>
      <c r="I173" s="82"/>
      <c r="J173" s="82"/>
      <c r="K173" s="82"/>
      <c r="L173" s="22"/>
      <c r="M173" s="116">
        <v>-202045</v>
      </c>
      <c r="N173" s="116">
        <v>-48585</v>
      </c>
      <c r="O173" s="116"/>
      <c r="P173" s="116"/>
      <c r="Q173" s="116"/>
      <c r="R173" s="116"/>
      <c r="S173" s="125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25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31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31"/>
      <c r="BD173" s="31"/>
      <c r="BE173" s="22"/>
      <c r="BF173" s="22"/>
      <c r="BG173" s="22"/>
      <c r="BH173" s="31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</row>
    <row r="174" spans="1:79" ht="14.25" customHeight="1" x14ac:dyDescent="0.25">
      <c r="A174" s="22"/>
      <c r="B174" s="22"/>
      <c r="C174" s="22"/>
      <c r="D174" s="22"/>
      <c r="E174" s="22"/>
      <c r="F174" s="80"/>
      <c r="G174" s="82"/>
      <c r="H174" s="82"/>
      <c r="I174" s="82"/>
      <c r="J174" s="82"/>
      <c r="K174" s="82"/>
      <c r="L174" s="22"/>
      <c r="M174" s="22"/>
      <c r="N174" s="22"/>
      <c r="O174" s="22"/>
      <c r="P174" s="22"/>
      <c r="Q174" s="22"/>
      <c r="R174" s="22"/>
      <c r="S174" s="31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31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31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31"/>
      <c r="BD174" s="31"/>
      <c r="BE174" s="22"/>
      <c r="BF174" s="22"/>
      <c r="BG174" s="22"/>
      <c r="BH174" s="31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</row>
    <row r="175" spans="1:79" ht="14.25" customHeight="1" x14ac:dyDescent="0.25">
      <c r="A175" s="153" t="s">
        <v>12</v>
      </c>
      <c r="B175" s="153"/>
      <c r="C175" s="153"/>
      <c r="D175" s="153"/>
      <c r="E175" s="153"/>
      <c r="F175" s="87"/>
      <c r="G175" s="154">
        <f t="shared" ref="G175:BB175" si="185">SUM(G178:G187)-G180</f>
        <v>697873</v>
      </c>
      <c r="H175" s="154">
        <f t="shared" si="185"/>
        <v>605304</v>
      </c>
      <c r="I175" s="154">
        <f t="shared" si="185"/>
        <v>937772</v>
      </c>
      <c r="J175" s="154">
        <f t="shared" si="185"/>
        <v>850512</v>
      </c>
      <c r="K175" s="154">
        <f t="shared" si="185"/>
        <v>991397</v>
      </c>
      <c r="L175" s="154">
        <f t="shared" si="185"/>
        <v>969551.60000000009</v>
      </c>
      <c r="M175" s="154">
        <f t="shared" si="185"/>
        <v>1012535.2782667722</v>
      </c>
      <c r="N175" s="154">
        <f t="shared" si="185"/>
        <v>1263146.6000000001</v>
      </c>
      <c r="O175" s="154">
        <f t="shared" si="185"/>
        <v>1537039.2000000002</v>
      </c>
      <c r="P175" s="154">
        <f t="shared" si="185"/>
        <v>1593096.7999999998</v>
      </c>
      <c r="Q175" s="154">
        <f t="shared" si="185"/>
        <v>1981583</v>
      </c>
      <c r="R175" s="154">
        <f t="shared" si="185"/>
        <v>2228080.7999999998</v>
      </c>
      <c r="S175" s="155">
        <f t="shared" si="185"/>
        <v>2656798.333333333</v>
      </c>
      <c r="T175" s="154">
        <f t="shared" si="185"/>
        <v>3078515.8666666667</v>
      </c>
      <c r="U175" s="154">
        <f t="shared" si="185"/>
        <v>3495233.5999999996</v>
      </c>
      <c r="V175" s="154">
        <f t="shared" si="185"/>
        <v>3899951.5333333341</v>
      </c>
      <c r="W175" s="154">
        <f t="shared" si="185"/>
        <v>4297669.4666666668</v>
      </c>
      <c r="X175" s="154">
        <f t="shared" si="185"/>
        <v>4719996.9666666668</v>
      </c>
      <c r="Y175" s="154">
        <f t="shared" si="185"/>
        <v>5962647.5083333338</v>
      </c>
      <c r="Z175" s="154">
        <f t="shared" si="185"/>
        <v>6361094.3040833324</v>
      </c>
      <c r="AA175" s="154">
        <f t="shared" si="185"/>
        <v>6750537.1731275003</v>
      </c>
      <c r="AB175" s="154">
        <f t="shared" si="185"/>
        <v>7965392.5101836761</v>
      </c>
      <c r="AC175" s="154">
        <f t="shared" si="185"/>
        <v>8339033.9202198312</v>
      </c>
      <c r="AD175" s="154">
        <f t="shared" si="185"/>
        <v>8706757.5458557382</v>
      </c>
      <c r="AE175" s="155">
        <f t="shared" si="185"/>
        <v>9919983.9717152975</v>
      </c>
      <c r="AF175" s="154">
        <f t="shared" si="185"/>
        <v>10291858.497158624</v>
      </c>
      <c r="AG175" s="154">
        <f t="shared" si="185"/>
        <v>11487420.729290616</v>
      </c>
      <c r="AH175" s="154">
        <f t="shared" si="185"/>
        <v>11843384.650995718</v>
      </c>
      <c r="AI175" s="154">
        <f t="shared" si="185"/>
        <v>13028923.196349707</v>
      </c>
      <c r="AJ175" s="154">
        <f t="shared" si="185"/>
        <v>13379637.440667121</v>
      </c>
      <c r="AK175" s="154">
        <f t="shared" si="185"/>
        <v>13728859.741164975</v>
      </c>
      <c r="AL175" s="154">
        <f t="shared" si="185"/>
        <v>16938469.164118659</v>
      </c>
      <c r="AM175" s="154">
        <f t="shared" si="185"/>
        <v>18126256.113452159</v>
      </c>
      <c r="AN175" s="154">
        <f t="shared" si="185"/>
        <v>18481162.976899542</v>
      </c>
      <c r="AO175" s="154">
        <f t="shared" si="185"/>
        <v>18836674.607164919</v>
      </c>
      <c r="AP175" s="154">
        <f t="shared" si="185"/>
        <v>22051622.15690146</v>
      </c>
      <c r="AQ175" s="155">
        <f t="shared" si="185"/>
        <v>0</v>
      </c>
      <c r="AR175" s="154">
        <f t="shared" si="185"/>
        <v>0</v>
      </c>
      <c r="AS175" s="154">
        <f t="shared" si="185"/>
        <v>0</v>
      </c>
      <c r="AT175" s="154">
        <f t="shared" si="185"/>
        <v>0</v>
      </c>
      <c r="AU175" s="154">
        <f t="shared" si="185"/>
        <v>0</v>
      </c>
      <c r="AV175" s="154">
        <f t="shared" si="185"/>
        <v>0</v>
      </c>
      <c r="AW175" s="154">
        <f t="shared" si="185"/>
        <v>0</v>
      </c>
      <c r="AX175" s="154">
        <f t="shared" si="185"/>
        <v>0</v>
      </c>
      <c r="AY175" s="154">
        <f t="shared" si="185"/>
        <v>0</v>
      </c>
      <c r="AZ175" s="154">
        <f t="shared" si="185"/>
        <v>0</v>
      </c>
      <c r="BA175" s="154">
        <f t="shared" si="185"/>
        <v>0</v>
      </c>
      <c r="BB175" s="154">
        <f t="shared" si="185"/>
        <v>0</v>
      </c>
      <c r="BC175" s="155"/>
      <c r="BD175" s="155">
        <f t="shared" ref="BD175:BG175" si="186">SUM(BD178:BD187)-BD180</f>
        <v>0</v>
      </c>
      <c r="BE175" s="154">
        <f t="shared" si="186"/>
        <v>14667891.278266773</v>
      </c>
      <c r="BF175" s="154">
        <f t="shared" si="186"/>
        <v>66233628.728470087</v>
      </c>
      <c r="BG175" s="154">
        <f t="shared" si="186"/>
        <v>178114253.24587882</v>
      </c>
      <c r="BH175" s="156"/>
      <c r="BI175" s="153"/>
      <c r="BJ175" s="153"/>
      <c r="BK175" s="153"/>
      <c r="BL175" s="153"/>
      <c r="BM175" s="153"/>
      <c r="BN175" s="153"/>
      <c r="BO175" s="153"/>
      <c r="BP175" s="153"/>
      <c r="BQ175" s="153"/>
      <c r="BR175" s="153"/>
      <c r="BS175" s="153"/>
      <c r="BT175" s="153"/>
      <c r="BU175" s="153"/>
      <c r="BV175" s="153"/>
      <c r="BW175" s="153"/>
      <c r="BX175" s="153"/>
      <c r="BY175" s="153"/>
      <c r="BZ175" s="153"/>
      <c r="CA175" s="153"/>
    </row>
    <row r="176" spans="1:79" ht="14.25" hidden="1" customHeight="1" outlineLevel="1" x14ac:dyDescent="0.25">
      <c r="A176" s="22"/>
      <c r="B176" s="22"/>
      <c r="C176" s="22"/>
      <c r="D176" s="22"/>
      <c r="E176" s="22"/>
      <c r="F176" s="80"/>
      <c r="G176" s="82"/>
      <c r="H176" s="82"/>
      <c r="I176" s="82"/>
      <c r="J176" s="82"/>
      <c r="K176" s="82"/>
      <c r="L176" s="22"/>
      <c r="M176" s="22"/>
      <c r="N176" s="22"/>
      <c r="O176" s="22"/>
      <c r="P176" s="22"/>
      <c r="Q176" s="22"/>
      <c r="R176" s="22"/>
      <c r="S176" s="31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31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31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31"/>
      <c r="BD176" s="31"/>
      <c r="BE176" s="22"/>
      <c r="BF176" s="22"/>
      <c r="BG176" s="22"/>
      <c r="BH176" s="31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</row>
    <row r="177" spans="1:79" ht="14.25" hidden="1" customHeight="1" outlineLevel="1" x14ac:dyDescent="0.25">
      <c r="A177" s="30"/>
      <c r="B177" s="30"/>
      <c r="C177" s="30"/>
      <c r="D177" s="30"/>
      <c r="E177" s="30"/>
      <c r="F177" s="110"/>
      <c r="G177" s="138"/>
      <c r="H177" s="138"/>
      <c r="I177" s="138"/>
      <c r="J177" s="138"/>
      <c r="K177" s="138"/>
      <c r="L177" s="30"/>
      <c r="M177" s="126"/>
      <c r="N177" s="126"/>
      <c r="O177" s="126"/>
      <c r="P177" s="126"/>
      <c r="Q177" s="126"/>
      <c r="R177" s="126"/>
      <c r="S177" s="127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7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11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111"/>
      <c r="BD177" s="111"/>
      <c r="BE177" s="30"/>
      <c r="BF177" s="30"/>
      <c r="BG177" s="30"/>
      <c r="BH177" s="111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</row>
    <row r="178" spans="1:79" ht="14.25" hidden="1" customHeight="1" outlineLevel="1" x14ac:dyDescent="0.25">
      <c r="A178" s="22"/>
      <c r="B178" s="22" t="str">
        <f>B196</f>
        <v>VA Mental Health</v>
      </c>
      <c r="C178" s="22"/>
      <c r="D178" s="22"/>
      <c r="E178" s="22"/>
      <c r="F178" s="80"/>
      <c r="G178" s="116">
        <v>666495</v>
      </c>
      <c r="H178" s="116">
        <v>567214</v>
      </c>
      <c r="I178" s="116">
        <v>880372</v>
      </c>
      <c r="J178" s="116">
        <v>775302</v>
      </c>
      <c r="K178" s="116">
        <v>863492</v>
      </c>
      <c r="L178" s="116">
        <v>721755</v>
      </c>
      <c r="M178" s="116">
        <f t="shared" ref="M178:AP178" si="187">M199</f>
        <v>702599.67826677207</v>
      </c>
      <c r="N178" s="116">
        <f t="shared" si="187"/>
        <v>1019370</v>
      </c>
      <c r="O178" s="116">
        <f t="shared" si="187"/>
        <v>1167210</v>
      </c>
      <c r="P178" s="116">
        <f t="shared" si="187"/>
        <v>1100220</v>
      </c>
      <c r="Q178" s="116">
        <f t="shared" si="187"/>
        <v>1208460</v>
      </c>
      <c r="R178" s="116">
        <f t="shared" si="187"/>
        <v>1249710</v>
      </c>
      <c r="S178" s="125">
        <f t="shared" si="187"/>
        <v>1277100</v>
      </c>
      <c r="T178" s="116">
        <f t="shared" si="187"/>
        <v>1304490</v>
      </c>
      <c r="U178" s="116">
        <f t="shared" si="187"/>
        <v>1331880</v>
      </c>
      <c r="V178" s="116">
        <f t="shared" si="187"/>
        <v>1359270</v>
      </c>
      <c r="W178" s="116">
        <f t="shared" si="187"/>
        <v>1386660</v>
      </c>
      <c r="X178" s="116">
        <f t="shared" si="187"/>
        <v>1414050</v>
      </c>
      <c r="Y178" s="116">
        <f t="shared" si="187"/>
        <v>1441440</v>
      </c>
      <c r="Z178" s="116">
        <f t="shared" si="187"/>
        <v>1468830</v>
      </c>
      <c r="AA178" s="116">
        <f t="shared" si="187"/>
        <v>1496220</v>
      </c>
      <c r="AB178" s="116">
        <f t="shared" si="187"/>
        <v>1523610</v>
      </c>
      <c r="AC178" s="116">
        <f t="shared" si="187"/>
        <v>1551000</v>
      </c>
      <c r="AD178" s="116">
        <f t="shared" si="187"/>
        <v>1578390</v>
      </c>
      <c r="AE178" s="125">
        <f t="shared" si="187"/>
        <v>1605780</v>
      </c>
      <c r="AF178" s="116">
        <f t="shared" si="187"/>
        <v>1633170</v>
      </c>
      <c r="AG178" s="116">
        <f t="shared" si="187"/>
        <v>1660560</v>
      </c>
      <c r="AH178" s="116">
        <f t="shared" si="187"/>
        <v>1687950</v>
      </c>
      <c r="AI178" s="116">
        <f t="shared" si="187"/>
        <v>1715340</v>
      </c>
      <c r="AJ178" s="116">
        <f t="shared" si="187"/>
        <v>1742730</v>
      </c>
      <c r="AK178" s="116">
        <f t="shared" si="187"/>
        <v>1770120</v>
      </c>
      <c r="AL178" s="116">
        <f t="shared" si="187"/>
        <v>1797510</v>
      </c>
      <c r="AM178" s="116">
        <f t="shared" si="187"/>
        <v>1824900</v>
      </c>
      <c r="AN178" s="116">
        <f t="shared" si="187"/>
        <v>1852290</v>
      </c>
      <c r="AO178" s="116">
        <f t="shared" si="187"/>
        <v>1879680</v>
      </c>
      <c r="AP178" s="116">
        <f t="shared" si="187"/>
        <v>1907070</v>
      </c>
      <c r="AQ178" s="31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31"/>
      <c r="BD178" s="31"/>
      <c r="BE178" s="116">
        <f t="shared" ref="BE178:BE186" si="188">SUM(G178:R178)</f>
        <v>10922199.678266771</v>
      </c>
      <c r="BF178" s="116">
        <f t="shared" ref="BF178:BF186" si="189">SUM(S178:AD178)</f>
        <v>17132940</v>
      </c>
      <c r="BG178" s="116">
        <f t="shared" ref="BG178:BG186" si="190">SUM(AE178:AP178)</f>
        <v>21077100</v>
      </c>
      <c r="BH178" s="31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</row>
    <row r="179" spans="1:79" ht="14.25" hidden="1" customHeight="1" outlineLevel="1" x14ac:dyDescent="0.25">
      <c r="A179" s="22"/>
      <c r="B179" s="22" t="str">
        <f>B238</f>
        <v>VA Medical Evaluations</v>
      </c>
      <c r="C179" s="22"/>
      <c r="D179" s="22"/>
      <c r="E179" s="22"/>
      <c r="F179" s="80"/>
      <c r="G179" s="157">
        <v>31378</v>
      </c>
      <c r="H179" s="157">
        <v>38090</v>
      </c>
      <c r="I179" s="157">
        <v>57400</v>
      </c>
      <c r="J179" s="157">
        <v>63200</v>
      </c>
      <c r="K179" s="157">
        <v>69600</v>
      </c>
      <c r="L179" s="157">
        <v>78800</v>
      </c>
      <c r="M179" s="157">
        <f t="shared" ref="M179:AP179" si="191">M242</f>
        <v>94940</v>
      </c>
      <c r="N179" s="157">
        <f t="shared" si="191"/>
        <v>81780</v>
      </c>
      <c r="O179" s="157">
        <f t="shared" si="191"/>
        <v>84835</v>
      </c>
      <c r="P179" s="157">
        <f t="shared" si="191"/>
        <v>91885</v>
      </c>
      <c r="Q179" s="157">
        <f t="shared" si="191"/>
        <v>150635</v>
      </c>
      <c r="R179" s="157">
        <f t="shared" si="191"/>
        <v>209385</v>
      </c>
      <c r="S179" s="158">
        <f t="shared" si="191"/>
        <v>240718.33333333331</v>
      </c>
      <c r="T179" s="157">
        <f t="shared" si="191"/>
        <v>272051.66666666663</v>
      </c>
      <c r="U179" s="157">
        <f t="shared" si="191"/>
        <v>303384.99999999994</v>
      </c>
      <c r="V179" s="157">
        <f t="shared" si="191"/>
        <v>334718.33333333326</v>
      </c>
      <c r="W179" s="157">
        <f t="shared" si="191"/>
        <v>366051.66666666657</v>
      </c>
      <c r="X179" s="157">
        <f t="shared" si="191"/>
        <v>397384.99999999988</v>
      </c>
      <c r="Y179" s="157">
        <f t="shared" si="191"/>
        <v>428718.3333333332</v>
      </c>
      <c r="Z179" s="157">
        <f t="shared" si="191"/>
        <v>460051.66666666651</v>
      </c>
      <c r="AA179" s="157">
        <f t="shared" si="191"/>
        <v>491384.99999999988</v>
      </c>
      <c r="AB179" s="157">
        <f t="shared" si="191"/>
        <v>522718.33333333326</v>
      </c>
      <c r="AC179" s="157">
        <f t="shared" si="191"/>
        <v>554051.66666666663</v>
      </c>
      <c r="AD179" s="157">
        <f t="shared" si="191"/>
        <v>585385</v>
      </c>
      <c r="AE179" s="158">
        <f t="shared" si="191"/>
        <v>616718.33333333337</v>
      </c>
      <c r="AF179" s="157">
        <f t="shared" si="191"/>
        <v>648051.66666666674</v>
      </c>
      <c r="AG179" s="157">
        <f t="shared" si="191"/>
        <v>679385.00000000012</v>
      </c>
      <c r="AH179" s="157">
        <f t="shared" si="191"/>
        <v>710718.33333333349</v>
      </c>
      <c r="AI179" s="157">
        <f t="shared" si="191"/>
        <v>742051.66666666686</v>
      </c>
      <c r="AJ179" s="157">
        <f t="shared" si="191"/>
        <v>773385.00000000023</v>
      </c>
      <c r="AK179" s="157">
        <f t="shared" si="191"/>
        <v>804718.3333333336</v>
      </c>
      <c r="AL179" s="157">
        <f t="shared" si="191"/>
        <v>836051.66666666698</v>
      </c>
      <c r="AM179" s="157">
        <f t="shared" si="191"/>
        <v>867385.00000000035</v>
      </c>
      <c r="AN179" s="157">
        <f t="shared" si="191"/>
        <v>898718.33333333372</v>
      </c>
      <c r="AO179" s="157">
        <f t="shared" si="191"/>
        <v>930051.66666666709</v>
      </c>
      <c r="AP179" s="157">
        <f t="shared" si="191"/>
        <v>961385.00000000047</v>
      </c>
      <c r="AQ179" s="31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31"/>
      <c r="BD179" s="31"/>
      <c r="BE179" s="157">
        <f t="shared" si="188"/>
        <v>1051928</v>
      </c>
      <c r="BF179" s="157">
        <f t="shared" si="189"/>
        <v>4956619.9999999991</v>
      </c>
      <c r="BG179" s="157">
        <f t="shared" si="190"/>
        <v>9468620.0000000037</v>
      </c>
      <c r="BH179" s="31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</row>
    <row r="180" spans="1:79" ht="14.25" hidden="1" customHeight="1" outlineLevel="1" x14ac:dyDescent="0.25">
      <c r="A180" s="46"/>
      <c r="B180" s="46" t="s">
        <v>229</v>
      </c>
      <c r="C180" s="46"/>
      <c r="D180" s="46"/>
      <c r="E180" s="46"/>
      <c r="F180" s="81"/>
      <c r="G180" s="140">
        <f t="shared" ref="G180:AP180" si="192">SUM(G178:G179)</f>
        <v>697873</v>
      </c>
      <c r="H180" s="140">
        <f t="shared" si="192"/>
        <v>605304</v>
      </c>
      <c r="I180" s="140">
        <f t="shared" si="192"/>
        <v>937772</v>
      </c>
      <c r="J180" s="140">
        <f t="shared" si="192"/>
        <v>838502</v>
      </c>
      <c r="K180" s="140">
        <f t="shared" si="192"/>
        <v>933092</v>
      </c>
      <c r="L180" s="140">
        <f t="shared" si="192"/>
        <v>800555</v>
      </c>
      <c r="M180" s="140">
        <f t="shared" si="192"/>
        <v>797539.67826677207</v>
      </c>
      <c r="N180" s="140">
        <f t="shared" si="192"/>
        <v>1101150</v>
      </c>
      <c r="O180" s="140">
        <f t="shared" si="192"/>
        <v>1252045</v>
      </c>
      <c r="P180" s="140">
        <f t="shared" si="192"/>
        <v>1192105</v>
      </c>
      <c r="Q180" s="140">
        <f t="shared" si="192"/>
        <v>1359095</v>
      </c>
      <c r="R180" s="140">
        <f t="shared" si="192"/>
        <v>1459095</v>
      </c>
      <c r="S180" s="141">
        <f t="shared" si="192"/>
        <v>1517818.3333333333</v>
      </c>
      <c r="T180" s="140">
        <f t="shared" si="192"/>
        <v>1576541.6666666665</v>
      </c>
      <c r="U180" s="140">
        <f t="shared" si="192"/>
        <v>1635265</v>
      </c>
      <c r="V180" s="140">
        <f t="shared" si="192"/>
        <v>1693988.3333333333</v>
      </c>
      <c r="W180" s="140">
        <f t="shared" si="192"/>
        <v>1752711.6666666665</v>
      </c>
      <c r="X180" s="140">
        <f t="shared" si="192"/>
        <v>1811435</v>
      </c>
      <c r="Y180" s="140">
        <f t="shared" si="192"/>
        <v>1870158.3333333333</v>
      </c>
      <c r="Z180" s="140">
        <f t="shared" si="192"/>
        <v>1928881.6666666665</v>
      </c>
      <c r="AA180" s="140">
        <f t="shared" si="192"/>
        <v>1987605</v>
      </c>
      <c r="AB180" s="140">
        <f t="shared" si="192"/>
        <v>2046328.3333333333</v>
      </c>
      <c r="AC180" s="140">
        <f t="shared" si="192"/>
        <v>2105051.6666666665</v>
      </c>
      <c r="AD180" s="140">
        <f t="shared" si="192"/>
        <v>2163775</v>
      </c>
      <c r="AE180" s="141">
        <f t="shared" si="192"/>
        <v>2222498.3333333335</v>
      </c>
      <c r="AF180" s="140">
        <f t="shared" si="192"/>
        <v>2281221.666666667</v>
      </c>
      <c r="AG180" s="140">
        <f t="shared" si="192"/>
        <v>2339945</v>
      </c>
      <c r="AH180" s="140">
        <f t="shared" si="192"/>
        <v>2398668.3333333335</v>
      </c>
      <c r="AI180" s="140">
        <f t="shared" si="192"/>
        <v>2457391.666666667</v>
      </c>
      <c r="AJ180" s="140">
        <f t="shared" si="192"/>
        <v>2516115</v>
      </c>
      <c r="AK180" s="140">
        <f t="shared" si="192"/>
        <v>2574838.3333333335</v>
      </c>
      <c r="AL180" s="140">
        <f t="shared" si="192"/>
        <v>2633561.666666667</v>
      </c>
      <c r="AM180" s="140">
        <f t="shared" si="192"/>
        <v>2692285.0000000005</v>
      </c>
      <c r="AN180" s="140">
        <f t="shared" si="192"/>
        <v>2751008.333333334</v>
      </c>
      <c r="AO180" s="140">
        <f t="shared" si="192"/>
        <v>2809731.666666667</v>
      </c>
      <c r="AP180" s="140">
        <f t="shared" si="192"/>
        <v>2868455.0000000005</v>
      </c>
      <c r="AQ180" s="29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29"/>
      <c r="BD180" s="29"/>
      <c r="BE180" s="140">
        <f t="shared" si="188"/>
        <v>11974127.678266771</v>
      </c>
      <c r="BF180" s="140">
        <f t="shared" si="189"/>
        <v>22089560</v>
      </c>
      <c r="BG180" s="140">
        <f t="shared" si="190"/>
        <v>30545720.000000004</v>
      </c>
      <c r="BH180" s="29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</row>
    <row r="181" spans="1:79" ht="14.25" hidden="1" customHeight="1" outlineLevel="1" x14ac:dyDescent="0.25">
      <c r="A181" s="22"/>
      <c r="B181" s="22" t="str">
        <f>B273</f>
        <v>Personal Injury</v>
      </c>
      <c r="C181" s="22"/>
      <c r="D181" s="22"/>
      <c r="E181" s="22"/>
      <c r="F181" s="80"/>
      <c r="G181" s="116">
        <f t="shared" ref="G181:AP181" si="193">G282</f>
        <v>0</v>
      </c>
      <c r="H181" s="116">
        <f t="shared" si="193"/>
        <v>0</v>
      </c>
      <c r="I181" s="116">
        <f t="shared" si="193"/>
        <v>0</v>
      </c>
      <c r="J181" s="116">
        <f t="shared" si="193"/>
        <v>12010</v>
      </c>
      <c r="K181" s="116">
        <f t="shared" si="193"/>
        <v>58305</v>
      </c>
      <c r="L181" s="116">
        <f t="shared" si="193"/>
        <v>168996.6</v>
      </c>
      <c r="M181" s="116">
        <f t="shared" si="193"/>
        <v>214995.6</v>
      </c>
      <c r="N181" s="116">
        <f t="shared" si="193"/>
        <v>161996.6</v>
      </c>
      <c r="O181" s="116">
        <f t="shared" si="193"/>
        <v>284994.2</v>
      </c>
      <c r="P181" s="116">
        <f t="shared" si="193"/>
        <v>400991.80000000005</v>
      </c>
      <c r="Q181" s="116">
        <f t="shared" si="193"/>
        <v>579988</v>
      </c>
      <c r="R181" s="116">
        <f t="shared" si="193"/>
        <v>683985.8</v>
      </c>
      <c r="S181" s="125">
        <f t="shared" si="193"/>
        <v>968980</v>
      </c>
      <c r="T181" s="116">
        <f t="shared" si="193"/>
        <v>1246974.2000000002</v>
      </c>
      <c r="U181" s="116">
        <f t="shared" si="193"/>
        <v>1519968.6</v>
      </c>
      <c r="V181" s="116">
        <f t="shared" si="193"/>
        <v>1780963.2000000002</v>
      </c>
      <c r="W181" s="116">
        <f t="shared" si="193"/>
        <v>2034957.8</v>
      </c>
      <c r="X181" s="116">
        <f t="shared" si="193"/>
        <v>2278952.7999999998</v>
      </c>
      <c r="Y181" s="116">
        <f t="shared" si="193"/>
        <v>2505948.2000000002</v>
      </c>
      <c r="Z181" s="116">
        <f t="shared" si="193"/>
        <v>2720943.8</v>
      </c>
      <c r="AA181" s="116">
        <f t="shared" si="193"/>
        <v>2923939.6</v>
      </c>
      <c r="AB181" s="116">
        <f t="shared" si="193"/>
        <v>3107935.6</v>
      </c>
      <c r="AC181" s="116">
        <f t="shared" si="193"/>
        <v>3281932</v>
      </c>
      <c r="AD181" s="116">
        <f t="shared" si="193"/>
        <v>3445928.8</v>
      </c>
      <c r="AE181" s="125">
        <f t="shared" si="193"/>
        <v>3600925.4000000004</v>
      </c>
      <c r="AF181" s="116">
        <f t="shared" si="193"/>
        <v>3745922.4000000004</v>
      </c>
      <c r="AG181" s="116">
        <f t="shared" si="193"/>
        <v>3880919.8</v>
      </c>
      <c r="AH181" s="116">
        <f t="shared" si="193"/>
        <v>4006917</v>
      </c>
      <c r="AI181" s="116">
        <f t="shared" si="193"/>
        <v>4122914.6</v>
      </c>
      <c r="AJ181" s="116">
        <f t="shared" si="193"/>
        <v>4233912.4000000004</v>
      </c>
      <c r="AK181" s="116">
        <f t="shared" si="193"/>
        <v>4337910.2</v>
      </c>
      <c r="AL181" s="116">
        <f t="shared" si="193"/>
        <v>4436908.2</v>
      </c>
      <c r="AM181" s="116">
        <f t="shared" si="193"/>
        <v>4523906.4000000004</v>
      </c>
      <c r="AN181" s="116">
        <f t="shared" si="193"/>
        <v>4605904.8000000007</v>
      </c>
      <c r="AO181" s="116">
        <f t="shared" si="193"/>
        <v>4680903.2</v>
      </c>
      <c r="AP181" s="116">
        <f t="shared" si="193"/>
        <v>4755901.5999999996</v>
      </c>
      <c r="AQ181" s="31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1"/>
      <c r="BD181" s="31"/>
      <c r="BE181" s="116">
        <f t="shared" si="188"/>
        <v>2566263.6</v>
      </c>
      <c r="BF181" s="116">
        <f t="shared" si="189"/>
        <v>27817424.600000005</v>
      </c>
      <c r="BG181" s="116">
        <f t="shared" si="190"/>
        <v>50932946.000000007</v>
      </c>
      <c r="BH181" s="31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</row>
    <row r="182" spans="1:79" ht="14.25" hidden="1" customHeight="1" outlineLevel="1" x14ac:dyDescent="0.25">
      <c r="A182" s="22"/>
      <c r="B182" s="22" t="str">
        <f>B311</f>
        <v>Workers Comp</v>
      </c>
      <c r="C182" s="22"/>
      <c r="D182" s="22"/>
      <c r="E182" s="22"/>
      <c r="F182" s="80"/>
      <c r="G182" s="116">
        <v>0</v>
      </c>
      <c r="H182" s="116">
        <v>0</v>
      </c>
      <c r="I182" s="116">
        <v>0</v>
      </c>
      <c r="J182" s="116">
        <v>0</v>
      </c>
      <c r="K182" s="116">
        <v>0</v>
      </c>
      <c r="L182" s="116">
        <v>0</v>
      </c>
      <c r="M182" s="116">
        <f t="shared" ref="M182:AP182" si="194">M318+M319</f>
        <v>0</v>
      </c>
      <c r="N182" s="116">
        <f t="shared" si="194"/>
        <v>0</v>
      </c>
      <c r="O182" s="11">
        <f t="shared" si="194"/>
        <v>0</v>
      </c>
      <c r="P182" s="11">
        <f t="shared" si="194"/>
        <v>0</v>
      </c>
      <c r="Q182" s="11">
        <f t="shared" si="194"/>
        <v>42500</v>
      </c>
      <c r="R182" s="11">
        <f t="shared" si="194"/>
        <v>85000</v>
      </c>
      <c r="S182" s="50">
        <f t="shared" si="194"/>
        <v>170000</v>
      </c>
      <c r="T182" s="11">
        <f t="shared" si="194"/>
        <v>255000</v>
      </c>
      <c r="U182" s="11">
        <f t="shared" si="194"/>
        <v>340000</v>
      </c>
      <c r="V182" s="11">
        <f t="shared" si="194"/>
        <v>425000</v>
      </c>
      <c r="W182" s="11">
        <f t="shared" si="194"/>
        <v>510000</v>
      </c>
      <c r="X182" s="11">
        <f t="shared" si="194"/>
        <v>595000</v>
      </c>
      <c r="Y182" s="11">
        <f t="shared" si="194"/>
        <v>680000</v>
      </c>
      <c r="Z182" s="11">
        <f t="shared" si="194"/>
        <v>765000</v>
      </c>
      <c r="AA182" s="11">
        <f t="shared" si="194"/>
        <v>850000</v>
      </c>
      <c r="AB182" s="11">
        <f t="shared" si="194"/>
        <v>935000</v>
      </c>
      <c r="AC182" s="11">
        <f t="shared" si="194"/>
        <v>1020000</v>
      </c>
      <c r="AD182" s="11">
        <f t="shared" si="194"/>
        <v>1105000</v>
      </c>
      <c r="AE182" s="50">
        <f t="shared" si="194"/>
        <v>1190000</v>
      </c>
      <c r="AF182" s="11">
        <f t="shared" si="194"/>
        <v>1275000</v>
      </c>
      <c r="AG182" s="11">
        <f t="shared" si="194"/>
        <v>1360000</v>
      </c>
      <c r="AH182" s="11">
        <f t="shared" si="194"/>
        <v>1445000</v>
      </c>
      <c r="AI182" s="11">
        <f t="shared" si="194"/>
        <v>1530000</v>
      </c>
      <c r="AJ182" s="11">
        <f t="shared" si="194"/>
        <v>1615000</v>
      </c>
      <c r="AK182" s="11">
        <f t="shared" si="194"/>
        <v>1700000</v>
      </c>
      <c r="AL182" s="11">
        <f t="shared" si="194"/>
        <v>1785000</v>
      </c>
      <c r="AM182" s="11">
        <f t="shared" si="194"/>
        <v>1870000</v>
      </c>
      <c r="AN182" s="11">
        <f t="shared" si="194"/>
        <v>1955000</v>
      </c>
      <c r="AO182" s="11">
        <f t="shared" si="194"/>
        <v>2040000</v>
      </c>
      <c r="AP182" s="11">
        <f t="shared" si="194"/>
        <v>2125000</v>
      </c>
      <c r="AQ182" s="31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31"/>
      <c r="BD182" s="31"/>
      <c r="BE182" s="116">
        <f t="shared" si="188"/>
        <v>127500</v>
      </c>
      <c r="BF182" s="116">
        <f t="shared" si="189"/>
        <v>7650000</v>
      </c>
      <c r="BG182" s="116">
        <f t="shared" si="190"/>
        <v>19890000</v>
      </c>
      <c r="BH182" s="31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</row>
    <row r="183" spans="1:79" ht="14.25" hidden="1" customHeight="1" outlineLevel="1" x14ac:dyDescent="0.25">
      <c r="A183" s="22"/>
      <c r="B183" s="22" t="s">
        <v>17</v>
      </c>
      <c r="C183" s="22"/>
      <c r="D183" s="22"/>
      <c r="E183" s="22"/>
      <c r="F183" s="80"/>
      <c r="G183" s="116">
        <f t="shared" ref="G183:AP183" si="195">G521</f>
        <v>0</v>
      </c>
      <c r="H183" s="116">
        <f t="shared" si="195"/>
        <v>0</v>
      </c>
      <c r="I183" s="116">
        <f t="shared" si="195"/>
        <v>0</v>
      </c>
      <c r="J183" s="116">
        <f t="shared" si="195"/>
        <v>0</v>
      </c>
      <c r="K183" s="116">
        <f t="shared" si="195"/>
        <v>0</v>
      </c>
      <c r="L183" s="116">
        <f t="shared" si="195"/>
        <v>0</v>
      </c>
      <c r="M183" s="116">
        <f t="shared" si="195"/>
        <v>0</v>
      </c>
      <c r="N183" s="116">
        <f t="shared" si="195"/>
        <v>0</v>
      </c>
      <c r="O183" s="116">
        <f t="shared" si="195"/>
        <v>0</v>
      </c>
      <c r="P183" s="116">
        <f t="shared" si="195"/>
        <v>0</v>
      </c>
      <c r="Q183" s="116">
        <f t="shared" si="195"/>
        <v>0</v>
      </c>
      <c r="R183" s="116">
        <f t="shared" si="195"/>
        <v>0</v>
      </c>
      <c r="S183" s="125">
        <f t="shared" si="195"/>
        <v>0</v>
      </c>
      <c r="T183" s="116">
        <f t="shared" si="195"/>
        <v>0</v>
      </c>
      <c r="U183" s="116">
        <f t="shared" si="195"/>
        <v>0</v>
      </c>
      <c r="V183" s="116">
        <f t="shared" si="195"/>
        <v>0</v>
      </c>
      <c r="W183" s="116">
        <f t="shared" si="195"/>
        <v>0</v>
      </c>
      <c r="X183" s="116">
        <f t="shared" si="195"/>
        <v>34609.166666666664</v>
      </c>
      <c r="Y183" s="116">
        <f t="shared" si="195"/>
        <v>71640.974999999991</v>
      </c>
      <c r="Z183" s="116">
        <f t="shared" si="195"/>
        <v>111368.83741666666</v>
      </c>
      <c r="AA183" s="116">
        <f t="shared" si="195"/>
        <v>154092.57312749999</v>
      </c>
      <c r="AB183" s="116">
        <f t="shared" si="195"/>
        <v>200141.07685034169</v>
      </c>
      <c r="AC183" s="116">
        <f t="shared" si="195"/>
        <v>249875.25355316483</v>
      </c>
      <c r="AD183" s="116">
        <f t="shared" si="195"/>
        <v>303691.2458557366</v>
      </c>
      <c r="AE183" s="125">
        <f t="shared" si="195"/>
        <v>360797.7383819645</v>
      </c>
      <c r="AF183" s="116">
        <f t="shared" si="195"/>
        <v>427526.93049195822</v>
      </c>
      <c r="AG183" s="116">
        <f t="shared" si="195"/>
        <v>493043.42929061491</v>
      </c>
      <c r="AH183" s="116">
        <f t="shared" si="195"/>
        <v>562861.81766238518</v>
      </c>
      <c r="AI183" s="116">
        <f t="shared" si="195"/>
        <v>637354.42968304129</v>
      </c>
      <c r="AJ183" s="116">
        <f t="shared" si="195"/>
        <v>716922.54066712013</v>
      </c>
      <c r="AK183" s="116">
        <f t="shared" si="195"/>
        <v>801998.70783164201</v>
      </c>
      <c r="AL183" s="116">
        <f t="shared" si="195"/>
        <v>893049.29745199136</v>
      </c>
      <c r="AM183" s="116">
        <f t="shared" si="195"/>
        <v>990577.21345215407</v>
      </c>
      <c r="AN183" s="116">
        <f t="shared" si="195"/>
        <v>1095124.8435662095</v>
      </c>
      <c r="AO183" s="116">
        <f t="shared" si="195"/>
        <v>1207277.2404982529</v>
      </c>
      <c r="AP183" s="116">
        <f t="shared" si="195"/>
        <v>1327665.5569014577</v>
      </c>
      <c r="AQ183" s="31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31"/>
      <c r="BD183" s="31"/>
      <c r="BE183" s="116">
        <f t="shared" si="188"/>
        <v>0</v>
      </c>
      <c r="BF183" s="116">
        <f t="shared" si="189"/>
        <v>1125419.1284700765</v>
      </c>
      <c r="BG183" s="116">
        <f t="shared" si="190"/>
        <v>9514199.7458787914</v>
      </c>
      <c r="BH183" s="31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</row>
    <row r="184" spans="1:79" ht="14.25" hidden="1" customHeight="1" outlineLevel="1" x14ac:dyDescent="0.25">
      <c r="A184" s="22"/>
      <c r="B184" s="22" t="str">
        <f>B339</f>
        <v>Corrections</v>
      </c>
      <c r="C184" s="22"/>
      <c r="D184" s="22"/>
      <c r="E184" s="22"/>
      <c r="F184" s="80"/>
      <c r="G184" s="116">
        <f t="shared" ref="G184:V184" si="196">G382</f>
        <v>0</v>
      </c>
      <c r="H184" s="116">
        <f t="shared" si="196"/>
        <v>0</v>
      </c>
      <c r="I184" s="116">
        <f t="shared" si="196"/>
        <v>0</v>
      </c>
      <c r="J184" s="116">
        <f t="shared" si="196"/>
        <v>0</v>
      </c>
      <c r="K184" s="116">
        <f t="shared" si="196"/>
        <v>0</v>
      </c>
      <c r="L184" s="116">
        <f t="shared" si="196"/>
        <v>0</v>
      </c>
      <c r="M184" s="116">
        <f t="shared" si="196"/>
        <v>0</v>
      </c>
      <c r="N184" s="116">
        <f t="shared" si="196"/>
        <v>0</v>
      </c>
      <c r="O184" s="116">
        <f t="shared" si="196"/>
        <v>0</v>
      </c>
      <c r="P184" s="116">
        <f t="shared" si="196"/>
        <v>0</v>
      </c>
      <c r="Q184" s="116">
        <f t="shared" si="196"/>
        <v>0</v>
      </c>
      <c r="R184" s="116">
        <f t="shared" si="196"/>
        <v>0</v>
      </c>
      <c r="S184" s="125">
        <f t="shared" si="196"/>
        <v>0</v>
      </c>
      <c r="T184" s="116">
        <f t="shared" si="196"/>
        <v>0</v>
      </c>
      <c r="U184" s="116">
        <f t="shared" si="196"/>
        <v>0</v>
      </c>
      <c r="V184" s="116">
        <f t="shared" si="196"/>
        <v>0</v>
      </c>
      <c r="W184" s="116">
        <f t="shared" ref="W184:AP184" si="197">W339</f>
        <v>0</v>
      </c>
      <c r="X184" s="116">
        <f t="shared" si="197"/>
        <v>0</v>
      </c>
      <c r="Y184" s="116">
        <f t="shared" si="197"/>
        <v>834900.00000000012</v>
      </c>
      <c r="Z184" s="116">
        <f t="shared" si="197"/>
        <v>834900.00000000012</v>
      </c>
      <c r="AA184" s="116">
        <f t="shared" si="197"/>
        <v>834900.00000000012</v>
      </c>
      <c r="AB184" s="116">
        <f t="shared" si="197"/>
        <v>1669800.0000000002</v>
      </c>
      <c r="AC184" s="116">
        <f t="shared" si="197"/>
        <v>1669800.0000000002</v>
      </c>
      <c r="AD184" s="116">
        <f t="shared" si="197"/>
        <v>1669800.0000000002</v>
      </c>
      <c r="AE184" s="125">
        <f t="shared" si="197"/>
        <v>2504700.0000000005</v>
      </c>
      <c r="AF184" s="116">
        <f t="shared" si="197"/>
        <v>2504700.0000000005</v>
      </c>
      <c r="AG184" s="116">
        <f t="shared" si="197"/>
        <v>3339600.0000000005</v>
      </c>
      <c r="AH184" s="116">
        <f t="shared" si="197"/>
        <v>3339600.0000000005</v>
      </c>
      <c r="AI184" s="116">
        <f t="shared" si="197"/>
        <v>4174500.0000000005</v>
      </c>
      <c r="AJ184" s="116">
        <f t="shared" si="197"/>
        <v>4174500.0000000005</v>
      </c>
      <c r="AK184" s="116">
        <f t="shared" si="197"/>
        <v>4174500.0000000005</v>
      </c>
      <c r="AL184" s="116">
        <f t="shared" si="197"/>
        <v>7025700</v>
      </c>
      <c r="AM184" s="116">
        <f t="shared" si="197"/>
        <v>7860600</v>
      </c>
      <c r="AN184" s="116">
        <f t="shared" si="197"/>
        <v>7860600</v>
      </c>
      <c r="AO184" s="116">
        <f t="shared" si="197"/>
        <v>7860600</v>
      </c>
      <c r="AP184" s="116">
        <f t="shared" si="197"/>
        <v>10711800</v>
      </c>
      <c r="AQ184" s="31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31"/>
      <c r="BD184" s="31"/>
      <c r="BE184" s="116">
        <f t="shared" si="188"/>
        <v>0</v>
      </c>
      <c r="BF184" s="116">
        <f t="shared" si="189"/>
        <v>7514100.0000000009</v>
      </c>
      <c r="BG184" s="116">
        <f t="shared" si="190"/>
        <v>65531400</v>
      </c>
      <c r="BH184" s="31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</row>
    <row r="185" spans="1:79" ht="14.25" hidden="1" customHeight="1" outlineLevel="1" x14ac:dyDescent="0.25">
      <c r="A185" s="22"/>
      <c r="B185" s="22" t="s">
        <v>19</v>
      </c>
      <c r="C185" s="22"/>
      <c r="D185" s="22"/>
      <c r="E185" s="22"/>
      <c r="F185" s="80"/>
      <c r="G185" s="116">
        <f t="shared" ref="G185:AP185" si="198">G467</f>
        <v>0</v>
      </c>
      <c r="H185" s="116">
        <f t="shared" si="198"/>
        <v>0</v>
      </c>
      <c r="I185" s="116">
        <f t="shared" si="198"/>
        <v>0</v>
      </c>
      <c r="J185" s="116">
        <f t="shared" si="198"/>
        <v>0</v>
      </c>
      <c r="K185" s="116">
        <f t="shared" si="198"/>
        <v>0</v>
      </c>
      <c r="L185" s="116">
        <f t="shared" si="198"/>
        <v>0</v>
      </c>
      <c r="M185" s="116">
        <f t="shared" si="198"/>
        <v>0</v>
      </c>
      <c r="N185" s="116">
        <f t="shared" si="198"/>
        <v>0</v>
      </c>
      <c r="O185" s="116">
        <f t="shared" si="198"/>
        <v>0</v>
      </c>
      <c r="P185" s="116">
        <f t="shared" si="198"/>
        <v>0</v>
      </c>
      <c r="Q185" s="116">
        <f t="shared" si="198"/>
        <v>0</v>
      </c>
      <c r="R185" s="116">
        <f t="shared" si="198"/>
        <v>0</v>
      </c>
      <c r="S185" s="125">
        <f t="shared" si="198"/>
        <v>0</v>
      </c>
      <c r="T185" s="116">
        <f t="shared" si="198"/>
        <v>0</v>
      </c>
      <c r="U185" s="116">
        <f t="shared" si="198"/>
        <v>0</v>
      </c>
      <c r="V185" s="116">
        <f t="shared" si="198"/>
        <v>0</v>
      </c>
      <c r="W185" s="116">
        <f t="shared" si="198"/>
        <v>0</v>
      </c>
      <c r="X185" s="116">
        <f t="shared" si="198"/>
        <v>0</v>
      </c>
      <c r="Y185" s="116">
        <f t="shared" si="198"/>
        <v>0</v>
      </c>
      <c r="Z185" s="116">
        <f t="shared" si="198"/>
        <v>0</v>
      </c>
      <c r="AA185" s="116">
        <f t="shared" si="198"/>
        <v>0</v>
      </c>
      <c r="AB185" s="116">
        <f t="shared" si="198"/>
        <v>6187.5</v>
      </c>
      <c r="AC185" s="116">
        <f t="shared" si="198"/>
        <v>12375</v>
      </c>
      <c r="AD185" s="116">
        <f t="shared" si="198"/>
        <v>18562.5</v>
      </c>
      <c r="AE185" s="125">
        <f t="shared" si="198"/>
        <v>41062.5</v>
      </c>
      <c r="AF185" s="116">
        <f t="shared" si="198"/>
        <v>57487.5</v>
      </c>
      <c r="AG185" s="116">
        <f t="shared" si="198"/>
        <v>73912.5</v>
      </c>
      <c r="AH185" s="116">
        <f t="shared" si="198"/>
        <v>90337.5</v>
      </c>
      <c r="AI185" s="116">
        <f t="shared" si="198"/>
        <v>106762.5</v>
      </c>
      <c r="AJ185" s="116">
        <f t="shared" si="198"/>
        <v>123187.5</v>
      </c>
      <c r="AK185" s="116">
        <f t="shared" si="198"/>
        <v>139612.5</v>
      </c>
      <c r="AL185" s="116">
        <f t="shared" si="198"/>
        <v>164250</v>
      </c>
      <c r="AM185" s="116">
        <f t="shared" si="198"/>
        <v>188887.5</v>
      </c>
      <c r="AN185" s="116">
        <f t="shared" si="198"/>
        <v>213525</v>
      </c>
      <c r="AO185" s="116">
        <f t="shared" si="198"/>
        <v>238162.5</v>
      </c>
      <c r="AP185" s="116">
        <f t="shared" si="198"/>
        <v>262800</v>
      </c>
      <c r="AQ185" s="31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31"/>
      <c r="BD185" s="31"/>
      <c r="BE185" s="116">
        <f t="shared" si="188"/>
        <v>0</v>
      </c>
      <c r="BF185" s="116">
        <f t="shared" si="189"/>
        <v>37125</v>
      </c>
      <c r="BG185" s="116">
        <f t="shared" si="190"/>
        <v>1699987.5</v>
      </c>
      <c r="BH185" s="31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</row>
    <row r="186" spans="1:79" ht="14.25" hidden="1" customHeight="1" outlineLevel="1" x14ac:dyDescent="0.25">
      <c r="A186" s="22"/>
      <c r="B186" s="22" t="s">
        <v>20</v>
      </c>
      <c r="C186" s="22"/>
      <c r="D186" s="22"/>
      <c r="E186" s="22"/>
      <c r="F186" s="80"/>
      <c r="G186" s="116">
        <f t="shared" ref="G186:AP186" si="199">G438</f>
        <v>0</v>
      </c>
      <c r="H186" s="116">
        <f t="shared" si="199"/>
        <v>0</v>
      </c>
      <c r="I186" s="116">
        <f t="shared" si="199"/>
        <v>0</v>
      </c>
      <c r="J186" s="116">
        <f t="shared" si="199"/>
        <v>0</v>
      </c>
      <c r="K186" s="116">
        <f t="shared" si="199"/>
        <v>0</v>
      </c>
      <c r="L186" s="116">
        <f t="shared" si="199"/>
        <v>0</v>
      </c>
      <c r="M186" s="116">
        <f t="shared" si="199"/>
        <v>0</v>
      </c>
      <c r="N186" s="116">
        <f t="shared" si="199"/>
        <v>0</v>
      </c>
      <c r="O186" s="116">
        <f t="shared" si="199"/>
        <v>0</v>
      </c>
      <c r="P186" s="116">
        <f t="shared" si="199"/>
        <v>0</v>
      </c>
      <c r="Q186" s="116">
        <f t="shared" si="199"/>
        <v>0</v>
      </c>
      <c r="R186" s="116">
        <f t="shared" si="199"/>
        <v>0</v>
      </c>
      <c r="S186" s="125">
        <f t="shared" si="199"/>
        <v>0</v>
      </c>
      <c r="T186" s="116">
        <f t="shared" si="199"/>
        <v>0</v>
      </c>
      <c r="U186" s="116">
        <f t="shared" si="199"/>
        <v>0</v>
      </c>
      <c r="V186" s="116">
        <f t="shared" si="199"/>
        <v>0</v>
      </c>
      <c r="W186" s="116">
        <f t="shared" si="199"/>
        <v>0</v>
      </c>
      <c r="X186" s="116">
        <f t="shared" si="199"/>
        <v>0</v>
      </c>
      <c r="Y186" s="116">
        <f t="shared" si="199"/>
        <v>0</v>
      </c>
      <c r="Z186" s="116">
        <f t="shared" si="199"/>
        <v>0</v>
      </c>
      <c r="AA186" s="116">
        <f t="shared" si="199"/>
        <v>0</v>
      </c>
      <c r="AB186" s="116">
        <f t="shared" si="199"/>
        <v>0</v>
      </c>
      <c r="AC186" s="116">
        <f t="shared" si="199"/>
        <v>0</v>
      </c>
      <c r="AD186" s="116">
        <f t="shared" si="199"/>
        <v>0</v>
      </c>
      <c r="AE186" s="125">
        <f t="shared" si="199"/>
        <v>0</v>
      </c>
      <c r="AF186" s="116">
        <f t="shared" si="199"/>
        <v>0</v>
      </c>
      <c r="AG186" s="116">
        <f t="shared" si="199"/>
        <v>0</v>
      </c>
      <c r="AH186" s="116">
        <f t="shared" si="199"/>
        <v>0</v>
      </c>
      <c r="AI186" s="116">
        <f t="shared" si="199"/>
        <v>0</v>
      </c>
      <c r="AJ186" s="116">
        <f t="shared" si="199"/>
        <v>0</v>
      </c>
      <c r="AK186" s="116">
        <f t="shared" si="199"/>
        <v>0</v>
      </c>
      <c r="AL186" s="116">
        <f t="shared" si="199"/>
        <v>0</v>
      </c>
      <c r="AM186" s="116">
        <f t="shared" si="199"/>
        <v>0</v>
      </c>
      <c r="AN186" s="116">
        <f t="shared" si="199"/>
        <v>0</v>
      </c>
      <c r="AO186" s="116">
        <f t="shared" si="199"/>
        <v>0</v>
      </c>
      <c r="AP186" s="116">
        <f t="shared" si="199"/>
        <v>0</v>
      </c>
      <c r="AQ186" s="31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31"/>
      <c r="BD186" s="31"/>
      <c r="BE186" s="116">
        <f t="shared" si="188"/>
        <v>0</v>
      </c>
      <c r="BF186" s="116">
        <f t="shared" si="189"/>
        <v>0</v>
      </c>
      <c r="BG186" s="116">
        <f t="shared" si="190"/>
        <v>0</v>
      </c>
      <c r="BH186" s="31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</row>
    <row r="187" spans="1:79" ht="14.25" hidden="1" customHeight="1" outlineLevel="1" x14ac:dyDescent="0.25">
      <c r="A187" s="22"/>
      <c r="B187" s="22"/>
      <c r="C187" s="22"/>
      <c r="D187" s="22"/>
      <c r="E187" s="22"/>
      <c r="F187" s="80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31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31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31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31"/>
      <c r="BD187" s="31"/>
      <c r="BE187" s="22"/>
      <c r="BF187" s="22"/>
      <c r="BG187" s="22"/>
      <c r="BH187" s="31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</row>
    <row r="188" spans="1:79" ht="14.25" hidden="1" customHeight="1" outlineLevel="1" x14ac:dyDescent="0.25">
      <c r="A188" s="30"/>
      <c r="B188" s="30" t="s">
        <v>17</v>
      </c>
      <c r="C188" s="30"/>
      <c r="D188" s="30"/>
      <c r="E188" s="30"/>
      <c r="F188" s="110"/>
      <c r="G188" s="126">
        <f t="shared" ref="G188:AP188" si="200">G521</f>
        <v>0</v>
      </c>
      <c r="H188" s="126">
        <f t="shared" si="200"/>
        <v>0</v>
      </c>
      <c r="I188" s="126">
        <f t="shared" si="200"/>
        <v>0</v>
      </c>
      <c r="J188" s="126">
        <f t="shared" si="200"/>
        <v>0</v>
      </c>
      <c r="K188" s="126">
        <f t="shared" si="200"/>
        <v>0</v>
      </c>
      <c r="L188" s="126">
        <f t="shared" si="200"/>
        <v>0</v>
      </c>
      <c r="M188" s="126">
        <f t="shared" si="200"/>
        <v>0</v>
      </c>
      <c r="N188" s="126">
        <f t="shared" si="200"/>
        <v>0</v>
      </c>
      <c r="O188" s="126">
        <f t="shared" si="200"/>
        <v>0</v>
      </c>
      <c r="P188" s="126">
        <f t="shared" si="200"/>
        <v>0</v>
      </c>
      <c r="Q188" s="126">
        <f t="shared" si="200"/>
        <v>0</v>
      </c>
      <c r="R188" s="126">
        <f t="shared" si="200"/>
        <v>0</v>
      </c>
      <c r="S188" s="127">
        <f t="shared" si="200"/>
        <v>0</v>
      </c>
      <c r="T188" s="126">
        <f t="shared" si="200"/>
        <v>0</v>
      </c>
      <c r="U188" s="126">
        <f t="shared" si="200"/>
        <v>0</v>
      </c>
      <c r="V188" s="126">
        <f t="shared" si="200"/>
        <v>0</v>
      </c>
      <c r="W188" s="126">
        <f t="shared" si="200"/>
        <v>0</v>
      </c>
      <c r="X188" s="126">
        <f t="shared" si="200"/>
        <v>34609.166666666664</v>
      </c>
      <c r="Y188" s="126">
        <f t="shared" si="200"/>
        <v>71640.974999999991</v>
      </c>
      <c r="Z188" s="126">
        <f t="shared" si="200"/>
        <v>111368.83741666666</v>
      </c>
      <c r="AA188" s="126">
        <f t="shared" si="200"/>
        <v>154092.57312749999</v>
      </c>
      <c r="AB188" s="126">
        <f t="shared" si="200"/>
        <v>200141.07685034169</v>
      </c>
      <c r="AC188" s="126">
        <f t="shared" si="200"/>
        <v>249875.25355316483</v>
      </c>
      <c r="AD188" s="126">
        <f t="shared" si="200"/>
        <v>303691.2458557366</v>
      </c>
      <c r="AE188" s="127">
        <f t="shared" si="200"/>
        <v>360797.7383819645</v>
      </c>
      <c r="AF188" s="126">
        <f t="shared" si="200"/>
        <v>427526.93049195822</v>
      </c>
      <c r="AG188" s="126">
        <f t="shared" si="200"/>
        <v>493043.42929061491</v>
      </c>
      <c r="AH188" s="126">
        <f t="shared" si="200"/>
        <v>562861.81766238518</v>
      </c>
      <c r="AI188" s="126">
        <f t="shared" si="200"/>
        <v>637354.42968304129</v>
      </c>
      <c r="AJ188" s="126">
        <f t="shared" si="200"/>
        <v>716922.54066712013</v>
      </c>
      <c r="AK188" s="126">
        <f t="shared" si="200"/>
        <v>801998.70783164201</v>
      </c>
      <c r="AL188" s="126">
        <f t="shared" si="200"/>
        <v>893049.29745199136</v>
      </c>
      <c r="AM188" s="126">
        <f t="shared" si="200"/>
        <v>990577.21345215407</v>
      </c>
      <c r="AN188" s="126">
        <f t="shared" si="200"/>
        <v>1095124.8435662095</v>
      </c>
      <c r="AO188" s="126">
        <f t="shared" si="200"/>
        <v>1207277.2404982529</v>
      </c>
      <c r="AP188" s="126">
        <f t="shared" si="200"/>
        <v>1327665.5569014577</v>
      </c>
      <c r="AQ188" s="111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111"/>
      <c r="BD188" s="111"/>
      <c r="BE188" s="30"/>
      <c r="BF188" s="30"/>
      <c r="BG188" s="30"/>
      <c r="BH188" s="111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</row>
    <row r="189" spans="1:79" ht="14.25" hidden="1" customHeight="1" outlineLevel="1" x14ac:dyDescent="0.25">
      <c r="A189" s="22"/>
      <c r="B189" s="22"/>
      <c r="C189" s="22"/>
      <c r="D189" s="22"/>
      <c r="E189" s="22"/>
      <c r="F189" s="80"/>
      <c r="G189" s="82"/>
      <c r="H189" s="82"/>
      <c r="I189" s="82"/>
      <c r="J189" s="82"/>
      <c r="K189" s="82"/>
      <c r="L189" s="22"/>
      <c r="M189" s="116"/>
      <c r="N189" s="22"/>
      <c r="O189" s="22"/>
      <c r="P189" s="22"/>
      <c r="Q189" s="22"/>
      <c r="R189" s="22"/>
      <c r="S189" s="31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31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31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31"/>
      <c r="BD189" s="31"/>
      <c r="BE189" s="22"/>
      <c r="BF189" s="22"/>
      <c r="BG189" s="22"/>
      <c r="BH189" s="31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</row>
    <row r="190" spans="1:79" ht="14.25" hidden="1" customHeight="1" outlineLevel="1" x14ac:dyDescent="0.25">
      <c r="A190" s="30"/>
      <c r="B190" s="30" t="s">
        <v>230</v>
      </c>
      <c r="C190" s="30"/>
      <c r="D190" s="30"/>
      <c r="E190" s="30"/>
      <c r="F190" s="110"/>
      <c r="G190" s="138"/>
      <c r="H190" s="138"/>
      <c r="I190" s="138"/>
      <c r="J190" s="138"/>
      <c r="K190" s="138"/>
      <c r="L190" s="30"/>
      <c r="M190" s="126"/>
      <c r="N190" s="126"/>
      <c r="O190" s="126"/>
      <c r="P190" s="126"/>
      <c r="Q190" s="126"/>
      <c r="R190" s="126"/>
      <c r="S190" s="127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7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11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111"/>
      <c r="BD190" s="111"/>
      <c r="BE190" s="30"/>
      <c r="BF190" s="30"/>
      <c r="BG190" s="30"/>
      <c r="BH190" s="111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</row>
    <row r="191" spans="1:79" ht="14.25" hidden="1" customHeight="1" outlineLevel="1" x14ac:dyDescent="0.25">
      <c r="A191" s="22"/>
      <c r="B191" s="22"/>
      <c r="C191" s="22"/>
      <c r="D191" s="22"/>
      <c r="E191" s="22"/>
      <c r="F191" s="80"/>
      <c r="G191" s="82"/>
      <c r="H191" s="82"/>
      <c r="I191" s="82"/>
      <c r="J191" s="82"/>
      <c r="K191" s="82"/>
      <c r="L191" s="22"/>
      <c r="M191" s="116"/>
      <c r="N191" s="22"/>
      <c r="O191" s="22"/>
      <c r="P191" s="22"/>
      <c r="Q191" s="22"/>
      <c r="R191" s="22"/>
      <c r="S191" s="31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31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31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31"/>
      <c r="BD191" s="31"/>
      <c r="BE191" s="22"/>
      <c r="BF191" s="22"/>
      <c r="BG191" s="22"/>
      <c r="BH191" s="31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</row>
    <row r="192" spans="1:79" ht="14.25" hidden="1" customHeight="1" outlineLevel="1" x14ac:dyDescent="0.25">
      <c r="A192" s="22"/>
      <c r="B192" s="22"/>
      <c r="C192" s="22"/>
      <c r="D192" s="22"/>
      <c r="E192" s="22"/>
      <c r="F192" s="80"/>
      <c r="G192" s="82"/>
      <c r="H192" s="82"/>
      <c r="I192" s="82"/>
      <c r="J192" s="82"/>
      <c r="K192" s="82"/>
      <c r="L192" s="22"/>
      <c r="M192" s="116"/>
      <c r="N192" s="22"/>
      <c r="O192" s="22"/>
      <c r="P192" s="22"/>
      <c r="Q192" s="22"/>
      <c r="R192" s="22"/>
      <c r="S192" s="31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31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31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31"/>
      <c r="BD192" s="31"/>
      <c r="BE192" s="22"/>
      <c r="BF192" s="22"/>
      <c r="BG192" s="22"/>
      <c r="BH192" s="31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</row>
    <row r="193" spans="1:79" ht="14.25" customHeight="1" collapsed="1" x14ac:dyDescent="0.25">
      <c r="A193" s="22"/>
      <c r="B193" s="22"/>
      <c r="C193" s="22"/>
      <c r="D193" s="22"/>
      <c r="E193" s="22"/>
      <c r="F193" s="80"/>
      <c r="G193" s="82"/>
      <c r="H193" s="82"/>
      <c r="I193" s="82"/>
      <c r="J193" s="82"/>
      <c r="K193" s="82"/>
      <c r="L193" s="22"/>
      <c r="M193" s="22"/>
      <c r="N193" s="22"/>
      <c r="O193" s="22"/>
      <c r="P193" s="22"/>
      <c r="Q193" s="22"/>
      <c r="R193" s="22"/>
      <c r="S193" s="31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31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31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31"/>
      <c r="BD193" s="31"/>
      <c r="BE193" s="22"/>
      <c r="BF193" s="22"/>
      <c r="BG193" s="22"/>
      <c r="BH193" s="31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</row>
    <row r="194" spans="1:79" ht="14.25" customHeight="1" x14ac:dyDescent="0.25">
      <c r="A194" s="153" t="s">
        <v>231</v>
      </c>
      <c r="B194" s="153"/>
      <c r="C194" s="153"/>
      <c r="D194" s="153"/>
      <c r="E194" s="153"/>
      <c r="F194" s="87"/>
      <c r="G194" s="159"/>
      <c r="H194" s="159"/>
      <c r="I194" s="159"/>
      <c r="J194" s="159"/>
      <c r="K194" s="159"/>
      <c r="L194" s="153"/>
      <c r="M194" s="153"/>
      <c r="N194" s="153"/>
      <c r="O194" s="153"/>
      <c r="P194" s="153"/>
      <c r="Q194" s="153"/>
      <c r="R194" s="153"/>
      <c r="S194" s="156"/>
      <c r="T194" s="153"/>
      <c r="U194" s="153"/>
      <c r="V194" s="153"/>
      <c r="W194" s="153"/>
      <c r="X194" s="153"/>
      <c r="Y194" s="153"/>
      <c r="Z194" s="153"/>
      <c r="AA194" s="153"/>
      <c r="AB194" s="153"/>
      <c r="AC194" s="153"/>
      <c r="AD194" s="153"/>
      <c r="AE194" s="156"/>
      <c r="AF194" s="153"/>
      <c r="AG194" s="153"/>
      <c r="AH194" s="153"/>
      <c r="AI194" s="153"/>
      <c r="AJ194" s="153"/>
      <c r="AK194" s="153"/>
      <c r="AL194" s="153"/>
      <c r="AM194" s="153"/>
      <c r="AN194" s="153"/>
      <c r="AO194" s="153"/>
      <c r="AP194" s="153"/>
      <c r="AQ194" s="156"/>
      <c r="AR194" s="153"/>
      <c r="AS194" s="153"/>
      <c r="AT194" s="153"/>
      <c r="AU194" s="153"/>
      <c r="AV194" s="153"/>
      <c r="AW194" s="153"/>
      <c r="AX194" s="153"/>
      <c r="AY194" s="153"/>
      <c r="AZ194" s="153"/>
      <c r="BA194" s="153"/>
      <c r="BB194" s="153"/>
      <c r="BC194" s="156"/>
      <c r="BD194" s="156"/>
      <c r="BE194" s="153"/>
      <c r="BF194" s="153"/>
      <c r="BG194" s="153"/>
      <c r="BH194" s="156"/>
      <c r="BI194" s="153"/>
      <c r="BJ194" s="153"/>
      <c r="BK194" s="153"/>
      <c r="BL194" s="153"/>
      <c r="BM194" s="153"/>
      <c r="BN194" s="153"/>
      <c r="BO194" s="153"/>
      <c r="BP194" s="153"/>
      <c r="BQ194" s="153"/>
      <c r="BR194" s="153"/>
      <c r="BS194" s="153"/>
      <c r="BT194" s="153"/>
      <c r="BU194" s="153"/>
      <c r="BV194" s="153"/>
      <c r="BW194" s="153"/>
      <c r="BX194" s="153"/>
      <c r="BY194" s="153"/>
      <c r="BZ194" s="153"/>
      <c r="CA194" s="153"/>
    </row>
    <row r="195" spans="1:79" ht="14.25" customHeight="1" x14ac:dyDescent="0.25">
      <c r="A195" s="22"/>
      <c r="B195" s="22"/>
      <c r="C195" s="22"/>
      <c r="D195" s="22"/>
      <c r="E195" s="22"/>
      <c r="F195" s="80"/>
      <c r="G195" s="82"/>
      <c r="H195" s="82"/>
      <c r="I195" s="82"/>
      <c r="J195" s="82"/>
      <c r="K195" s="82"/>
      <c r="L195" s="22"/>
      <c r="M195" s="22"/>
      <c r="N195" s="22"/>
      <c r="O195" s="22"/>
      <c r="P195" s="22"/>
      <c r="Q195" s="22"/>
      <c r="R195" s="22"/>
      <c r="S195" s="31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31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31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31"/>
      <c r="BD195" s="31"/>
      <c r="BE195" s="22"/>
      <c r="BF195" s="22"/>
      <c r="BG195" s="22"/>
      <c r="BH195" s="31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</row>
    <row r="196" spans="1:79" ht="14.25" customHeight="1" x14ac:dyDescent="0.25">
      <c r="A196" s="15"/>
      <c r="B196" s="30" t="s">
        <v>13</v>
      </c>
      <c r="C196" s="15"/>
      <c r="D196" s="15"/>
      <c r="E196" s="15"/>
      <c r="F196" s="160"/>
      <c r="G196" s="126">
        <f t="shared" ref="G196:AP196" si="201">G199</f>
        <v>666495</v>
      </c>
      <c r="H196" s="126">
        <f t="shared" si="201"/>
        <v>567214</v>
      </c>
      <c r="I196" s="126">
        <f t="shared" si="201"/>
        <v>866970.87947200018</v>
      </c>
      <c r="J196" s="126">
        <f t="shared" si="201"/>
        <v>750211.79431499995</v>
      </c>
      <c r="K196" s="126">
        <f t="shared" si="201"/>
        <v>835861.01399246836</v>
      </c>
      <c r="L196" s="126">
        <f t="shared" si="201"/>
        <v>690471.64227882912</v>
      </c>
      <c r="M196" s="126">
        <f t="shared" si="201"/>
        <v>702599.67826677207</v>
      </c>
      <c r="N196" s="126">
        <f t="shared" si="201"/>
        <v>1019370</v>
      </c>
      <c r="O196" s="126">
        <f t="shared" si="201"/>
        <v>1167210</v>
      </c>
      <c r="P196" s="126">
        <f t="shared" si="201"/>
        <v>1100220</v>
      </c>
      <c r="Q196" s="126">
        <f t="shared" si="201"/>
        <v>1208460</v>
      </c>
      <c r="R196" s="126">
        <f t="shared" si="201"/>
        <v>1249710</v>
      </c>
      <c r="S196" s="127">
        <f t="shared" si="201"/>
        <v>1277100</v>
      </c>
      <c r="T196" s="126">
        <f t="shared" si="201"/>
        <v>1304490</v>
      </c>
      <c r="U196" s="126">
        <f t="shared" si="201"/>
        <v>1331880</v>
      </c>
      <c r="V196" s="126">
        <f t="shared" si="201"/>
        <v>1359270</v>
      </c>
      <c r="W196" s="126">
        <f t="shared" si="201"/>
        <v>1386660</v>
      </c>
      <c r="X196" s="126">
        <f t="shared" si="201"/>
        <v>1414050</v>
      </c>
      <c r="Y196" s="126">
        <f t="shared" si="201"/>
        <v>1441440</v>
      </c>
      <c r="Z196" s="126">
        <f t="shared" si="201"/>
        <v>1468830</v>
      </c>
      <c r="AA196" s="126">
        <f t="shared" si="201"/>
        <v>1496220</v>
      </c>
      <c r="AB196" s="126">
        <f t="shared" si="201"/>
        <v>1523610</v>
      </c>
      <c r="AC196" s="126">
        <f t="shared" si="201"/>
        <v>1551000</v>
      </c>
      <c r="AD196" s="126">
        <f t="shared" si="201"/>
        <v>1578390</v>
      </c>
      <c r="AE196" s="127">
        <f t="shared" si="201"/>
        <v>1605780</v>
      </c>
      <c r="AF196" s="126">
        <f t="shared" si="201"/>
        <v>1633170</v>
      </c>
      <c r="AG196" s="126">
        <f t="shared" si="201"/>
        <v>1660560</v>
      </c>
      <c r="AH196" s="126">
        <f t="shared" si="201"/>
        <v>1687950</v>
      </c>
      <c r="AI196" s="126">
        <f t="shared" si="201"/>
        <v>1715340</v>
      </c>
      <c r="AJ196" s="126">
        <f t="shared" si="201"/>
        <v>1742730</v>
      </c>
      <c r="AK196" s="126">
        <f t="shared" si="201"/>
        <v>1770120</v>
      </c>
      <c r="AL196" s="126">
        <f t="shared" si="201"/>
        <v>1797510</v>
      </c>
      <c r="AM196" s="126">
        <f t="shared" si="201"/>
        <v>1824900</v>
      </c>
      <c r="AN196" s="126">
        <f t="shared" si="201"/>
        <v>1852290</v>
      </c>
      <c r="AO196" s="126">
        <f t="shared" si="201"/>
        <v>1879680</v>
      </c>
      <c r="AP196" s="126">
        <f t="shared" si="201"/>
        <v>1907070</v>
      </c>
      <c r="AQ196" s="161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61"/>
      <c r="BD196" s="161"/>
      <c r="BE196" s="15"/>
      <c r="BF196" s="15"/>
      <c r="BG196" s="15"/>
      <c r="BH196" s="161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</row>
    <row r="197" spans="1:79" ht="14.25" customHeight="1" outlineLevel="1" x14ac:dyDescent="0.25">
      <c r="A197" s="22"/>
      <c r="B197" s="22"/>
      <c r="C197" s="22">
        <v>2025</v>
      </c>
      <c r="D197" s="22">
        <v>2026</v>
      </c>
      <c r="E197" s="22"/>
      <c r="F197" s="80"/>
      <c r="G197" s="82"/>
      <c r="H197" s="82"/>
      <c r="I197" s="82"/>
      <c r="J197" s="82"/>
      <c r="K197" s="82"/>
      <c r="L197" s="22"/>
      <c r="M197" s="22"/>
      <c r="N197" s="22"/>
      <c r="O197" s="22"/>
      <c r="P197" s="22"/>
      <c r="Q197" s="22"/>
      <c r="R197" s="22"/>
      <c r="S197" s="31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31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31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31"/>
      <c r="BD197" s="31"/>
      <c r="BE197" s="22"/>
      <c r="BF197" s="22"/>
      <c r="BG197" s="22"/>
      <c r="BH197" s="31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</row>
    <row r="198" spans="1:79" ht="14.25" customHeight="1" outlineLevel="1" x14ac:dyDescent="0.25">
      <c r="A198" s="22"/>
      <c r="B198" s="22" t="s">
        <v>232</v>
      </c>
      <c r="C198" s="162">
        <v>2245</v>
      </c>
      <c r="D198" s="22"/>
      <c r="E198" s="22"/>
      <c r="F198" s="82" t="s">
        <v>233</v>
      </c>
      <c r="G198" s="109">
        <f t="shared" ref="G198:K198" si="202">ROUND(G199/$C200,0)</f>
        <v>2020</v>
      </c>
      <c r="H198" s="109">
        <f t="shared" si="202"/>
        <v>1719</v>
      </c>
      <c r="I198" s="109">
        <f t="shared" si="202"/>
        <v>2627</v>
      </c>
      <c r="J198" s="109">
        <f t="shared" si="202"/>
        <v>2273</v>
      </c>
      <c r="K198" s="109">
        <f t="shared" si="202"/>
        <v>2533</v>
      </c>
      <c r="L198" s="163">
        <f>C198</f>
        <v>2245</v>
      </c>
      <c r="M198" s="11">
        <v>2183</v>
      </c>
      <c r="N198" s="11">
        <v>3089</v>
      </c>
      <c r="O198" s="11">
        <v>3537</v>
      </c>
      <c r="P198" s="11">
        <v>3334</v>
      </c>
      <c r="Q198" s="11">
        <f>O198+C199</f>
        <v>3662</v>
      </c>
      <c r="R198" s="11">
        <f>Q198+C199</f>
        <v>3787</v>
      </c>
      <c r="S198" s="50">
        <f t="shared" ref="S198:AP198" si="203">R198+$D199</f>
        <v>3870</v>
      </c>
      <c r="T198" s="11">
        <f t="shared" si="203"/>
        <v>3953</v>
      </c>
      <c r="U198" s="11">
        <f t="shared" si="203"/>
        <v>4036</v>
      </c>
      <c r="V198" s="11">
        <f t="shared" si="203"/>
        <v>4119</v>
      </c>
      <c r="W198" s="11">
        <f t="shared" si="203"/>
        <v>4202</v>
      </c>
      <c r="X198" s="11">
        <f t="shared" si="203"/>
        <v>4285</v>
      </c>
      <c r="Y198" s="11">
        <f t="shared" si="203"/>
        <v>4368</v>
      </c>
      <c r="Z198" s="11">
        <f t="shared" si="203"/>
        <v>4451</v>
      </c>
      <c r="AA198" s="11">
        <f t="shared" si="203"/>
        <v>4534</v>
      </c>
      <c r="AB198" s="11">
        <f t="shared" si="203"/>
        <v>4617</v>
      </c>
      <c r="AC198" s="11">
        <f t="shared" si="203"/>
        <v>4700</v>
      </c>
      <c r="AD198" s="11">
        <f t="shared" si="203"/>
        <v>4783</v>
      </c>
      <c r="AE198" s="50">
        <f t="shared" si="203"/>
        <v>4866</v>
      </c>
      <c r="AF198" s="11">
        <f t="shared" si="203"/>
        <v>4949</v>
      </c>
      <c r="AG198" s="11">
        <f t="shared" si="203"/>
        <v>5032</v>
      </c>
      <c r="AH198" s="11">
        <f t="shared" si="203"/>
        <v>5115</v>
      </c>
      <c r="AI198" s="11">
        <f t="shared" si="203"/>
        <v>5198</v>
      </c>
      <c r="AJ198" s="11">
        <f t="shared" si="203"/>
        <v>5281</v>
      </c>
      <c r="AK198" s="11">
        <f t="shared" si="203"/>
        <v>5364</v>
      </c>
      <c r="AL198" s="11">
        <f t="shared" si="203"/>
        <v>5447</v>
      </c>
      <c r="AM198" s="11">
        <f t="shared" si="203"/>
        <v>5530</v>
      </c>
      <c r="AN198" s="11">
        <f t="shared" si="203"/>
        <v>5613</v>
      </c>
      <c r="AO198" s="11">
        <f t="shared" si="203"/>
        <v>5696</v>
      </c>
      <c r="AP198" s="11">
        <f t="shared" si="203"/>
        <v>5779</v>
      </c>
      <c r="AQ198" s="31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31"/>
      <c r="BD198" s="31"/>
      <c r="BE198" s="22"/>
      <c r="BF198" s="22"/>
      <c r="BG198" s="22"/>
      <c r="BH198" s="31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</row>
    <row r="199" spans="1:79" ht="14.25" customHeight="1" outlineLevel="1" x14ac:dyDescent="0.25">
      <c r="A199" s="22"/>
      <c r="B199" s="22" t="s">
        <v>234</v>
      </c>
      <c r="C199" s="162">
        <v>125</v>
      </c>
      <c r="D199" s="162">
        <v>83</v>
      </c>
      <c r="E199" s="22"/>
      <c r="F199" s="82" t="s">
        <v>12</v>
      </c>
      <c r="G199" s="48">
        <f t="shared" ref="G199:M199" si="204">SUM(G217:G221)</f>
        <v>666495</v>
      </c>
      <c r="H199" s="48">
        <f t="shared" si="204"/>
        <v>567214</v>
      </c>
      <c r="I199" s="48">
        <f t="shared" si="204"/>
        <v>866970.87947200018</v>
      </c>
      <c r="J199" s="48">
        <f t="shared" si="204"/>
        <v>750211.79431499995</v>
      </c>
      <c r="K199" s="48">
        <f t="shared" si="204"/>
        <v>835861.01399246836</v>
      </c>
      <c r="L199" s="48">
        <f t="shared" si="204"/>
        <v>690471.64227882912</v>
      </c>
      <c r="M199" s="48">
        <f t="shared" si="204"/>
        <v>702599.67826677207</v>
      </c>
      <c r="N199" s="116">
        <f t="shared" ref="N199:AP199" si="205">N198*$C200</f>
        <v>1019370</v>
      </c>
      <c r="O199" s="116">
        <f t="shared" si="205"/>
        <v>1167210</v>
      </c>
      <c r="P199" s="116">
        <f t="shared" si="205"/>
        <v>1100220</v>
      </c>
      <c r="Q199" s="116">
        <f t="shared" si="205"/>
        <v>1208460</v>
      </c>
      <c r="R199" s="116">
        <f t="shared" si="205"/>
        <v>1249710</v>
      </c>
      <c r="S199" s="125">
        <f t="shared" si="205"/>
        <v>1277100</v>
      </c>
      <c r="T199" s="116">
        <f t="shared" si="205"/>
        <v>1304490</v>
      </c>
      <c r="U199" s="116">
        <f t="shared" si="205"/>
        <v>1331880</v>
      </c>
      <c r="V199" s="116">
        <f t="shared" si="205"/>
        <v>1359270</v>
      </c>
      <c r="W199" s="116">
        <f t="shared" si="205"/>
        <v>1386660</v>
      </c>
      <c r="X199" s="116">
        <f t="shared" si="205"/>
        <v>1414050</v>
      </c>
      <c r="Y199" s="116">
        <f t="shared" si="205"/>
        <v>1441440</v>
      </c>
      <c r="Z199" s="116">
        <f t="shared" si="205"/>
        <v>1468830</v>
      </c>
      <c r="AA199" s="116">
        <f t="shared" si="205"/>
        <v>1496220</v>
      </c>
      <c r="AB199" s="116">
        <f t="shared" si="205"/>
        <v>1523610</v>
      </c>
      <c r="AC199" s="116">
        <f t="shared" si="205"/>
        <v>1551000</v>
      </c>
      <c r="AD199" s="116">
        <f t="shared" si="205"/>
        <v>1578390</v>
      </c>
      <c r="AE199" s="125">
        <f t="shared" si="205"/>
        <v>1605780</v>
      </c>
      <c r="AF199" s="116">
        <f t="shared" si="205"/>
        <v>1633170</v>
      </c>
      <c r="AG199" s="116">
        <f t="shared" si="205"/>
        <v>1660560</v>
      </c>
      <c r="AH199" s="116">
        <f t="shared" si="205"/>
        <v>1687950</v>
      </c>
      <c r="AI199" s="116">
        <f t="shared" si="205"/>
        <v>1715340</v>
      </c>
      <c r="AJ199" s="116">
        <f t="shared" si="205"/>
        <v>1742730</v>
      </c>
      <c r="AK199" s="116">
        <f t="shared" si="205"/>
        <v>1770120</v>
      </c>
      <c r="AL199" s="116">
        <f t="shared" si="205"/>
        <v>1797510</v>
      </c>
      <c r="AM199" s="116">
        <f t="shared" si="205"/>
        <v>1824900</v>
      </c>
      <c r="AN199" s="116">
        <f t="shared" si="205"/>
        <v>1852290</v>
      </c>
      <c r="AO199" s="116">
        <f t="shared" si="205"/>
        <v>1879680</v>
      </c>
      <c r="AP199" s="116">
        <f t="shared" si="205"/>
        <v>1907070</v>
      </c>
      <c r="AQ199" s="31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31"/>
      <c r="BD199" s="31"/>
      <c r="BE199" s="22"/>
      <c r="BF199" s="22"/>
      <c r="BG199" s="22"/>
      <c r="BH199" s="31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</row>
    <row r="200" spans="1:79" ht="14.25" customHeight="1" outlineLevel="1" x14ac:dyDescent="0.25">
      <c r="A200" s="22"/>
      <c r="B200" s="22" t="s">
        <v>235</v>
      </c>
      <c r="C200" s="164">
        <v>330</v>
      </c>
      <c r="D200" s="22"/>
      <c r="E200" s="22"/>
      <c r="F200" s="165" t="s">
        <v>21</v>
      </c>
      <c r="G200" s="157">
        <f t="shared" ref="G200:M200" si="206">G199*I200/I199</f>
        <v>353444.31818181818</v>
      </c>
      <c r="H200" s="157">
        <f t="shared" si="206"/>
        <v>300795.30303030304</v>
      </c>
      <c r="I200" s="157">
        <f t="shared" si="206"/>
        <v>459757.28456848493</v>
      </c>
      <c r="J200" s="157">
        <f t="shared" si="206"/>
        <v>397839.58789431816</v>
      </c>
      <c r="K200" s="157">
        <f t="shared" si="206"/>
        <v>443259.62863236957</v>
      </c>
      <c r="L200" s="157">
        <f t="shared" si="206"/>
        <v>366159.20423877303</v>
      </c>
      <c r="M200" s="157">
        <f t="shared" si="206"/>
        <v>372590.73847480334</v>
      </c>
      <c r="N200" s="157">
        <f t="shared" ref="N200:AP200" si="207">N198*$C202</f>
        <v>540575</v>
      </c>
      <c r="O200" s="157">
        <f t="shared" si="207"/>
        <v>618975</v>
      </c>
      <c r="P200" s="157">
        <f t="shared" si="207"/>
        <v>583450</v>
      </c>
      <c r="Q200" s="157">
        <f t="shared" si="207"/>
        <v>640850</v>
      </c>
      <c r="R200" s="157">
        <f t="shared" si="207"/>
        <v>662725</v>
      </c>
      <c r="S200" s="158">
        <f t="shared" si="207"/>
        <v>677250</v>
      </c>
      <c r="T200" s="157">
        <f t="shared" si="207"/>
        <v>691775</v>
      </c>
      <c r="U200" s="157">
        <f t="shared" si="207"/>
        <v>706300</v>
      </c>
      <c r="V200" s="157">
        <f t="shared" si="207"/>
        <v>720825</v>
      </c>
      <c r="W200" s="157">
        <f t="shared" si="207"/>
        <v>735350</v>
      </c>
      <c r="X200" s="157">
        <f t="shared" si="207"/>
        <v>749875</v>
      </c>
      <c r="Y200" s="157">
        <f t="shared" si="207"/>
        <v>764400</v>
      </c>
      <c r="Z200" s="157">
        <f t="shared" si="207"/>
        <v>778925</v>
      </c>
      <c r="AA200" s="157">
        <f t="shared" si="207"/>
        <v>793450</v>
      </c>
      <c r="AB200" s="157">
        <f t="shared" si="207"/>
        <v>807975</v>
      </c>
      <c r="AC200" s="157">
        <f t="shared" si="207"/>
        <v>822500</v>
      </c>
      <c r="AD200" s="157">
        <f t="shared" si="207"/>
        <v>837025</v>
      </c>
      <c r="AE200" s="158">
        <f t="shared" si="207"/>
        <v>851550</v>
      </c>
      <c r="AF200" s="157">
        <f t="shared" si="207"/>
        <v>866075</v>
      </c>
      <c r="AG200" s="157">
        <f t="shared" si="207"/>
        <v>880600</v>
      </c>
      <c r="AH200" s="157">
        <f t="shared" si="207"/>
        <v>895125</v>
      </c>
      <c r="AI200" s="157">
        <f t="shared" si="207"/>
        <v>909650</v>
      </c>
      <c r="AJ200" s="157">
        <f t="shared" si="207"/>
        <v>924175</v>
      </c>
      <c r="AK200" s="157">
        <f t="shared" si="207"/>
        <v>938700</v>
      </c>
      <c r="AL200" s="157">
        <f t="shared" si="207"/>
        <v>953225</v>
      </c>
      <c r="AM200" s="157">
        <f t="shared" si="207"/>
        <v>967750</v>
      </c>
      <c r="AN200" s="157">
        <f t="shared" si="207"/>
        <v>982275</v>
      </c>
      <c r="AO200" s="157">
        <f t="shared" si="207"/>
        <v>996800</v>
      </c>
      <c r="AP200" s="157">
        <f t="shared" si="207"/>
        <v>1011325</v>
      </c>
      <c r="AQ200" s="31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31"/>
      <c r="BD200" s="31"/>
      <c r="BE200" s="22"/>
      <c r="BF200" s="22"/>
      <c r="BG200" s="22"/>
      <c r="BH200" s="31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</row>
    <row r="201" spans="1:79" ht="14.25" customHeight="1" outlineLevel="1" x14ac:dyDescent="0.25">
      <c r="A201" s="46"/>
      <c r="B201" s="22" t="s">
        <v>236</v>
      </c>
      <c r="C201" s="162">
        <v>45</v>
      </c>
      <c r="D201" s="22" t="s">
        <v>237</v>
      </c>
      <c r="E201" s="46"/>
      <c r="F201" s="139" t="s">
        <v>22</v>
      </c>
      <c r="G201" s="140">
        <f t="shared" ref="G201:AP201" si="208">G199-G200</f>
        <v>313050.68181818182</v>
      </c>
      <c r="H201" s="140">
        <f t="shared" si="208"/>
        <v>266418.69696969696</v>
      </c>
      <c r="I201" s="140">
        <f t="shared" si="208"/>
        <v>407213.59490351524</v>
      </c>
      <c r="J201" s="140">
        <f t="shared" si="208"/>
        <v>352372.20642068179</v>
      </c>
      <c r="K201" s="140">
        <f t="shared" si="208"/>
        <v>392601.38536009879</v>
      </c>
      <c r="L201" s="140">
        <f t="shared" si="208"/>
        <v>324312.43804005609</v>
      </c>
      <c r="M201" s="140">
        <f t="shared" si="208"/>
        <v>330008.93979196873</v>
      </c>
      <c r="N201" s="140">
        <f t="shared" si="208"/>
        <v>478795</v>
      </c>
      <c r="O201" s="140">
        <f t="shared" si="208"/>
        <v>548235</v>
      </c>
      <c r="P201" s="140">
        <f t="shared" si="208"/>
        <v>516770</v>
      </c>
      <c r="Q201" s="140">
        <f t="shared" si="208"/>
        <v>567610</v>
      </c>
      <c r="R201" s="140">
        <f t="shared" si="208"/>
        <v>586985</v>
      </c>
      <c r="S201" s="141">
        <f t="shared" si="208"/>
        <v>599850</v>
      </c>
      <c r="T201" s="140">
        <f t="shared" si="208"/>
        <v>612715</v>
      </c>
      <c r="U201" s="140">
        <f t="shared" si="208"/>
        <v>625580</v>
      </c>
      <c r="V201" s="140">
        <f t="shared" si="208"/>
        <v>638445</v>
      </c>
      <c r="W201" s="140">
        <f t="shared" si="208"/>
        <v>651310</v>
      </c>
      <c r="X201" s="140">
        <f t="shared" si="208"/>
        <v>664175</v>
      </c>
      <c r="Y201" s="140">
        <f t="shared" si="208"/>
        <v>677040</v>
      </c>
      <c r="Z201" s="140">
        <f t="shared" si="208"/>
        <v>689905</v>
      </c>
      <c r="AA201" s="140">
        <f t="shared" si="208"/>
        <v>702770</v>
      </c>
      <c r="AB201" s="140">
        <f t="shared" si="208"/>
        <v>715635</v>
      </c>
      <c r="AC201" s="140">
        <f t="shared" si="208"/>
        <v>728500</v>
      </c>
      <c r="AD201" s="140">
        <f t="shared" si="208"/>
        <v>741365</v>
      </c>
      <c r="AE201" s="141">
        <f t="shared" si="208"/>
        <v>754230</v>
      </c>
      <c r="AF201" s="140">
        <f t="shared" si="208"/>
        <v>767095</v>
      </c>
      <c r="AG201" s="140">
        <f t="shared" si="208"/>
        <v>779960</v>
      </c>
      <c r="AH201" s="140">
        <f t="shared" si="208"/>
        <v>792825</v>
      </c>
      <c r="AI201" s="140">
        <f t="shared" si="208"/>
        <v>805690</v>
      </c>
      <c r="AJ201" s="140">
        <f t="shared" si="208"/>
        <v>818555</v>
      </c>
      <c r="AK201" s="140">
        <f t="shared" si="208"/>
        <v>831420</v>
      </c>
      <c r="AL201" s="140">
        <f t="shared" si="208"/>
        <v>844285</v>
      </c>
      <c r="AM201" s="140">
        <f t="shared" si="208"/>
        <v>857150</v>
      </c>
      <c r="AN201" s="140">
        <f t="shared" si="208"/>
        <v>870015</v>
      </c>
      <c r="AO201" s="140">
        <f t="shared" si="208"/>
        <v>882880</v>
      </c>
      <c r="AP201" s="140">
        <f t="shared" si="208"/>
        <v>895745</v>
      </c>
      <c r="AQ201" s="29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29"/>
      <c r="BD201" s="29"/>
      <c r="BE201" s="46"/>
      <c r="BF201" s="46"/>
      <c r="BG201" s="46"/>
      <c r="BH201" s="29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</row>
    <row r="202" spans="1:79" ht="14.25" customHeight="1" outlineLevel="1" x14ac:dyDescent="0.25">
      <c r="A202" s="22"/>
      <c r="B202" s="22" t="s">
        <v>238</v>
      </c>
      <c r="C202" s="164">
        <v>175</v>
      </c>
      <c r="D202" s="22"/>
      <c r="E202" s="22"/>
      <c r="F202" s="166" t="s">
        <v>23</v>
      </c>
      <c r="G202" s="167">
        <f t="shared" ref="G202:AP202" si="209">G201/G199</f>
        <v>0.46969696969696972</v>
      </c>
      <c r="H202" s="167">
        <f t="shared" si="209"/>
        <v>0.46969696969696967</v>
      </c>
      <c r="I202" s="167">
        <f t="shared" si="209"/>
        <v>0.46969696969696972</v>
      </c>
      <c r="J202" s="167">
        <f t="shared" si="209"/>
        <v>0.46969696969696967</v>
      </c>
      <c r="K202" s="167">
        <f t="shared" si="209"/>
        <v>0.46969696969696972</v>
      </c>
      <c r="L202" s="167">
        <f t="shared" si="209"/>
        <v>0.46969696969696967</v>
      </c>
      <c r="M202" s="167">
        <f t="shared" si="209"/>
        <v>0.46969696969696972</v>
      </c>
      <c r="N202" s="167">
        <f t="shared" si="209"/>
        <v>0.46969696969696972</v>
      </c>
      <c r="O202" s="167">
        <f t="shared" si="209"/>
        <v>0.46969696969696972</v>
      </c>
      <c r="P202" s="167">
        <f t="shared" si="209"/>
        <v>0.46969696969696972</v>
      </c>
      <c r="Q202" s="167">
        <f t="shared" si="209"/>
        <v>0.46969696969696972</v>
      </c>
      <c r="R202" s="167">
        <f t="shared" si="209"/>
        <v>0.46969696969696972</v>
      </c>
      <c r="S202" s="168">
        <f t="shared" si="209"/>
        <v>0.46969696969696972</v>
      </c>
      <c r="T202" s="167">
        <f t="shared" si="209"/>
        <v>0.46969696969696972</v>
      </c>
      <c r="U202" s="167">
        <f t="shared" si="209"/>
        <v>0.46969696969696972</v>
      </c>
      <c r="V202" s="167">
        <f t="shared" si="209"/>
        <v>0.46969696969696972</v>
      </c>
      <c r="W202" s="167">
        <f t="shared" si="209"/>
        <v>0.46969696969696972</v>
      </c>
      <c r="X202" s="167">
        <f t="shared" si="209"/>
        <v>0.46969696969696972</v>
      </c>
      <c r="Y202" s="167">
        <f t="shared" si="209"/>
        <v>0.46969696969696972</v>
      </c>
      <c r="Z202" s="167">
        <f t="shared" si="209"/>
        <v>0.46969696969696972</v>
      </c>
      <c r="AA202" s="167">
        <f t="shared" si="209"/>
        <v>0.46969696969696972</v>
      </c>
      <c r="AB202" s="167">
        <f t="shared" si="209"/>
        <v>0.46969696969696972</v>
      </c>
      <c r="AC202" s="167">
        <f t="shared" si="209"/>
        <v>0.46969696969696972</v>
      </c>
      <c r="AD202" s="167">
        <f t="shared" si="209"/>
        <v>0.46969696969696972</v>
      </c>
      <c r="AE202" s="168">
        <f t="shared" si="209"/>
        <v>0.46969696969696972</v>
      </c>
      <c r="AF202" s="167">
        <f t="shared" si="209"/>
        <v>0.46969696969696972</v>
      </c>
      <c r="AG202" s="167">
        <f t="shared" si="209"/>
        <v>0.46969696969696972</v>
      </c>
      <c r="AH202" s="167">
        <f t="shared" si="209"/>
        <v>0.46969696969696972</v>
      </c>
      <c r="AI202" s="167">
        <f t="shared" si="209"/>
        <v>0.46969696969696972</v>
      </c>
      <c r="AJ202" s="167">
        <f t="shared" si="209"/>
        <v>0.46969696969696972</v>
      </c>
      <c r="AK202" s="167">
        <f t="shared" si="209"/>
        <v>0.46969696969696972</v>
      </c>
      <c r="AL202" s="167">
        <f t="shared" si="209"/>
        <v>0.46969696969696972</v>
      </c>
      <c r="AM202" s="167">
        <f t="shared" si="209"/>
        <v>0.46969696969696972</v>
      </c>
      <c r="AN202" s="167">
        <f t="shared" si="209"/>
        <v>0.46969696969696972</v>
      </c>
      <c r="AO202" s="167">
        <f t="shared" si="209"/>
        <v>0.46969696969696972</v>
      </c>
      <c r="AP202" s="167">
        <f t="shared" si="209"/>
        <v>0.46969696969696972</v>
      </c>
      <c r="AQ202" s="31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31"/>
      <c r="BD202" s="31"/>
      <c r="BE202" s="22"/>
      <c r="BF202" s="22"/>
      <c r="BG202" s="22"/>
      <c r="BH202" s="31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</row>
    <row r="203" spans="1:79" ht="14.25" customHeight="1" outlineLevel="1" x14ac:dyDescent="0.25">
      <c r="A203" s="22"/>
      <c r="B203" s="22" t="s">
        <v>239</v>
      </c>
      <c r="C203" s="162">
        <v>30</v>
      </c>
      <c r="D203" s="22" t="s">
        <v>237</v>
      </c>
      <c r="E203" s="22"/>
      <c r="F203" s="80"/>
      <c r="G203" s="82"/>
      <c r="H203" s="82"/>
      <c r="I203" s="82"/>
      <c r="J203" s="82"/>
      <c r="K203" s="82"/>
      <c r="L203" s="22"/>
      <c r="M203" s="22"/>
      <c r="N203" s="22"/>
      <c r="O203" s="22"/>
      <c r="P203" s="22"/>
      <c r="Q203" s="22"/>
      <c r="R203" s="22"/>
      <c r="S203" s="31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31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31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31"/>
      <c r="BD203" s="31"/>
      <c r="BE203" s="22"/>
      <c r="BF203" s="22"/>
      <c r="BG203" s="22"/>
      <c r="BH203" s="31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</row>
    <row r="204" spans="1:79" ht="14.25" customHeight="1" outlineLevel="1" x14ac:dyDescent="0.25">
      <c r="A204" s="22"/>
      <c r="B204" s="22"/>
      <c r="C204" s="22"/>
      <c r="D204" s="22"/>
      <c r="E204" s="22"/>
      <c r="F204" s="82" t="s">
        <v>236</v>
      </c>
      <c r="G204" s="116"/>
      <c r="H204" s="116">
        <f t="shared" ref="H204:M204" si="210">G199</f>
        <v>666495</v>
      </c>
      <c r="I204" s="116">
        <f t="shared" si="210"/>
        <v>567214</v>
      </c>
      <c r="J204" s="116">
        <f t="shared" si="210"/>
        <v>866970.87947200018</v>
      </c>
      <c r="K204" s="116">
        <f t="shared" si="210"/>
        <v>750211.79431499995</v>
      </c>
      <c r="L204" s="116">
        <f t="shared" si="210"/>
        <v>835861.01399246836</v>
      </c>
      <c r="M204" s="116">
        <f t="shared" si="210"/>
        <v>690471.64227882912</v>
      </c>
      <c r="N204" s="116">
        <f t="shared" ref="N204:AP204" si="211">(0.5*L199)+(0.5*M199)</f>
        <v>696535.6602728006</v>
      </c>
      <c r="O204" s="116">
        <f t="shared" si="211"/>
        <v>860984.83913338603</v>
      </c>
      <c r="P204" s="116">
        <f t="shared" si="211"/>
        <v>1093290</v>
      </c>
      <c r="Q204" s="116">
        <f t="shared" si="211"/>
        <v>1133715</v>
      </c>
      <c r="R204" s="116">
        <f t="shared" si="211"/>
        <v>1154340</v>
      </c>
      <c r="S204" s="125">
        <f t="shared" si="211"/>
        <v>1229085</v>
      </c>
      <c r="T204" s="116">
        <f t="shared" si="211"/>
        <v>1263405</v>
      </c>
      <c r="U204" s="116">
        <f t="shared" si="211"/>
        <v>1290795</v>
      </c>
      <c r="V204" s="116">
        <f t="shared" si="211"/>
        <v>1318185</v>
      </c>
      <c r="W204" s="116">
        <f t="shared" si="211"/>
        <v>1345575</v>
      </c>
      <c r="X204" s="116">
        <f t="shared" si="211"/>
        <v>1372965</v>
      </c>
      <c r="Y204" s="116">
        <f t="shared" si="211"/>
        <v>1400355</v>
      </c>
      <c r="Z204" s="116">
        <f t="shared" si="211"/>
        <v>1427745</v>
      </c>
      <c r="AA204" s="116">
        <f t="shared" si="211"/>
        <v>1455135</v>
      </c>
      <c r="AB204" s="116">
        <f t="shared" si="211"/>
        <v>1482525</v>
      </c>
      <c r="AC204" s="116">
        <f t="shared" si="211"/>
        <v>1509915</v>
      </c>
      <c r="AD204" s="116">
        <f t="shared" si="211"/>
        <v>1537305</v>
      </c>
      <c r="AE204" s="125">
        <f t="shared" si="211"/>
        <v>1564695</v>
      </c>
      <c r="AF204" s="116">
        <f t="shared" si="211"/>
        <v>1592085</v>
      </c>
      <c r="AG204" s="116">
        <f t="shared" si="211"/>
        <v>1619475</v>
      </c>
      <c r="AH204" s="116">
        <f t="shared" si="211"/>
        <v>1646865</v>
      </c>
      <c r="AI204" s="116">
        <f t="shared" si="211"/>
        <v>1674255</v>
      </c>
      <c r="AJ204" s="116">
        <f t="shared" si="211"/>
        <v>1701645</v>
      </c>
      <c r="AK204" s="116">
        <f t="shared" si="211"/>
        <v>1729035</v>
      </c>
      <c r="AL204" s="116">
        <f t="shared" si="211"/>
        <v>1756425</v>
      </c>
      <c r="AM204" s="116">
        <f t="shared" si="211"/>
        <v>1783815</v>
      </c>
      <c r="AN204" s="116">
        <f t="shared" si="211"/>
        <v>1811205</v>
      </c>
      <c r="AO204" s="116">
        <f t="shared" si="211"/>
        <v>1838595</v>
      </c>
      <c r="AP204" s="116">
        <f t="shared" si="211"/>
        <v>1865985</v>
      </c>
      <c r="AQ204" s="31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31"/>
      <c r="BD204" s="31"/>
      <c r="BE204" s="22"/>
      <c r="BF204" s="22"/>
      <c r="BG204" s="22"/>
      <c r="BH204" s="31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</row>
    <row r="205" spans="1:79" ht="14.25" customHeight="1" outlineLevel="1" x14ac:dyDescent="0.25">
      <c r="A205" s="46"/>
      <c r="B205" s="46"/>
      <c r="C205" s="46"/>
      <c r="D205" s="46"/>
      <c r="E205" s="22"/>
      <c r="F205" s="165" t="s">
        <v>239</v>
      </c>
      <c r="G205" s="157"/>
      <c r="H205" s="157">
        <f t="shared" ref="H205:AP205" si="212">G200</f>
        <v>353444.31818181818</v>
      </c>
      <c r="I205" s="157">
        <f t="shared" si="212"/>
        <v>300795.30303030304</v>
      </c>
      <c r="J205" s="157">
        <f t="shared" si="212"/>
        <v>459757.28456848493</v>
      </c>
      <c r="K205" s="157">
        <f t="shared" si="212"/>
        <v>397839.58789431816</v>
      </c>
      <c r="L205" s="157">
        <f t="shared" si="212"/>
        <v>443259.62863236957</v>
      </c>
      <c r="M205" s="157">
        <f t="shared" si="212"/>
        <v>366159.20423877303</v>
      </c>
      <c r="N205" s="157">
        <f t="shared" si="212"/>
        <v>372590.73847480334</v>
      </c>
      <c r="O205" s="157">
        <f t="shared" si="212"/>
        <v>540575</v>
      </c>
      <c r="P205" s="157">
        <f t="shared" si="212"/>
        <v>618975</v>
      </c>
      <c r="Q205" s="157">
        <f t="shared" si="212"/>
        <v>583450</v>
      </c>
      <c r="R205" s="157">
        <f t="shared" si="212"/>
        <v>640850</v>
      </c>
      <c r="S205" s="158">
        <f t="shared" si="212"/>
        <v>662725</v>
      </c>
      <c r="T205" s="157">
        <f t="shared" si="212"/>
        <v>677250</v>
      </c>
      <c r="U205" s="157">
        <f t="shared" si="212"/>
        <v>691775</v>
      </c>
      <c r="V205" s="157">
        <f t="shared" si="212"/>
        <v>706300</v>
      </c>
      <c r="W205" s="157">
        <f t="shared" si="212"/>
        <v>720825</v>
      </c>
      <c r="X205" s="157">
        <f t="shared" si="212"/>
        <v>735350</v>
      </c>
      <c r="Y205" s="157">
        <f t="shared" si="212"/>
        <v>749875</v>
      </c>
      <c r="Z205" s="157">
        <f t="shared" si="212"/>
        <v>764400</v>
      </c>
      <c r="AA205" s="157">
        <f t="shared" si="212"/>
        <v>778925</v>
      </c>
      <c r="AB205" s="157">
        <f t="shared" si="212"/>
        <v>793450</v>
      </c>
      <c r="AC205" s="157">
        <f t="shared" si="212"/>
        <v>807975</v>
      </c>
      <c r="AD205" s="157">
        <f t="shared" si="212"/>
        <v>822500</v>
      </c>
      <c r="AE205" s="158">
        <f t="shared" si="212"/>
        <v>837025</v>
      </c>
      <c r="AF205" s="157">
        <f t="shared" si="212"/>
        <v>851550</v>
      </c>
      <c r="AG205" s="157">
        <f t="shared" si="212"/>
        <v>866075</v>
      </c>
      <c r="AH205" s="157">
        <f t="shared" si="212"/>
        <v>880600</v>
      </c>
      <c r="AI205" s="157">
        <f t="shared" si="212"/>
        <v>895125</v>
      </c>
      <c r="AJ205" s="157">
        <f t="shared" si="212"/>
        <v>909650</v>
      </c>
      <c r="AK205" s="157">
        <f t="shared" si="212"/>
        <v>924175</v>
      </c>
      <c r="AL205" s="157">
        <f t="shared" si="212"/>
        <v>938700</v>
      </c>
      <c r="AM205" s="157">
        <f t="shared" si="212"/>
        <v>953225</v>
      </c>
      <c r="AN205" s="157">
        <f t="shared" si="212"/>
        <v>967750</v>
      </c>
      <c r="AO205" s="157">
        <f t="shared" si="212"/>
        <v>982275</v>
      </c>
      <c r="AP205" s="157">
        <f t="shared" si="212"/>
        <v>996800</v>
      </c>
      <c r="AQ205" s="29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29"/>
      <c r="BD205" s="29"/>
      <c r="BE205" s="46"/>
      <c r="BF205" s="46"/>
      <c r="BG205" s="46"/>
      <c r="BH205" s="29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</row>
    <row r="206" spans="1:79" ht="14.25" customHeight="1" outlineLevel="1" x14ac:dyDescent="0.25">
      <c r="A206" s="46"/>
      <c r="B206" s="46"/>
      <c r="C206" s="46"/>
      <c r="D206" s="46"/>
      <c r="E206" s="46"/>
      <c r="F206" s="139" t="s">
        <v>240</v>
      </c>
      <c r="G206" s="140">
        <f t="shared" ref="G206:AP206" si="213">G204-G205</f>
        <v>0</v>
      </c>
      <c r="H206" s="140">
        <f t="shared" si="213"/>
        <v>313050.68181818182</v>
      </c>
      <c r="I206" s="140">
        <f t="shared" si="213"/>
        <v>266418.69696969696</v>
      </c>
      <c r="J206" s="140">
        <f t="shared" si="213"/>
        <v>407213.59490351524</v>
      </c>
      <c r="K206" s="140">
        <f t="shared" si="213"/>
        <v>352372.20642068179</v>
      </c>
      <c r="L206" s="140">
        <f t="shared" si="213"/>
        <v>392601.38536009879</v>
      </c>
      <c r="M206" s="140">
        <f t="shared" si="213"/>
        <v>324312.43804005609</v>
      </c>
      <c r="N206" s="140">
        <f t="shared" si="213"/>
        <v>323944.92179799726</v>
      </c>
      <c r="O206" s="140">
        <f t="shared" si="213"/>
        <v>320409.83913338603</v>
      </c>
      <c r="P206" s="140">
        <f t="shared" si="213"/>
        <v>474315</v>
      </c>
      <c r="Q206" s="140">
        <f t="shared" si="213"/>
        <v>550265</v>
      </c>
      <c r="R206" s="140">
        <f t="shared" si="213"/>
        <v>513490</v>
      </c>
      <c r="S206" s="141">
        <f t="shared" si="213"/>
        <v>566360</v>
      </c>
      <c r="T206" s="140">
        <f t="shared" si="213"/>
        <v>586155</v>
      </c>
      <c r="U206" s="140">
        <f t="shared" si="213"/>
        <v>599020</v>
      </c>
      <c r="V206" s="140">
        <f t="shared" si="213"/>
        <v>611885</v>
      </c>
      <c r="W206" s="140">
        <f t="shared" si="213"/>
        <v>624750</v>
      </c>
      <c r="X206" s="140">
        <f t="shared" si="213"/>
        <v>637615</v>
      </c>
      <c r="Y206" s="140">
        <f t="shared" si="213"/>
        <v>650480</v>
      </c>
      <c r="Z206" s="140">
        <f t="shared" si="213"/>
        <v>663345</v>
      </c>
      <c r="AA206" s="140">
        <f t="shared" si="213"/>
        <v>676210</v>
      </c>
      <c r="AB206" s="140">
        <f t="shared" si="213"/>
        <v>689075</v>
      </c>
      <c r="AC206" s="140">
        <f t="shared" si="213"/>
        <v>701940</v>
      </c>
      <c r="AD206" s="140">
        <f t="shared" si="213"/>
        <v>714805</v>
      </c>
      <c r="AE206" s="141">
        <f t="shared" si="213"/>
        <v>727670</v>
      </c>
      <c r="AF206" s="140">
        <f t="shared" si="213"/>
        <v>740535</v>
      </c>
      <c r="AG206" s="140">
        <f t="shared" si="213"/>
        <v>753400</v>
      </c>
      <c r="AH206" s="140">
        <f t="shared" si="213"/>
        <v>766265</v>
      </c>
      <c r="AI206" s="140">
        <f t="shared" si="213"/>
        <v>779130</v>
      </c>
      <c r="AJ206" s="140">
        <f t="shared" si="213"/>
        <v>791995</v>
      </c>
      <c r="AK206" s="140">
        <f t="shared" si="213"/>
        <v>804860</v>
      </c>
      <c r="AL206" s="140">
        <f t="shared" si="213"/>
        <v>817725</v>
      </c>
      <c r="AM206" s="140">
        <f t="shared" si="213"/>
        <v>830590</v>
      </c>
      <c r="AN206" s="140">
        <f t="shared" si="213"/>
        <v>843455</v>
      </c>
      <c r="AO206" s="140">
        <f t="shared" si="213"/>
        <v>856320</v>
      </c>
      <c r="AP206" s="140">
        <f t="shared" si="213"/>
        <v>869185</v>
      </c>
      <c r="AQ206" s="29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29"/>
      <c r="BD206" s="29"/>
      <c r="BE206" s="46"/>
      <c r="BF206" s="46"/>
      <c r="BG206" s="46"/>
      <c r="BH206" s="29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</row>
    <row r="207" spans="1:79" ht="14.25" customHeight="1" outlineLevel="1" x14ac:dyDescent="0.25">
      <c r="A207" s="22"/>
      <c r="B207" s="22"/>
      <c r="C207" s="22"/>
      <c r="D207" s="22"/>
      <c r="E207" s="46"/>
      <c r="F207" s="139"/>
      <c r="G207" s="139"/>
      <c r="H207" s="139"/>
      <c r="I207" s="139"/>
      <c r="J207" s="139"/>
      <c r="K207" s="139"/>
      <c r="L207" s="46"/>
      <c r="M207" s="140"/>
      <c r="N207" s="140"/>
      <c r="O207" s="140"/>
      <c r="P207" s="140"/>
      <c r="Q207" s="140"/>
      <c r="R207" s="140"/>
      <c r="S207" s="141"/>
      <c r="T207" s="140"/>
      <c r="U207" s="140"/>
      <c r="V207" s="140"/>
      <c r="W207" s="140"/>
      <c r="X207" s="140"/>
      <c r="Y207" s="140"/>
      <c r="Z207" s="140"/>
      <c r="AA207" s="140"/>
      <c r="AB207" s="140"/>
      <c r="AC207" s="140"/>
      <c r="AD207" s="140"/>
      <c r="AE207" s="141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140"/>
      <c r="AQ207" s="31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31"/>
      <c r="BD207" s="31"/>
      <c r="BE207" s="22"/>
      <c r="BF207" s="22"/>
      <c r="BG207" s="22"/>
      <c r="BH207" s="31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</row>
    <row r="208" spans="1:79" ht="14.25" customHeight="1" outlineLevel="1" x14ac:dyDescent="0.25">
      <c r="A208" s="22"/>
      <c r="B208" s="22"/>
      <c r="C208" s="22"/>
      <c r="D208" s="22"/>
      <c r="E208" s="46"/>
      <c r="F208" s="139" t="s">
        <v>241</v>
      </c>
      <c r="G208" s="139"/>
      <c r="H208" s="139"/>
      <c r="I208" s="139"/>
      <c r="J208" s="139"/>
      <c r="K208" s="139"/>
      <c r="L208" s="46"/>
      <c r="M208" s="140"/>
      <c r="N208" s="140"/>
      <c r="O208" s="140"/>
      <c r="P208" s="140"/>
      <c r="Q208" s="140"/>
      <c r="R208" s="140"/>
      <c r="S208" s="141"/>
      <c r="T208" s="140"/>
      <c r="U208" s="140"/>
      <c r="V208" s="140"/>
      <c r="W208" s="140"/>
      <c r="X208" s="140"/>
      <c r="Y208" s="140"/>
      <c r="Z208" s="140"/>
      <c r="AA208" s="140"/>
      <c r="AB208" s="140"/>
      <c r="AC208" s="140"/>
      <c r="AD208" s="140"/>
      <c r="AE208" s="141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140"/>
      <c r="AQ208" s="31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31"/>
      <c r="BD208" s="31"/>
      <c r="BE208" s="22"/>
      <c r="BF208" s="22"/>
      <c r="BG208" s="22"/>
      <c r="BH208" s="31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</row>
    <row r="209" spans="1:79" ht="14.25" customHeight="1" outlineLevel="1" x14ac:dyDescent="0.25">
      <c r="A209" s="22"/>
      <c r="B209" s="22"/>
      <c r="C209" s="22"/>
      <c r="D209" s="22"/>
      <c r="E209" s="22"/>
      <c r="F209" s="82" t="s">
        <v>242</v>
      </c>
      <c r="G209" s="116">
        <f t="shared" ref="G209:AP209" si="214">G199</f>
        <v>666495</v>
      </c>
      <c r="H209" s="116">
        <f t="shared" si="214"/>
        <v>567214</v>
      </c>
      <c r="I209" s="116">
        <f t="shared" si="214"/>
        <v>866970.87947200018</v>
      </c>
      <c r="J209" s="116">
        <f t="shared" si="214"/>
        <v>750211.79431499995</v>
      </c>
      <c r="K209" s="116">
        <f t="shared" si="214"/>
        <v>835861.01399246836</v>
      </c>
      <c r="L209" s="116">
        <f t="shared" si="214"/>
        <v>690471.64227882912</v>
      </c>
      <c r="M209" s="116">
        <f t="shared" si="214"/>
        <v>702599.67826677207</v>
      </c>
      <c r="N209" s="116">
        <f t="shared" si="214"/>
        <v>1019370</v>
      </c>
      <c r="O209" s="116">
        <f t="shared" si="214"/>
        <v>1167210</v>
      </c>
      <c r="P209" s="116">
        <f t="shared" si="214"/>
        <v>1100220</v>
      </c>
      <c r="Q209" s="116">
        <f t="shared" si="214"/>
        <v>1208460</v>
      </c>
      <c r="R209" s="116">
        <f t="shared" si="214"/>
        <v>1249710</v>
      </c>
      <c r="S209" s="125">
        <f t="shared" si="214"/>
        <v>1277100</v>
      </c>
      <c r="T209" s="116">
        <f t="shared" si="214"/>
        <v>1304490</v>
      </c>
      <c r="U209" s="116">
        <f t="shared" si="214"/>
        <v>1331880</v>
      </c>
      <c r="V209" s="116">
        <f t="shared" si="214"/>
        <v>1359270</v>
      </c>
      <c r="W209" s="116">
        <f t="shared" si="214"/>
        <v>1386660</v>
      </c>
      <c r="X209" s="116">
        <f t="shared" si="214"/>
        <v>1414050</v>
      </c>
      <c r="Y209" s="116">
        <f t="shared" si="214"/>
        <v>1441440</v>
      </c>
      <c r="Z209" s="116">
        <f t="shared" si="214"/>
        <v>1468830</v>
      </c>
      <c r="AA209" s="116">
        <f t="shared" si="214"/>
        <v>1496220</v>
      </c>
      <c r="AB209" s="116">
        <f t="shared" si="214"/>
        <v>1523610</v>
      </c>
      <c r="AC209" s="116">
        <f t="shared" si="214"/>
        <v>1551000</v>
      </c>
      <c r="AD209" s="116">
        <f t="shared" si="214"/>
        <v>1578390</v>
      </c>
      <c r="AE209" s="125">
        <f t="shared" si="214"/>
        <v>1605780</v>
      </c>
      <c r="AF209" s="116">
        <f t="shared" si="214"/>
        <v>1633170</v>
      </c>
      <c r="AG209" s="116">
        <f t="shared" si="214"/>
        <v>1660560</v>
      </c>
      <c r="AH209" s="116">
        <f t="shared" si="214"/>
        <v>1687950</v>
      </c>
      <c r="AI209" s="116">
        <f t="shared" si="214"/>
        <v>1715340</v>
      </c>
      <c r="AJ209" s="116">
        <f t="shared" si="214"/>
        <v>1742730</v>
      </c>
      <c r="AK209" s="116">
        <f t="shared" si="214"/>
        <v>1770120</v>
      </c>
      <c r="AL209" s="116">
        <f t="shared" si="214"/>
        <v>1797510</v>
      </c>
      <c r="AM209" s="116">
        <f t="shared" si="214"/>
        <v>1824900</v>
      </c>
      <c r="AN209" s="116">
        <f t="shared" si="214"/>
        <v>1852290</v>
      </c>
      <c r="AO209" s="116">
        <f t="shared" si="214"/>
        <v>1879680</v>
      </c>
      <c r="AP209" s="116">
        <f t="shared" si="214"/>
        <v>1907070</v>
      </c>
      <c r="AQ209" s="31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31"/>
      <c r="BD209" s="31"/>
      <c r="BE209" s="22"/>
      <c r="BF209" s="22"/>
      <c r="BG209" s="22"/>
      <c r="BH209" s="31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</row>
    <row r="210" spans="1:79" ht="14.25" customHeight="1" outlineLevel="1" x14ac:dyDescent="0.25">
      <c r="A210" s="22"/>
      <c r="B210" s="22"/>
      <c r="C210" s="22"/>
      <c r="D210" s="22"/>
      <c r="E210" s="22"/>
      <c r="F210" s="82" t="s">
        <v>243</v>
      </c>
      <c r="G210" s="116">
        <f t="shared" ref="G210:AP210" si="215">G200</f>
        <v>353444.31818181818</v>
      </c>
      <c r="H210" s="116">
        <f t="shared" si="215"/>
        <v>300795.30303030304</v>
      </c>
      <c r="I210" s="116">
        <f t="shared" si="215"/>
        <v>459757.28456848493</v>
      </c>
      <c r="J210" s="116">
        <f t="shared" si="215"/>
        <v>397839.58789431816</v>
      </c>
      <c r="K210" s="116">
        <f t="shared" si="215"/>
        <v>443259.62863236957</v>
      </c>
      <c r="L210" s="116">
        <f t="shared" si="215"/>
        <v>366159.20423877303</v>
      </c>
      <c r="M210" s="116">
        <f t="shared" si="215"/>
        <v>372590.73847480334</v>
      </c>
      <c r="N210" s="116">
        <f t="shared" si="215"/>
        <v>540575</v>
      </c>
      <c r="O210" s="116">
        <f t="shared" si="215"/>
        <v>618975</v>
      </c>
      <c r="P210" s="116">
        <f t="shared" si="215"/>
        <v>583450</v>
      </c>
      <c r="Q210" s="116">
        <f t="shared" si="215"/>
        <v>640850</v>
      </c>
      <c r="R210" s="116">
        <f t="shared" si="215"/>
        <v>662725</v>
      </c>
      <c r="S210" s="125">
        <f t="shared" si="215"/>
        <v>677250</v>
      </c>
      <c r="T210" s="116">
        <f t="shared" si="215"/>
        <v>691775</v>
      </c>
      <c r="U210" s="116">
        <f t="shared" si="215"/>
        <v>706300</v>
      </c>
      <c r="V210" s="116">
        <f t="shared" si="215"/>
        <v>720825</v>
      </c>
      <c r="W210" s="116">
        <f t="shared" si="215"/>
        <v>735350</v>
      </c>
      <c r="X210" s="116">
        <f t="shared" si="215"/>
        <v>749875</v>
      </c>
      <c r="Y210" s="116">
        <f t="shared" si="215"/>
        <v>764400</v>
      </c>
      <c r="Z210" s="116">
        <f t="shared" si="215"/>
        <v>778925</v>
      </c>
      <c r="AA210" s="116">
        <f t="shared" si="215"/>
        <v>793450</v>
      </c>
      <c r="AB210" s="116">
        <f t="shared" si="215"/>
        <v>807975</v>
      </c>
      <c r="AC210" s="116">
        <f t="shared" si="215"/>
        <v>822500</v>
      </c>
      <c r="AD210" s="116">
        <f t="shared" si="215"/>
        <v>837025</v>
      </c>
      <c r="AE210" s="125">
        <f t="shared" si="215"/>
        <v>851550</v>
      </c>
      <c r="AF210" s="116">
        <f t="shared" si="215"/>
        <v>866075</v>
      </c>
      <c r="AG210" s="116">
        <f t="shared" si="215"/>
        <v>880600</v>
      </c>
      <c r="AH210" s="116">
        <f t="shared" si="215"/>
        <v>895125</v>
      </c>
      <c r="AI210" s="116">
        <f t="shared" si="215"/>
        <v>909650</v>
      </c>
      <c r="AJ210" s="116">
        <f t="shared" si="215"/>
        <v>924175</v>
      </c>
      <c r="AK210" s="116">
        <f t="shared" si="215"/>
        <v>938700</v>
      </c>
      <c r="AL210" s="116">
        <f t="shared" si="215"/>
        <v>953225</v>
      </c>
      <c r="AM210" s="116">
        <f t="shared" si="215"/>
        <v>967750</v>
      </c>
      <c r="AN210" s="116">
        <f t="shared" si="215"/>
        <v>982275</v>
      </c>
      <c r="AO210" s="116">
        <f t="shared" si="215"/>
        <v>996800</v>
      </c>
      <c r="AP210" s="116">
        <f t="shared" si="215"/>
        <v>1011325</v>
      </c>
      <c r="AQ210" s="31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31"/>
      <c r="BD210" s="31"/>
      <c r="BE210" s="22"/>
      <c r="BF210" s="22"/>
      <c r="BG210" s="22"/>
      <c r="BH210" s="31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</row>
    <row r="211" spans="1:79" ht="14.25" customHeight="1" outlineLevel="1" x14ac:dyDescent="0.25">
      <c r="A211" s="142"/>
      <c r="B211" s="142"/>
      <c r="C211" s="142"/>
      <c r="D211" s="142"/>
      <c r="E211" s="147"/>
      <c r="F211" s="148"/>
      <c r="G211" s="148"/>
      <c r="H211" s="148"/>
      <c r="I211" s="148"/>
      <c r="J211" s="148"/>
      <c r="K211" s="148"/>
      <c r="L211" s="147"/>
      <c r="M211" s="149"/>
      <c r="N211" s="149"/>
      <c r="O211" s="149"/>
      <c r="P211" s="149"/>
      <c r="Q211" s="149"/>
      <c r="R211" s="149"/>
      <c r="S211" s="150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50"/>
      <c r="AF211" s="149"/>
      <c r="AG211" s="149"/>
      <c r="AH211" s="149"/>
      <c r="AI211" s="149"/>
      <c r="AJ211" s="149"/>
      <c r="AK211" s="149"/>
      <c r="AL211" s="149"/>
      <c r="AM211" s="149"/>
      <c r="AN211" s="149"/>
      <c r="AO211" s="149"/>
      <c r="AP211" s="149"/>
      <c r="AQ211" s="146"/>
      <c r="AR211" s="142"/>
      <c r="AS211" s="142"/>
      <c r="AT211" s="142"/>
      <c r="AU211" s="142"/>
      <c r="AV211" s="142"/>
      <c r="AW211" s="142"/>
      <c r="AX211" s="142"/>
      <c r="AY211" s="142"/>
      <c r="AZ211" s="142"/>
      <c r="BA211" s="142"/>
      <c r="BB211" s="142"/>
      <c r="BC211" s="146"/>
      <c r="BD211" s="146"/>
      <c r="BE211" s="142"/>
      <c r="BF211" s="142"/>
      <c r="BG211" s="142"/>
      <c r="BH211" s="146"/>
      <c r="BI211" s="142"/>
      <c r="BJ211" s="142"/>
      <c r="BK211" s="142"/>
      <c r="BL211" s="142"/>
      <c r="BM211" s="142"/>
      <c r="BN211" s="142"/>
      <c r="BO211" s="142"/>
      <c r="BP211" s="142"/>
      <c r="BQ211" s="142"/>
      <c r="BR211" s="142"/>
      <c r="BS211" s="142"/>
      <c r="BT211" s="142"/>
      <c r="BU211" s="142"/>
      <c r="BV211" s="142"/>
      <c r="BW211" s="142"/>
      <c r="BX211" s="142"/>
      <c r="BY211" s="142"/>
      <c r="BZ211" s="142"/>
      <c r="CA211" s="142"/>
    </row>
    <row r="212" spans="1:79" ht="14.25" customHeight="1" outlineLevel="1" x14ac:dyDescent="0.25">
      <c r="A212" s="142"/>
      <c r="B212" s="142"/>
      <c r="C212" s="142"/>
      <c r="D212" s="142"/>
      <c r="E212" s="147"/>
      <c r="F212" s="148" t="s">
        <v>244</v>
      </c>
      <c r="G212" s="148"/>
      <c r="H212" s="148"/>
      <c r="I212" s="148"/>
      <c r="J212" s="148"/>
      <c r="K212" s="148"/>
      <c r="L212" s="147"/>
      <c r="M212" s="149"/>
      <c r="N212" s="149"/>
      <c r="O212" s="149"/>
      <c r="P212" s="149"/>
      <c r="Q212" s="149"/>
      <c r="R212" s="149"/>
      <c r="S212" s="150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  <c r="AE212" s="150"/>
      <c r="AF212" s="149"/>
      <c r="AG212" s="149"/>
      <c r="AH212" s="149"/>
      <c r="AI212" s="149"/>
      <c r="AJ212" s="149"/>
      <c r="AK212" s="149"/>
      <c r="AL212" s="149"/>
      <c r="AM212" s="149"/>
      <c r="AN212" s="149"/>
      <c r="AO212" s="149"/>
      <c r="AP212" s="149"/>
      <c r="AQ212" s="146"/>
      <c r="AR212" s="142"/>
      <c r="AS212" s="142"/>
      <c r="AT212" s="142"/>
      <c r="AU212" s="142"/>
      <c r="AV212" s="142"/>
      <c r="AW212" s="142"/>
      <c r="AX212" s="142"/>
      <c r="AY212" s="142"/>
      <c r="AZ212" s="142"/>
      <c r="BA212" s="142"/>
      <c r="BB212" s="142"/>
      <c r="BC212" s="146"/>
      <c r="BD212" s="146"/>
      <c r="BE212" s="142"/>
      <c r="BF212" s="142"/>
      <c r="BG212" s="142"/>
      <c r="BH212" s="146"/>
      <c r="BI212" s="142"/>
      <c r="BJ212" s="142"/>
      <c r="BK212" s="142"/>
      <c r="BL212" s="142"/>
      <c r="BM212" s="142"/>
      <c r="BN212" s="142"/>
      <c r="BO212" s="142"/>
      <c r="BP212" s="142"/>
      <c r="BQ212" s="142"/>
      <c r="BR212" s="142"/>
      <c r="BS212" s="142"/>
      <c r="BT212" s="142"/>
      <c r="BU212" s="142"/>
      <c r="BV212" s="142"/>
      <c r="BW212" s="142"/>
      <c r="BX212" s="142"/>
      <c r="BY212" s="142"/>
      <c r="BZ212" s="142"/>
      <c r="CA212" s="142"/>
    </row>
    <row r="213" spans="1:79" ht="14.25" customHeight="1" outlineLevel="1" x14ac:dyDescent="0.25">
      <c r="A213" s="142"/>
      <c r="B213" s="142"/>
      <c r="C213" s="142"/>
      <c r="D213" s="142"/>
      <c r="E213" s="142"/>
      <c r="F213" s="143" t="s">
        <v>245</v>
      </c>
      <c r="G213" s="144"/>
      <c r="H213" s="144">
        <f t="shared" ref="H213:AP213" si="216">H209+(G209/2)</f>
        <v>900461.5</v>
      </c>
      <c r="I213" s="144">
        <f t="shared" si="216"/>
        <v>1150577.8794720001</v>
      </c>
      <c r="J213" s="144">
        <f t="shared" si="216"/>
        <v>1183697.2340510001</v>
      </c>
      <c r="K213" s="144">
        <f t="shared" si="216"/>
        <v>1210966.9111499684</v>
      </c>
      <c r="L213" s="144">
        <f t="shared" si="216"/>
        <v>1108402.1492750633</v>
      </c>
      <c r="M213" s="144">
        <f t="shared" si="216"/>
        <v>1047835.4994061866</v>
      </c>
      <c r="N213" s="144">
        <f t="shared" si="216"/>
        <v>1370669.839133386</v>
      </c>
      <c r="O213" s="144">
        <f t="shared" si="216"/>
        <v>1676895</v>
      </c>
      <c r="P213" s="144">
        <f t="shared" si="216"/>
        <v>1683825</v>
      </c>
      <c r="Q213" s="144">
        <f t="shared" si="216"/>
        <v>1758570</v>
      </c>
      <c r="R213" s="144">
        <f t="shared" si="216"/>
        <v>1853940</v>
      </c>
      <c r="S213" s="145">
        <f t="shared" si="216"/>
        <v>1901955</v>
      </c>
      <c r="T213" s="144">
        <f t="shared" si="216"/>
        <v>1943040</v>
      </c>
      <c r="U213" s="144">
        <f t="shared" si="216"/>
        <v>1984125</v>
      </c>
      <c r="V213" s="144">
        <f t="shared" si="216"/>
        <v>2025210</v>
      </c>
      <c r="W213" s="144">
        <f t="shared" si="216"/>
        <v>2066295</v>
      </c>
      <c r="X213" s="144">
        <f t="shared" si="216"/>
        <v>2107380</v>
      </c>
      <c r="Y213" s="144">
        <f t="shared" si="216"/>
        <v>2148465</v>
      </c>
      <c r="Z213" s="144">
        <f t="shared" si="216"/>
        <v>2189550</v>
      </c>
      <c r="AA213" s="144">
        <f t="shared" si="216"/>
        <v>2230635</v>
      </c>
      <c r="AB213" s="144">
        <f t="shared" si="216"/>
        <v>2271720</v>
      </c>
      <c r="AC213" s="144">
        <f t="shared" si="216"/>
        <v>2312805</v>
      </c>
      <c r="AD213" s="144">
        <f t="shared" si="216"/>
        <v>2353890</v>
      </c>
      <c r="AE213" s="145">
        <f t="shared" si="216"/>
        <v>2394975</v>
      </c>
      <c r="AF213" s="144">
        <f t="shared" si="216"/>
        <v>2436060</v>
      </c>
      <c r="AG213" s="144">
        <f t="shared" si="216"/>
        <v>2477145</v>
      </c>
      <c r="AH213" s="144">
        <f t="shared" si="216"/>
        <v>2518230</v>
      </c>
      <c r="AI213" s="144">
        <f t="shared" si="216"/>
        <v>2559315</v>
      </c>
      <c r="AJ213" s="144">
        <f t="shared" si="216"/>
        <v>2600400</v>
      </c>
      <c r="AK213" s="144">
        <f t="shared" si="216"/>
        <v>2641485</v>
      </c>
      <c r="AL213" s="144">
        <f t="shared" si="216"/>
        <v>2682570</v>
      </c>
      <c r="AM213" s="144">
        <f t="shared" si="216"/>
        <v>2723655</v>
      </c>
      <c r="AN213" s="144">
        <f t="shared" si="216"/>
        <v>2764740</v>
      </c>
      <c r="AO213" s="144">
        <f t="shared" si="216"/>
        <v>2805825</v>
      </c>
      <c r="AP213" s="144">
        <f t="shared" si="216"/>
        <v>2846910</v>
      </c>
      <c r="AQ213" s="146"/>
      <c r="AR213" s="142"/>
      <c r="AS213" s="142"/>
      <c r="AT213" s="142"/>
      <c r="AU213" s="142"/>
      <c r="AV213" s="142"/>
      <c r="AW213" s="142"/>
      <c r="AX213" s="142"/>
      <c r="AY213" s="142"/>
      <c r="AZ213" s="142"/>
      <c r="BA213" s="142"/>
      <c r="BB213" s="142"/>
      <c r="BC213" s="146"/>
      <c r="BD213" s="146"/>
      <c r="BE213" s="142"/>
      <c r="BF213" s="142"/>
      <c r="BG213" s="142"/>
      <c r="BH213" s="146"/>
      <c r="BI213" s="142"/>
      <c r="BJ213" s="142"/>
      <c r="BK213" s="142"/>
      <c r="BL213" s="142"/>
      <c r="BM213" s="142"/>
      <c r="BN213" s="142"/>
      <c r="BO213" s="142"/>
      <c r="BP213" s="142"/>
      <c r="BQ213" s="142"/>
      <c r="BR213" s="142"/>
      <c r="BS213" s="142"/>
      <c r="BT213" s="142"/>
      <c r="BU213" s="142"/>
      <c r="BV213" s="142"/>
      <c r="BW213" s="142"/>
      <c r="BX213" s="142"/>
      <c r="BY213" s="142"/>
      <c r="BZ213" s="142"/>
      <c r="CA213" s="142"/>
    </row>
    <row r="214" spans="1:79" ht="14.25" customHeight="1" outlineLevel="1" x14ac:dyDescent="0.25">
      <c r="A214" s="142"/>
      <c r="B214" s="142"/>
      <c r="C214" s="142"/>
      <c r="D214" s="142"/>
      <c r="E214" s="142"/>
      <c r="F214" s="143" t="s">
        <v>246</v>
      </c>
      <c r="G214" s="143"/>
      <c r="H214" s="144">
        <f t="shared" ref="H214:M214" si="217">H210</f>
        <v>300795.30303030304</v>
      </c>
      <c r="I214" s="144">
        <f t="shared" si="217"/>
        <v>459757.28456848493</v>
      </c>
      <c r="J214" s="144">
        <f t="shared" si="217"/>
        <v>397839.58789431816</v>
      </c>
      <c r="K214" s="144">
        <f t="shared" si="217"/>
        <v>443259.62863236957</v>
      </c>
      <c r="L214" s="144">
        <f t="shared" si="217"/>
        <v>366159.20423877303</v>
      </c>
      <c r="M214" s="144">
        <f t="shared" si="217"/>
        <v>372590.73847480334</v>
      </c>
      <c r="N214" s="144">
        <f t="shared" ref="N214:AP214" si="218">N200</f>
        <v>540575</v>
      </c>
      <c r="O214" s="144">
        <f t="shared" si="218"/>
        <v>618975</v>
      </c>
      <c r="P214" s="144">
        <f t="shared" si="218"/>
        <v>583450</v>
      </c>
      <c r="Q214" s="144">
        <f t="shared" si="218"/>
        <v>640850</v>
      </c>
      <c r="R214" s="144">
        <f t="shared" si="218"/>
        <v>662725</v>
      </c>
      <c r="S214" s="145">
        <f t="shared" si="218"/>
        <v>677250</v>
      </c>
      <c r="T214" s="144">
        <f t="shared" si="218"/>
        <v>691775</v>
      </c>
      <c r="U214" s="144">
        <f t="shared" si="218"/>
        <v>706300</v>
      </c>
      <c r="V214" s="144">
        <f t="shared" si="218"/>
        <v>720825</v>
      </c>
      <c r="W214" s="144">
        <f t="shared" si="218"/>
        <v>735350</v>
      </c>
      <c r="X214" s="144">
        <f t="shared" si="218"/>
        <v>749875</v>
      </c>
      <c r="Y214" s="144">
        <f t="shared" si="218"/>
        <v>764400</v>
      </c>
      <c r="Z214" s="144">
        <f t="shared" si="218"/>
        <v>778925</v>
      </c>
      <c r="AA214" s="144">
        <f t="shared" si="218"/>
        <v>793450</v>
      </c>
      <c r="AB214" s="144">
        <f t="shared" si="218"/>
        <v>807975</v>
      </c>
      <c r="AC214" s="144">
        <f t="shared" si="218"/>
        <v>822500</v>
      </c>
      <c r="AD214" s="144">
        <f t="shared" si="218"/>
        <v>837025</v>
      </c>
      <c r="AE214" s="145">
        <f t="shared" si="218"/>
        <v>851550</v>
      </c>
      <c r="AF214" s="144">
        <f t="shared" si="218"/>
        <v>866075</v>
      </c>
      <c r="AG214" s="144">
        <f t="shared" si="218"/>
        <v>880600</v>
      </c>
      <c r="AH214" s="144">
        <f t="shared" si="218"/>
        <v>895125</v>
      </c>
      <c r="AI214" s="144">
        <f t="shared" si="218"/>
        <v>909650</v>
      </c>
      <c r="AJ214" s="144">
        <f t="shared" si="218"/>
        <v>924175</v>
      </c>
      <c r="AK214" s="144">
        <f t="shared" si="218"/>
        <v>938700</v>
      </c>
      <c r="AL214" s="144">
        <f t="shared" si="218"/>
        <v>953225</v>
      </c>
      <c r="AM214" s="144">
        <f t="shared" si="218"/>
        <v>967750</v>
      </c>
      <c r="AN214" s="144">
        <f t="shared" si="218"/>
        <v>982275</v>
      </c>
      <c r="AO214" s="144">
        <f t="shared" si="218"/>
        <v>996800</v>
      </c>
      <c r="AP214" s="144">
        <f t="shared" si="218"/>
        <v>1011325</v>
      </c>
      <c r="AQ214" s="146"/>
      <c r="AR214" s="142"/>
      <c r="AS214" s="142"/>
      <c r="AT214" s="142"/>
      <c r="AU214" s="142"/>
      <c r="AV214" s="142"/>
      <c r="AW214" s="142"/>
      <c r="AX214" s="142"/>
      <c r="AY214" s="142"/>
      <c r="AZ214" s="142"/>
      <c r="BA214" s="142"/>
      <c r="BB214" s="142"/>
      <c r="BC214" s="146"/>
      <c r="BD214" s="146"/>
      <c r="BE214" s="142"/>
      <c r="BF214" s="142"/>
      <c r="BG214" s="142"/>
      <c r="BH214" s="146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</row>
    <row r="215" spans="1:79" ht="14.25" customHeight="1" outlineLevel="1" x14ac:dyDescent="0.25">
      <c r="A215" s="22"/>
      <c r="B215" s="22"/>
      <c r="C215" s="22"/>
      <c r="D215" s="22"/>
      <c r="E215" s="22"/>
      <c r="F215" s="82"/>
      <c r="G215" s="82"/>
      <c r="H215" s="82"/>
      <c r="I215" s="82"/>
      <c r="J215" s="82"/>
      <c r="K215" s="82"/>
      <c r="L215" s="22"/>
      <c r="M215" s="116"/>
      <c r="N215" s="116"/>
      <c r="O215" s="116"/>
      <c r="P215" s="116"/>
      <c r="Q215" s="116"/>
      <c r="R215" s="116"/>
      <c r="S215" s="125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25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31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31"/>
      <c r="BD215" s="31"/>
      <c r="BE215" s="22"/>
      <c r="BF215" s="22"/>
      <c r="BG215" s="22"/>
      <c r="BH215" s="31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</row>
    <row r="216" spans="1:79" ht="14.25" customHeight="1" outlineLevel="1" x14ac:dyDescent="0.25">
      <c r="A216" s="22"/>
      <c r="B216" s="22"/>
      <c r="C216" s="22"/>
      <c r="D216" s="22"/>
      <c r="E216" s="22"/>
      <c r="F216" s="139" t="s">
        <v>247</v>
      </c>
      <c r="G216" s="82"/>
      <c r="H216" s="82"/>
      <c r="I216" s="82"/>
      <c r="J216" s="82"/>
      <c r="K216" s="82"/>
      <c r="L216" s="22"/>
      <c r="M216" s="22"/>
      <c r="N216" s="22"/>
      <c r="O216" s="22"/>
      <c r="P216" s="22"/>
      <c r="Q216" s="22"/>
      <c r="R216" s="22"/>
      <c r="S216" s="31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31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31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31"/>
      <c r="BD216" s="31"/>
      <c r="BE216" s="22"/>
      <c r="BF216" s="22"/>
      <c r="BG216" s="22"/>
      <c r="BH216" s="31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</row>
    <row r="217" spans="1:79" ht="14.25" customHeight="1" outlineLevel="1" x14ac:dyDescent="0.25">
      <c r="A217" s="46"/>
      <c r="B217" s="46"/>
      <c r="C217" s="46"/>
      <c r="D217" s="46"/>
      <c r="E217" s="46"/>
      <c r="F217" s="82" t="s">
        <v>248</v>
      </c>
      <c r="G217" s="109">
        <v>39693</v>
      </c>
      <c r="H217" s="109">
        <v>2651.38</v>
      </c>
      <c r="I217" s="109">
        <v>82944.7</v>
      </c>
      <c r="J217" s="109">
        <v>52951.28</v>
      </c>
      <c r="K217" s="109">
        <v>65055.719999999994</v>
      </c>
      <c r="L217" s="11">
        <v>33894.14</v>
      </c>
      <c r="M217" s="11">
        <v>50862.720000000001</v>
      </c>
      <c r="N217" s="11">
        <f t="shared" ref="N217:AP217" si="219">M217+N233</f>
        <v>66701.236086661404</v>
      </c>
      <c r="O217" s="11">
        <f t="shared" si="219"/>
        <v>74093.236086661404</v>
      </c>
      <c r="P217" s="11">
        <f t="shared" si="219"/>
        <v>70743.736086661404</v>
      </c>
      <c r="Q217" s="11">
        <f t="shared" si="219"/>
        <v>76155.736086661404</v>
      </c>
      <c r="R217" s="11">
        <f t="shared" si="219"/>
        <v>78218.236086661404</v>
      </c>
      <c r="S217" s="50">
        <f t="shared" si="219"/>
        <v>79587.736086661404</v>
      </c>
      <c r="T217" s="11">
        <f t="shared" si="219"/>
        <v>80957.236086661404</v>
      </c>
      <c r="U217" s="11">
        <f t="shared" si="219"/>
        <v>82326.736086661404</v>
      </c>
      <c r="V217" s="11">
        <f t="shared" si="219"/>
        <v>83696.236086661404</v>
      </c>
      <c r="W217" s="11">
        <f t="shared" si="219"/>
        <v>85065.736086661404</v>
      </c>
      <c r="X217" s="11">
        <f t="shared" si="219"/>
        <v>86435.236086661404</v>
      </c>
      <c r="Y217" s="11">
        <f t="shared" si="219"/>
        <v>87804.736086661404</v>
      </c>
      <c r="Z217" s="11">
        <f t="shared" si="219"/>
        <v>89174.236086661404</v>
      </c>
      <c r="AA217" s="11">
        <f t="shared" si="219"/>
        <v>90543.736086661404</v>
      </c>
      <c r="AB217" s="11">
        <f t="shared" si="219"/>
        <v>91913.236086661404</v>
      </c>
      <c r="AC217" s="11">
        <f t="shared" si="219"/>
        <v>93282.736086661404</v>
      </c>
      <c r="AD217" s="11">
        <f t="shared" si="219"/>
        <v>94652.236086661404</v>
      </c>
      <c r="AE217" s="50">
        <f t="shared" si="219"/>
        <v>96021.736086661404</v>
      </c>
      <c r="AF217" s="11">
        <f t="shared" si="219"/>
        <v>97391.236086661404</v>
      </c>
      <c r="AG217" s="11">
        <f t="shared" si="219"/>
        <v>98760.736086661404</v>
      </c>
      <c r="AH217" s="11">
        <f t="shared" si="219"/>
        <v>100130.2360866614</v>
      </c>
      <c r="AI217" s="11">
        <f t="shared" si="219"/>
        <v>101499.7360866614</v>
      </c>
      <c r="AJ217" s="11">
        <f t="shared" si="219"/>
        <v>102869.2360866614</v>
      </c>
      <c r="AK217" s="11">
        <f t="shared" si="219"/>
        <v>104238.7360866614</v>
      </c>
      <c r="AL217" s="11">
        <f t="shared" si="219"/>
        <v>105608.2360866614</v>
      </c>
      <c r="AM217" s="11">
        <f t="shared" si="219"/>
        <v>106977.7360866614</v>
      </c>
      <c r="AN217" s="11">
        <f t="shared" si="219"/>
        <v>108347.2360866614</v>
      </c>
      <c r="AO217" s="11">
        <f t="shared" si="219"/>
        <v>109716.7360866614</v>
      </c>
      <c r="AP217" s="11">
        <f t="shared" si="219"/>
        <v>111086.2360866614</v>
      </c>
      <c r="AQ217" s="29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29"/>
      <c r="BD217" s="29"/>
      <c r="BE217" s="46"/>
      <c r="BF217" s="46"/>
      <c r="BG217" s="46"/>
      <c r="BH217" s="29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</row>
    <row r="218" spans="1:79" ht="14.25" customHeight="1" outlineLevel="1" x14ac:dyDescent="0.25">
      <c r="A218" s="46"/>
      <c r="B218" s="46"/>
      <c r="C218" s="46"/>
      <c r="D218" s="46"/>
      <c r="E218" s="46"/>
      <c r="F218" s="82" t="s">
        <v>249</v>
      </c>
      <c r="G218" s="109">
        <v>90560</v>
      </c>
      <c r="H218" s="109">
        <v>59110.28</v>
      </c>
      <c r="I218" s="109">
        <v>76560.200000000012</v>
      </c>
      <c r="J218" s="109">
        <v>78018.559999999998</v>
      </c>
      <c r="K218" s="109">
        <v>109759.23999999999</v>
      </c>
      <c r="L218" s="11">
        <v>34958</v>
      </c>
      <c r="M218" s="11">
        <v>79054.28</v>
      </c>
      <c r="N218" s="11">
        <f t="shared" ref="N218:AP218" si="220">M218+N234</f>
        <v>86973.5380433307</v>
      </c>
      <c r="O218" s="11">
        <f t="shared" si="220"/>
        <v>90669.5380433307</v>
      </c>
      <c r="P218" s="11">
        <f t="shared" si="220"/>
        <v>88994.7880433307</v>
      </c>
      <c r="Q218" s="11">
        <f t="shared" si="220"/>
        <v>91700.7880433307</v>
      </c>
      <c r="R218" s="11">
        <f t="shared" si="220"/>
        <v>92732.0380433307</v>
      </c>
      <c r="S218" s="50">
        <f t="shared" si="220"/>
        <v>93416.7880433307</v>
      </c>
      <c r="T218" s="11">
        <f t="shared" si="220"/>
        <v>94101.5380433307</v>
      </c>
      <c r="U218" s="11">
        <f t="shared" si="220"/>
        <v>94786.2880433307</v>
      </c>
      <c r="V218" s="11">
        <f t="shared" si="220"/>
        <v>95471.0380433307</v>
      </c>
      <c r="W218" s="11">
        <f t="shared" si="220"/>
        <v>96155.7880433307</v>
      </c>
      <c r="X218" s="11">
        <f t="shared" si="220"/>
        <v>96840.5380433307</v>
      </c>
      <c r="Y218" s="11">
        <f t="shared" si="220"/>
        <v>97525.2880433307</v>
      </c>
      <c r="Z218" s="11">
        <f t="shared" si="220"/>
        <v>98210.0380433307</v>
      </c>
      <c r="AA218" s="11">
        <f t="shared" si="220"/>
        <v>98894.7880433307</v>
      </c>
      <c r="AB218" s="11">
        <f t="shared" si="220"/>
        <v>99579.5380433307</v>
      </c>
      <c r="AC218" s="11">
        <f t="shared" si="220"/>
        <v>100264.2880433307</v>
      </c>
      <c r="AD218" s="11">
        <f t="shared" si="220"/>
        <v>100949.0380433307</v>
      </c>
      <c r="AE218" s="50">
        <f t="shared" si="220"/>
        <v>101633.7880433307</v>
      </c>
      <c r="AF218" s="11">
        <f t="shared" si="220"/>
        <v>102318.5380433307</v>
      </c>
      <c r="AG218" s="11">
        <f t="shared" si="220"/>
        <v>103003.2880433307</v>
      </c>
      <c r="AH218" s="11">
        <f t="shared" si="220"/>
        <v>103688.0380433307</v>
      </c>
      <c r="AI218" s="11">
        <f t="shared" si="220"/>
        <v>104372.7880433307</v>
      </c>
      <c r="AJ218" s="11">
        <f t="shared" si="220"/>
        <v>105057.5380433307</v>
      </c>
      <c r="AK218" s="11">
        <f t="shared" si="220"/>
        <v>105742.2880433307</v>
      </c>
      <c r="AL218" s="11">
        <f t="shared" si="220"/>
        <v>106427.0380433307</v>
      </c>
      <c r="AM218" s="11">
        <f t="shared" si="220"/>
        <v>107111.7880433307</v>
      </c>
      <c r="AN218" s="11">
        <f t="shared" si="220"/>
        <v>107796.5380433307</v>
      </c>
      <c r="AO218" s="11">
        <f t="shared" si="220"/>
        <v>108481.2880433307</v>
      </c>
      <c r="AP218" s="11">
        <f t="shared" si="220"/>
        <v>109166.0380433307</v>
      </c>
      <c r="AQ218" s="29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29"/>
      <c r="BD218" s="29"/>
      <c r="BE218" s="46"/>
      <c r="BF218" s="46"/>
      <c r="BG218" s="46"/>
      <c r="BH218" s="29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</row>
    <row r="219" spans="1:79" ht="14.25" customHeight="1" outlineLevel="1" x14ac:dyDescent="0.25">
      <c r="A219" s="46"/>
      <c r="B219" s="46"/>
      <c r="C219" s="46"/>
      <c r="D219" s="46"/>
      <c r="E219" s="46"/>
      <c r="F219" s="82" t="s">
        <v>250</v>
      </c>
      <c r="G219" s="109">
        <v>516799</v>
      </c>
      <c r="H219" s="109">
        <v>505228.24</v>
      </c>
      <c r="I219" s="109">
        <v>679210.74947199994</v>
      </c>
      <c r="J219" s="109">
        <v>609656.08431499999</v>
      </c>
      <c r="K219" s="109">
        <v>651471.8039924684</v>
      </c>
      <c r="L219" s="11">
        <v>619369.68227882904</v>
      </c>
      <c r="M219" s="11">
        <v>572682.67826677207</v>
      </c>
      <c r="N219" s="11">
        <f t="shared" ref="N219:AP219" si="221">M219+N231</f>
        <v>636036.74261341768</v>
      </c>
      <c r="O219" s="11">
        <f t="shared" si="221"/>
        <v>667083.1426134177</v>
      </c>
      <c r="P219" s="11">
        <f t="shared" si="221"/>
        <v>652345.34261341766</v>
      </c>
      <c r="Q219" s="11">
        <f t="shared" si="221"/>
        <v>677240.54261341761</v>
      </c>
      <c r="R219" s="11">
        <f t="shared" si="221"/>
        <v>687140.54261341761</v>
      </c>
      <c r="S219" s="50">
        <f t="shared" si="221"/>
        <v>693988.04261341761</v>
      </c>
      <c r="T219" s="11">
        <f t="shared" si="221"/>
        <v>701109.44261341763</v>
      </c>
      <c r="U219" s="11">
        <f t="shared" si="221"/>
        <v>708504.74261341768</v>
      </c>
      <c r="V219" s="11">
        <f t="shared" si="221"/>
        <v>716173.94261341763</v>
      </c>
      <c r="W219" s="11">
        <f t="shared" si="221"/>
        <v>724117.04261341761</v>
      </c>
      <c r="X219" s="11">
        <f t="shared" si="221"/>
        <v>732334.04261341761</v>
      </c>
      <c r="Y219" s="11">
        <f t="shared" si="221"/>
        <v>740824.94261341763</v>
      </c>
      <c r="Z219" s="11">
        <f t="shared" si="221"/>
        <v>749589.74261341768</v>
      </c>
      <c r="AA219" s="11">
        <f t="shared" si="221"/>
        <v>758628.44261341763</v>
      </c>
      <c r="AB219" s="11">
        <f t="shared" si="221"/>
        <v>767941.04261341761</v>
      </c>
      <c r="AC219" s="11">
        <f t="shared" si="221"/>
        <v>777527.54261341761</v>
      </c>
      <c r="AD219" s="11">
        <f t="shared" si="221"/>
        <v>787387.94261341763</v>
      </c>
      <c r="AE219" s="50">
        <f t="shared" si="221"/>
        <v>797522.24261341768</v>
      </c>
      <c r="AF219" s="11">
        <f t="shared" si="221"/>
        <v>807930.44261341763</v>
      </c>
      <c r="AG219" s="11">
        <f t="shared" si="221"/>
        <v>818612.54261341761</v>
      </c>
      <c r="AH219" s="11">
        <f t="shared" si="221"/>
        <v>829568.54261341761</v>
      </c>
      <c r="AI219" s="11">
        <f t="shared" si="221"/>
        <v>840798.44261341763</v>
      </c>
      <c r="AJ219" s="11">
        <f t="shared" si="221"/>
        <v>852302.24261341768</v>
      </c>
      <c r="AK219" s="11">
        <f t="shared" si="221"/>
        <v>864079.94261341763</v>
      </c>
      <c r="AL219" s="11">
        <f t="shared" si="221"/>
        <v>876131.54261341761</v>
      </c>
      <c r="AM219" s="11">
        <f t="shared" si="221"/>
        <v>888457.04261341761</v>
      </c>
      <c r="AN219" s="11">
        <f t="shared" si="221"/>
        <v>901056.44261341763</v>
      </c>
      <c r="AO219" s="11">
        <f t="shared" si="221"/>
        <v>913929.74261341768</v>
      </c>
      <c r="AP219" s="11">
        <f t="shared" si="221"/>
        <v>927076.94261341763</v>
      </c>
      <c r="AQ219" s="29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29"/>
      <c r="BD219" s="29"/>
      <c r="BE219" s="46"/>
      <c r="BF219" s="46"/>
      <c r="BG219" s="46"/>
      <c r="BH219" s="29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</row>
    <row r="220" spans="1:79" ht="14.25" customHeight="1" outlineLevel="1" x14ac:dyDescent="0.25">
      <c r="A220" s="46"/>
      <c r="B220" s="46"/>
      <c r="C220" s="46"/>
      <c r="D220" s="46"/>
      <c r="E220" s="169"/>
      <c r="F220" s="82" t="s">
        <v>251</v>
      </c>
      <c r="G220" s="109">
        <v>19443</v>
      </c>
      <c r="H220" s="109">
        <v>224.09999999997672</v>
      </c>
      <c r="I220" s="109">
        <v>28255.230000000214</v>
      </c>
      <c r="J220" s="109">
        <v>9585.8699999999953</v>
      </c>
      <c r="K220" s="109">
        <v>9574.25</v>
      </c>
      <c r="L220" s="11">
        <v>2249.8200000000652</v>
      </c>
      <c r="M220" s="11">
        <v>0</v>
      </c>
      <c r="N220" s="11">
        <f t="shared" ref="N220:AP220" si="222">M220+N235</f>
        <v>1583.8516086661398</v>
      </c>
      <c r="O220" s="11">
        <f t="shared" si="222"/>
        <v>2323.0516086661401</v>
      </c>
      <c r="P220" s="11">
        <f t="shared" si="222"/>
        <v>1988.10160866614</v>
      </c>
      <c r="Q220" s="11">
        <f t="shared" si="222"/>
        <v>2529.3016086661401</v>
      </c>
      <c r="R220" s="11">
        <f t="shared" si="222"/>
        <v>2735.5516086661401</v>
      </c>
      <c r="S220" s="50">
        <f t="shared" si="222"/>
        <v>2872.5016086661399</v>
      </c>
      <c r="T220" s="11">
        <f t="shared" si="222"/>
        <v>3009.4516086661397</v>
      </c>
      <c r="U220" s="11">
        <f t="shared" si="222"/>
        <v>3146.4016086661395</v>
      </c>
      <c r="V220" s="11">
        <f t="shared" si="222"/>
        <v>3283.3516086661393</v>
      </c>
      <c r="W220" s="11">
        <f t="shared" si="222"/>
        <v>3420.3016086661391</v>
      </c>
      <c r="X220" s="11">
        <f t="shared" si="222"/>
        <v>3557.251608666139</v>
      </c>
      <c r="Y220" s="11">
        <f t="shared" si="222"/>
        <v>3694.2016086661388</v>
      </c>
      <c r="Z220" s="11">
        <f t="shared" si="222"/>
        <v>3831.1516086661386</v>
      </c>
      <c r="AA220" s="11">
        <f t="shared" si="222"/>
        <v>3968.1016086661384</v>
      </c>
      <c r="AB220" s="11">
        <f t="shared" si="222"/>
        <v>4105.0516086661382</v>
      </c>
      <c r="AC220" s="11">
        <f t="shared" si="222"/>
        <v>4242.0016086661381</v>
      </c>
      <c r="AD220" s="11">
        <f t="shared" si="222"/>
        <v>4378.9516086661379</v>
      </c>
      <c r="AE220" s="50">
        <f t="shared" si="222"/>
        <v>4515.9016086661377</v>
      </c>
      <c r="AF220" s="11">
        <f t="shared" si="222"/>
        <v>4652.8516086661375</v>
      </c>
      <c r="AG220" s="11">
        <f t="shared" si="222"/>
        <v>4789.8016086661373</v>
      </c>
      <c r="AH220" s="11">
        <f t="shared" si="222"/>
        <v>4926.7516086661371</v>
      </c>
      <c r="AI220" s="11">
        <f t="shared" si="222"/>
        <v>5063.701608666137</v>
      </c>
      <c r="AJ220" s="11">
        <f t="shared" si="222"/>
        <v>5200.6516086661368</v>
      </c>
      <c r="AK220" s="11">
        <f t="shared" si="222"/>
        <v>5337.6016086661366</v>
      </c>
      <c r="AL220" s="11">
        <f t="shared" si="222"/>
        <v>5474.5516086661364</v>
      </c>
      <c r="AM220" s="11">
        <f t="shared" si="222"/>
        <v>5611.5016086661362</v>
      </c>
      <c r="AN220" s="11">
        <f t="shared" si="222"/>
        <v>5748.4516086661361</v>
      </c>
      <c r="AO220" s="11">
        <f t="shared" si="222"/>
        <v>5885.4016086661359</v>
      </c>
      <c r="AP220" s="11">
        <f t="shared" si="222"/>
        <v>6022.3516086661357</v>
      </c>
      <c r="AQ220" s="29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29"/>
      <c r="BD220" s="29"/>
      <c r="BE220" s="46"/>
      <c r="BF220" s="46"/>
      <c r="BG220" s="46"/>
      <c r="BH220" s="29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</row>
    <row r="221" spans="1:79" ht="14.25" customHeight="1" outlineLevel="1" x14ac:dyDescent="0.25">
      <c r="A221" s="46"/>
      <c r="B221" s="46"/>
      <c r="C221" s="46"/>
      <c r="D221" s="46"/>
      <c r="E221" s="46"/>
      <c r="F221" s="82" t="s">
        <v>252</v>
      </c>
      <c r="G221" s="109"/>
      <c r="H221" s="109"/>
      <c r="I221" s="109"/>
      <c r="J221" s="109"/>
      <c r="K221" s="109"/>
      <c r="L221" s="11"/>
      <c r="M221" s="11"/>
      <c r="N221" s="11">
        <f t="shared" ref="N221:AP221" si="223">M221+N232</f>
        <v>228074.63164792411</v>
      </c>
      <c r="O221" s="11">
        <f t="shared" si="223"/>
        <v>333041.0316479241</v>
      </c>
      <c r="P221" s="11">
        <f t="shared" si="223"/>
        <v>286148.0316479241</v>
      </c>
      <c r="Q221" s="11">
        <f t="shared" si="223"/>
        <v>360833.63164792408</v>
      </c>
      <c r="R221" s="11">
        <f t="shared" si="223"/>
        <v>388883.63164792408</v>
      </c>
      <c r="S221" s="50">
        <f t="shared" si="223"/>
        <v>407234.93164792407</v>
      </c>
      <c r="T221" s="11">
        <f t="shared" si="223"/>
        <v>425312.33164792409</v>
      </c>
      <c r="U221" s="11">
        <f t="shared" si="223"/>
        <v>443115.83164792409</v>
      </c>
      <c r="V221" s="11">
        <f t="shared" si="223"/>
        <v>460645.43164792407</v>
      </c>
      <c r="W221" s="11">
        <f t="shared" si="223"/>
        <v>477901.13164792408</v>
      </c>
      <c r="X221" s="11">
        <f t="shared" si="223"/>
        <v>494882.93164792407</v>
      </c>
      <c r="Y221" s="11">
        <f t="shared" si="223"/>
        <v>511590.83164792409</v>
      </c>
      <c r="Z221" s="11">
        <f t="shared" si="223"/>
        <v>528024.83164792403</v>
      </c>
      <c r="AA221" s="11">
        <f t="shared" si="223"/>
        <v>544184.93164792401</v>
      </c>
      <c r="AB221" s="11">
        <f t="shared" si="223"/>
        <v>560071.13164792396</v>
      </c>
      <c r="AC221" s="11">
        <f t="shared" si="223"/>
        <v>575683.43164792401</v>
      </c>
      <c r="AD221" s="11">
        <f t="shared" si="223"/>
        <v>591021.83164792403</v>
      </c>
      <c r="AE221" s="50">
        <f t="shared" si="223"/>
        <v>606086.33164792403</v>
      </c>
      <c r="AF221" s="11">
        <f t="shared" si="223"/>
        <v>620876.93164792401</v>
      </c>
      <c r="AG221" s="11">
        <f t="shared" si="223"/>
        <v>635393.63164792396</v>
      </c>
      <c r="AH221" s="11">
        <f t="shared" si="223"/>
        <v>649636.43164792401</v>
      </c>
      <c r="AI221" s="11">
        <f t="shared" si="223"/>
        <v>663605.33164792403</v>
      </c>
      <c r="AJ221" s="11">
        <f t="shared" si="223"/>
        <v>677300.33164792403</v>
      </c>
      <c r="AK221" s="11">
        <f t="shared" si="223"/>
        <v>690721.43164792401</v>
      </c>
      <c r="AL221" s="11">
        <f t="shared" si="223"/>
        <v>703868.63164792396</v>
      </c>
      <c r="AM221" s="11">
        <f t="shared" si="223"/>
        <v>716741.93164792401</v>
      </c>
      <c r="AN221" s="11">
        <f t="shared" si="223"/>
        <v>729341.33164792403</v>
      </c>
      <c r="AO221" s="11">
        <f t="shared" si="223"/>
        <v>741666.83164792403</v>
      </c>
      <c r="AP221" s="11">
        <f t="shared" si="223"/>
        <v>753718.43164792401</v>
      </c>
      <c r="AQ221" s="29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29"/>
      <c r="BD221" s="29"/>
      <c r="BE221" s="46"/>
      <c r="BF221" s="46"/>
      <c r="BG221" s="46"/>
      <c r="BH221" s="29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</row>
    <row r="222" spans="1:79" ht="14.25" customHeight="1" outlineLevel="1" x14ac:dyDescent="0.25">
      <c r="A222" s="46"/>
      <c r="B222" s="46"/>
      <c r="C222" s="46"/>
      <c r="D222" s="46"/>
      <c r="E222" s="46"/>
      <c r="F222" s="82"/>
      <c r="G222" s="109"/>
      <c r="H222" s="109"/>
      <c r="I222" s="109"/>
      <c r="J222" s="109"/>
      <c r="K222" s="109"/>
      <c r="L222" s="11"/>
      <c r="M222" s="11"/>
      <c r="N222" s="11"/>
      <c r="O222" s="11"/>
      <c r="P222" s="11"/>
      <c r="Q222" s="11"/>
      <c r="R222" s="11"/>
      <c r="S222" s="50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50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29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29"/>
      <c r="BD222" s="29"/>
      <c r="BE222" s="46"/>
      <c r="BF222" s="46"/>
      <c r="BG222" s="46"/>
      <c r="BH222" s="29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</row>
    <row r="223" spans="1:79" ht="14.25" customHeight="1" outlineLevel="1" x14ac:dyDescent="0.25">
      <c r="A223" s="46"/>
      <c r="B223" s="46"/>
      <c r="C223" s="46"/>
      <c r="D223" s="170" t="s">
        <v>253</v>
      </c>
      <c r="E223" s="170" t="s">
        <v>254</v>
      </c>
      <c r="F223" s="139" t="s">
        <v>255</v>
      </c>
      <c r="G223" s="46"/>
      <c r="H223" s="46"/>
      <c r="I223" s="46"/>
      <c r="J223" s="46"/>
      <c r="K223" s="46"/>
      <c r="L223" s="46"/>
      <c r="M223" s="46"/>
      <c r="N223" s="171"/>
      <c r="O223" s="171"/>
      <c r="P223" s="171"/>
      <c r="Q223" s="171"/>
      <c r="R223" s="171"/>
      <c r="S223" s="172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2"/>
      <c r="AF223" s="171"/>
      <c r="AG223" s="171"/>
      <c r="AH223" s="171"/>
      <c r="AI223" s="171"/>
      <c r="AJ223" s="171"/>
      <c r="AK223" s="171"/>
      <c r="AL223" s="171"/>
      <c r="AM223" s="171"/>
      <c r="AN223" s="171"/>
      <c r="AO223" s="171"/>
      <c r="AP223" s="171"/>
      <c r="AQ223" s="29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29"/>
      <c r="BD223" s="29"/>
      <c r="BE223" s="46"/>
      <c r="BF223" s="46"/>
      <c r="BG223" s="46"/>
      <c r="BH223" s="29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</row>
    <row r="224" spans="1:79" ht="14.25" customHeight="1" outlineLevel="1" x14ac:dyDescent="0.25">
      <c r="A224" s="46"/>
      <c r="B224" s="46"/>
      <c r="C224" s="46"/>
      <c r="D224" s="173">
        <v>0.01</v>
      </c>
      <c r="E224" s="173">
        <v>0.2</v>
      </c>
      <c r="F224" s="82" t="s">
        <v>250</v>
      </c>
      <c r="G224" s="139"/>
      <c r="H224" s="139"/>
      <c r="I224" s="139"/>
      <c r="J224" s="139"/>
      <c r="K224" s="139"/>
      <c r="L224" s="46"/>
      <c r="M224" s="131"/>
      <c r="N224" s="131">
        <f t="shared" ref="N224:N228" si="224">E224</f>
        <v>0.2</v>
      </c>
      <c r="O224" s="131">
        <f t="shared" ref="O224:AP224" si="225">N224+$D224</f>
        <v>0.21000000000000002</v>
      </c>
      <c r="P224" s="131">
        <f t="shared" si="225"/>
        <v>0.22000000000000003</v>
      </c>
      <c r="Q224" s="131">
        <f t="shared" si="225"/>
        <v>0.23000000000000004</v>
      </c>
      <c r="R224" s="131">
        <f t="shared" si="225"/>
        <v>0.24000000000000005</v>
      </c>
      <c r="S224" s="132">
        <f t="shared" si="225"/>
        <v>0.25000000000000006</v>
      </c>
      <c r="T224" s="131">
        <f t="shared" si="225"/>
        <v>0.26000000000000006</v>
      </c>
      <c r="U224" s="131">
        <f t="shared" si="225"/>
        <v>0.27000000000000007</v>
      </c>
      <c r="V224" s="131">
        <f t="shared" si="225"/>
        <v>0.28000000000000008</v>
      </c>
      <c r="W224" s="131">
        <f t="shared" si="225"/>
        <v>0.29000000000000009</v>
      </c>
      <c r="X224" s="131">
        <f t="shared" si="225"/>
        <v>0.3000000000000001</v>
      </c>
      <c r="Y224" s="131">
        <f t="shared" si="225"/>
        <v>0.31000000000000011</v>
      </c>
      <c r="Z224" s="131">
        <f t="shared" si="225"/>
        <v>0.32000000000000012</v>
      </c>
      <c r="AA224" s="131">
        <f t="shared" si="225"/>
        <v>0.33000000000000013</v>
      </c>
      <c r="AB224" s="131">
        <f t="shared" si="225"/>
        <v>0.34000000000000014</v>
      </c>
      <c r="AC224" s="131">
        <f t="shared" si="225"/>
        <v>0.35000000000000014</v>
      </c>
      <c r="AD224" s="131">
        <f t="shared" si="225"/>
        <v>0.36000000000000015</v>
      </c>
      <c r="AE224" s="132">
        <f t="shared" si="225"/>
        <v>0.37000000000000016</v>
      </c>
      <c r="AF224" s="131">
        <f t="shared" si="225"/>
        <v>0.38000000000000017</v>
      </c>
      <c r="AG224" s="131">
        <f t="shared" si="225"/>
        <v>0.39000000000000018</v>
      </c>
      <c r="AH224" s="131">
        <f t="shared" si="225"/>
        <v>0.40000000000000019</v>
      </c>
      <c r="AI224" s="131">
        <f t="shared" si="225"/>
        <v>0.4100000000000002</v>
      </c>
      <c r="AJ224" s="131">
        <f t="shared" si="225"/>
        <v>0.42000000000000021</v>
      </c>
      <c r="AK224" s="131">
        <f t="shared" si="225"/>
        <v>0.43000000000000022</v>
      </c>
      <c r="AL224" s="131">
        <f t="shared" si="225"/>
        <v>0.44000000000000022</v>
      </c>
      <c r="AM224" s="131">
        <f t="shared" si="225"/>
        <v>0.45000000000000023</v>
      </c>
      <c r="AN224" s="131">
        <f t="shared" si="225"/>
        <v>0.46000000000000024</v>
      </c>
      <c r="AO224" s="131">
        <f t="shared" si="225"/>
        <v>0.47000000000000025</v>
      </c>
      <c r="AP224" s="131">
        <f t="shared" si="225"/>
        <v>0.48000000000000026</v>
      </c>
      <c r="AQ224" s="29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29"/>
      <c r="BD224" s="29"/>
      <c r="BE224" s="46"/>
      <c r="BF224" s="46"/>
      <c r="BG224" s="46"/>
      <c r="BH224" s="29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</row>
    <row r="225" spans="1:79" ht="14.25" customHeight="1" outlineLevel="1" x14ac:dyDescent="0.25">
      <c r="A225" s="46"/>
      <c r="B225" s="46"/>
      <c r="C225" s="46"/>
      <c r="D225" s="173">
        <v>-0.01</v>
      </c>
      <c r="E225" s="173">
        <v>0.72</v>
      </c>
      <c r="F225" s="82" t="s">
        <v>252</v>
      </c>
      <c r="G225" s="139"/>
      <c r="H225" s="139"/>
      <c r="I225" s="139"/>
      <c r="J225" s="139"/>
      <c r="K225" s="139"/>
      <c r="L225" s="46"/>
      <c r="M225" s="131"/>
      <c r="N225" s="131">
        <f t="shared" si="224"/>
        <v>0.72</v>
      </c>
      <c r="O225" s="131">
        <f t="shared" ref="O225:AP225" si="226">N225+$D225</f>
        <v>0.71</v>
      </c>
      <c r="P225" s="131">
        <f t="shared" si="226"/>
        <v>0.7</v>
      </c>
      <c r="Q225" s="131">
        <f t="shared" si="226"/>
        <v>0.69</v>
      </c>
      <c r="R225" s="131">
        <f t="shared" si="226"/>
        <v>0.67999999999999994</v>
      </c>
      <c r="S225" s="132">
        <f t="shared" si="226"/>
        <v>0.66999999999999993</v>
      </c>
      <c r="T225" s="131">
        <f t="shared" si="226"/>
        <v>0.65999999999999992</v>
      </c>
      <c r="U225" s="131">
        <f t="shared" si="226"/>
        <v>0.64999999999999991</v>
      </c>
      <c r="V225" s="131">
        <f t="shared" si="226"/>
        <v>0.6399999999999999</v>
      </c>
      <c r="W225" s="131">
        <f t="shared" si="226"/>
        <v>0.62999999999999989</v>
      </c>
      <c r="X225" s="131">
        <f t="shared" si="226"/>
        <v>0.61999999999999988</v>
      </c>
      <c r="Y225" s="131">
        <f t="shared" si="226"/>
        <v>0.60999999999999988</v>
      </c>
      <c r="Z225" s="131">
        <f t="shared" si="226"/>
        <v>0.59999999999999987</v>
      </c>
      <c r="AA225" s="131">
        <f t="shared" si="226"/>
        <v>0.58999999999999986</v>
      </c>
      <c r="AB225" s="131">
        <f t="shared" si="226"/>
        <v>0.57999999999999985</v>
      </c>
      <c r="AC225" s="131">
        <f t="shared" si="226"/>
        <v>0.56999999999999984</v>
      </c>
      <c r="AD225" s="131">
        <f t="shared" si="226"/>
        <v>0.55999999999999983</v>
      </c>
      <c r="AE225" s="132">
        <f t="shared" si="226"/>
        <v>0.54999999999999982</v>
      </c>
      <c r="AF225" s="131">
        <f t="shared" si="226"/>
        <v>0.53999999999999981</v>
      </c>
      <c r="AG225" s="131">
        <f t="shared" si="226"/>
        <v>0.5299999999999998</v>
      </c>
      <c r="AH225" s="131">
        <f t="shared" si="226"/>
        <v>0.5199999999999998</v>
      </c>
      <c r="AI225" s="131">
        <f t="shared" si="226"/>
        <v>0.50999999999999979</v>
      </c>
      <c r="AJ225" s="131">
        <f t="shared" si="226"/>
        <v>0.49999999999999978</v>
      </c>
      <c r="AK225" s="131">
        <f t="shared" si="226"/>
        <v>0.48999999999999977</v>
      </c>
      <c r="AL225" s="131">
        <f t="shared" si="226"/>
        <v>0.47999999999999976</v>
      </c>
      <c r="AM225" s="131">
        <f t="shared" si="226"/>
        <v>0.46999999999999975</v>
      </c>
      <c r="AN225" s="131">
        <f t="shared" si="226"/>
        <v>0.45999999999999974</v>
      </c>
      <c r="AO225" s="131">
        <f t="shared" si="226"/>
        <v>0.44999999999999973</v>
      </c>
      <c r="AP225" s="131">
        <f t="shared" si="226"/>
        <v>0.43999999999999972</v>
      </c>
      <c r="AQ225" s="29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29"/>
      <c r="BD225" s="29"/>
      <c r="BE225" s="46"/>
      <c r="BF225" s="46"/>
      <c r="BG225" s="46"/>
      <c r="BH225" s="29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</row>
    <row r="226" spans="1:79" ht="14.25" customHeight="1" outlineLevel="1" x14ac:dyDescent="0.25">
      <c r="A226" s="46"/>
      <c r="B226" s="46"/>
      <c r="C226" s="46"/>
      <c r="D226" s="174"/>
      <c r="E226" s="173">
        <v>0.05</v>
      </c>
      <c r="F226" s="82" t="s">
        <v>248</v>
      </c>
      <c r="G226" s="139"/>
      <c r="H226" s="139"/>
      <c r="I226" s="139"/>
      <c r="J226" s="139"/>
      <c r="K226" s="139"/>
      <c r="L226" s="46"/>
      <c r="M226" s="131"/>
      <c r="N226" s="131">
        <f t="shared" si="224"/>
        <v>0.05</v>
      </c>
      <c r="O226" s="131">
        <f t="shared" ref="O226:AP226" si="227">N226+$D226</f>
        <v>0.05</v>
      </c>
      <c r="P226" s="131">
        <f t="shared" si="227"/>
        <v>0.05</v>
      </c>
      <c r="Q226" s="131">
        <f t="shared" si="227"/>
        <v>0.05</v>
      </c>
      <c r="R226" s="131">
        <f t="shared" si="227"/>
        <v>0.05</v>
      </c>
      <c r="S226" s="132">
        <f t="shared" si="227"/>
        <v>0.05</v>
      </c>
      <c r="T226" s="131">
        <f t="shared" si="227"/>
        <v>0.05</v>
      </c>
      <c r="U226" s="131">
        <f t="shared" si="227"/>
        <v>0.05</v>
      </c>
      <c r="V226" s="131">
        <f t="shared" si="227"/>
        <v>0.05</v>
      </c>
      <c r="W226" s="131">
        <f t="shared" si="227"/>
        <v>0.05</v>
      </c>
      <c r="X226" s="131">
        <f t="shared" si="227"/>
        <v>0.05</v>
      </c>
      <c r="Y226" s="131">
        <f t="shared" si="227"/>
        <v>0.05</v>
      </c>
      <c r="Z226" s="131">
        <f t="shared" si="227"/>
        <v>0.05</v>
      </c>
      <c r="AA226" s="131">
        <f t="shared" si="227"/>
        <v>0.05</v>
      </c>
      <c r="AB226" s="131">
        <f t="shared" si="227"/>
        <v>0.05</v>
      </c>
      <c r="AC226" s="131">
        <f t="shared" si="227"/>
        <v>0.05</v>
      </c>
      <c r="AD226" s="131">
        <f t="shared" si="227"/>
        <v>0.05</v>
      </c>
      <c r="AE226" s="132">
        <f t="shared" si="227"/>
        <v>0.05</v>
      </c>
      <c r="AF226" s="131">
        <f t="shared" si="227"/>
        <v>0.05</v>
      </c>
      <c r="AG226" s="131">
        <f t="shared" si="227"/>
        <v>0.05</v>
      </c>
      <c r="AH226" s="131">
        <f t="shared" si="227"/>
        <v>0.05</v>
      </c>
      <c r="AI226" s="131">
        <f t="shared" si="227"/>
        <v>0.05</v>
      </c>
      <c r="AJ226" s="131">
        <f t="shared" si="227"/>
        <v>0.05</v>
      </c>
      <c r="AK226" s="131">
        <f t="shared" si="227"/>
        <v>0.05</v>
      </c>
      <c r="AL226" s="131">
        <f t="shared" si="227"/>
        <v>0.05</v>
      </c>
      <c r="AM226" s="131">
        <f t="shared" si="227"/>
        <v>0.05</v>
      </c>
      <c r="AN226" s="131">
        <f t="shared" si="227"/>
        <v>0.05</v>
      </c>
      <c r="AO226" s="131">
        <f t="shared" si="227"/>
        <v>0.05</v>
      </c>
      <c r="AP226" s="131">
        <f t="shared" si="227"/>
        <v>0.05</v>
      </c>
      <c r="AQ226" s="29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29"/>
      <c r="BD226" s="29"/>
      <c r="BE226" s="46"/>
      <c r="BF226" s="46"/>
      <c r="BG226" s="46"/>
      <c r="BH226" s="29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</row>
    <row r="227" spans="1:79" ht="14.25" customHeight="1" outlineLevel="1" x14ac:dyDescent="0.25">
      <c r="A227" s="46"/>
      <c r="B227" s="46"/>
      <c r="C227" s="46"/>
      <c r="D227" s="174"/>
      <c r="E227" s="173">
        <v>2.5000000000000001E-2</v>
      </c>
      <c r="F227" s="82" t="s">
        <v>249</v>
      </c>
      <c r="G227" s="139"/>
      <c r="H227" s="139"/>
      <c r="I227" s="139"/>
      <c r="J227" s="139"/>
      <c r="K227" s="139"/>
      <c r="L227" s="46"/>
      <c r="M227" s="131"/>
      <c r="N227" s="131">
        <f t="shared" si="224"/>
        <v>2.5000000000000001E-2</v>
      </c>
      <c r="O227" s="131">
        <f t="shared" ref="O227:AP227" si="228">N227-$D227</f>
        <v>2.5000000000000001E-2</v>
      </c>
      <c r="P227" s="131">
        <f t="shared" si="228"/>
        <v>2.5000000000000001E-2</v>
      </c>
      <c r="Q227" s="131">
        <f t="shared" si="228"/>
        <v>2.5000000000000001E-2</v>
      </c>
      <c r="R227" s="131">
        <f t="shared" si="228"/>
        <v>2.5000000000000001E-2</v>
      </c>
      <c r="S227" s="132">
        <f t="shared" si="228"/>
        <v>2.5000000000000001E-2</v>
      </c>
      <c r="T227" s="131">
        <f t="shared" si="228"/>
        <v>2.5000000000000001E-2</v>
      </c>
      <c r="U227" s="131">
        <f t="shared" si="228"/>
        <v>2.5000000000000001E-2</v>
      </c>
      <c r="V227" s="131">
        <f t="shared" si="228"/>
        <v>2.5000000000000001E-2</v>
      </c>
      <c r="W227" s="131">
        <f t="shared" si="228"/>
        <v>2.5000000000000001E-2</v>
      </c>
      <c r="X227" s="131">
        <f t="shared" si="228"/>
        <v>2.5000000000000001E-2</v>
      </c>
      <c r="Y227" s="131">
        <f t="shared" si="228"/>
        <v>2.5000000000000001E-2</v>
      </c>
      <c r="Z227" s="131">
        <f t="shared" si="228"/>
        <v>2.5000000000000001E-2</v>
      </c>
      <c r="AA227" s="131">
        <f t="shared" si="228"/>
        <v>2.5000000000000001E-2</v>
      </c>
      <c r="AB227" s="131">
        <f t="shared" si="228"/>
        <v>2.5000000000000001E-2</v>
      </c>
      <c r="AC227" s="131">
        <f t="shared" si="228"/>
        <v>2.5000000000000001E-2</v>
      </c>
      <c r="AD227" s="131">
        <f t="shared" si="228"/>
        <v>2.5000000000000001E-2</v>
      </c>
      <c r="AE227" s="132">
        <f t="shared" si="228"/>
        <v>2.5000000000000001E-2</v>
      </c>
      <c r="AF227" s="131">
        <f t="shared" si="228"/>
        <v>2.5000000000000001E-2</v>
      </c>
      <c r="AG227" s="131">
        <f t="shared" si="228"/>
        <v>2.5000000000000001E-2</v>
      </c>
      <c r="AH227" s="131">
        <f t="shared" si="228"/>
        <v>2.5000000000000001E-2</v>
      </c>
      <c r="AI227" s="131">
        <f t="shared" si="228"/>
        <v>2.5000000000000001E-2</v>
      </c>
      <c r="AJ227" s="131">
        <f t="shared" si="228"/>
        <v>2.5000000000000001E-2</v>
      </c>
      <c r="AK227" s="131">
        <f t="shared" si="228"/>
        <v>2.5000000000000001E-2</v>
      </c>
      <c r="AL227" s="131">
        <f t="shared" si="228"/>
        <v>2.5000000000000001E-2</v>
      </c>
      <c r="AM227" s="131">
        <f t="shared" si="228"/>
        <v>2.5000000000000001E-2</v>
      </c>
      <c r="AN227" s="131">
        <f t="shared" si="228"/>
        <v>2.5000000000000001E-2</v>
      </c>
      <c r="AO227" s="131">
        <f t="shared" si="228"/>
        <v>2.5000000000000001E-2</v>
      </c>
      <c r="AP227" s="131">
        <f t="shared" si="228"/>
        <v>2.5000000000000001E-2</v>
      </c>
      <c r="AQ227" s="29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29"/>
      <c r="BD227" s="29"/>
      <c r="BE227" s="46"/>
      <c r="BF227" s="46"/>
      <c r="BG227" s="46"/>
      <c r="BH227" s="29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</row>
    <row r="228" spans="1:79" ht="14.25" customHeight="1" outlineLevel="1" x14ac:dyDescent="0.25">
      <c r="A228" s="46"/>
      <c r="B228" s="46"/>
      <c r="C228" s="46"/>
      <c r="D228" s="175"/>
      <c r="E228" s="173">
        <v>5.0000000000000001E-3</v>
      </c>
      <c r="F228" s="82" t="s">
        <v>251</v>
      </c>
      <c r="G228" s="139"/>
      <c r="H228" s="139"/>
      <c r="I228" s="139"/>
      <c r="J228" s="139"/>
      <c r="K228" s="139"/>
      <c r="L228" s="46"/>
      <c r="M228" s="131"/>
      <c r="N228" s="131">
        <f t="shared" si="224"/>
        <v>5.0000000000000001E-3</v>
      </c>
      <c r="O228" s="131">
        <f t="shared" ref="O228:AP228" si="229">N228+$D228</f>
        <v>5.0000000000000001E-3</v>
      </c>
      <c r="P228" s="131">
        <f t="shared" si="229"/>
        <v>5.0000000000000001E-3</v>
      </c>
      <c r="Q228" s="131">
        <f t="shared" si="229"/>
        <v>5.0000000000000001E-3</v>
      </c>
      <c r="R228" s="131">
        <f t="shared" si="229"/>
        <v>5.0000000000000001E-3</v>
      </c>
      <c r="S228" s="132">
        <f t="shared" si="229"/>
        <v>5.0000000000000001E-3</v>
      </c>
      <c r="T228" s="131">
        <f t="shared" si="229"/>
        <v>5.0000000000000001E-3</v>
      </c>
      <c r="U228" s="131">
        <f t="shared" si="229"/>
        <v>5.0000000000000001E-3</v>
      </c>
      <c r="V228" s="131">
        <f t="shared" si="229"/>
        <v>5.0000000000000001E-3</v>
      </c>
      <c r="W228" s="131">
        <f t="shared" si="229"/>
        <v>5.0000000000000001E-3</v>
      </c>
      <c r="X228" s="131">
        <f t="shared" si="229"/>
        <v>5.0000000000000001E-3</v>
      </c>
      <c r="Y228" s="131">
        <f t="shared" si="229"/>
        <v>5.0000000000000001E-3</v>
      </c>
      <c r="Z228" s="131">
        <f t="shared" si="229"/>
        <v>5.0000000000000001E-3</v>
      </c>
      <c r="AA228" s="131">
        <f t="shared" si="229"/>
        <v>5.0000000000000001E-3</v>
      </c>
      <c r="AB228" s="131">
        <f t="shared" si="229"/>
        <v>5.0000000000000001E-3</v>
      </c>
      <c r="AC228" s="131">
        <f t="shared" si="229"/>
        <v>5.0000000000000001E-3</v>
      </c>
      <c r="AD228" s="131">
        <f t="shared" si="229"/>
        <v>5.0000000000000001E-3</v>
      </c>
      <c r="AE228" s="132">
        <f t="shared" si="229"/>
        <v>5.0000000000000001E-3</v>
      </c>
      <c r="AF228" s="131">
        <f t="shared" si="229"/>
        <v>5.0000000000000001E-3</v>
      </c>
      <c r="AG228" s="131">
        <f t="shared" si="229"/>
        <v>5.0000000000000001E-3</v>
      </c>
      <c r="AH228" s="131">
        <f t="shared" si="229"/>
        <v>5.0000000000000001E-3</v>
      </c>
      <c r="AI228" s="131">
        <f t="shared" si="229"/>
        <v>5.0000000000000001E-3</v>
      </c>
      <c r="AJ228" s="131">
        <f t="shared" si="229"/>
        <v>5.0000000000000001E-3</v>
      </c>
      <c r="AK228" s="131">
        <f t="shared" si="229"/>
        <v>5.0000000000000001E-3</v>
      </c>
      <c r="AL228" s="131">
        <f t="shared" si="229"/>
        <v>5.0000000000000001E-3</v>
      </c>
      <c r="AM228" s="131">
        <f t="shared" si="229"/>
        <v>5.0000000000000001E-3</v>
      </c>
      <c r="AN228" s="131">
        <f t="shared" si="229"/>
        <v>5.0000000000000001E-3</v>
      </c>
      <c r="AO228" s="131">
        <f t="shared" si="229"/>
        <v>5.0000000000000001E-3</v>
      </c>
      <c r="AP228" s="131">
        <f t="shared" si="229"/>
        <v>5.0000000000000001E-3</v>
      </c>
      <c r="AQ228" s="29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29"/>
      <c r="BD228" s="29"/>
      <c r="BE228" s="46"/>
      <c r="BF228" s="46"/>
      <c r="BG228" s="46"/>
      <c r="BH228" s="29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</row>
    <row r="229" spans="1:79" ht="14.25" customHeight="1" outlineLevel="1" x14ac:dyDescent="0.25">
      <c r="A229" s="46"/>
      <c r="B229" s="46"/>
      <c r="C229" s="46"/>
      <c r="D229" s="46"/>
      <c r="E229" s="46"/>
      <c r="F229" s="82"/>
      <c r="G229" s="139"/>
      <c r="H229" s="139"/>
      <c r="I229" s="139"/>
      <c r="J229" s="139"/>
      <c r="K229" s="139"/>
      <c r="L229" s="46"/>
      <c r="M229" s="131"/>
      <c r="N229" s="131"/>
      <c r="O229" s="131"/>
      <c r="P229" s="131"/>
      <c r="Q229" s="131"/>
      <c r="R229" s="131"/>
      <c r="S229" s="132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2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29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29"/>
      <c r="BD229" s="29"/>
      <c r="BE229" s="46"/>
      <c r="BF229" s="46"/>
      <c r="BG229" s="46"/>
      <c r="BH229" s="29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</row>
    <row r="230" spans="1:79" ht="14.25" customHeight="1" outlineLevel="1" x14ac:dyDescent="0.25">
      <c r="A230" s="46"/>
      <c r="B230" s="46"/>
      <c r="C230" s="46"/>
      <c r="D230" s="46"/>
      <c r="E230" s="46"/>
      <c r="F230" s="139" t="s">
        <v>256</v>
      </c>
      <c r="G230" s="139"/>
      <c r="H230" s="139"/>
      <c r="I230" s="139"/>
      <c r="J230" s="139"/>
      <c r="K230" s="139"/>
      <c r="L230" s="46"/>
      <c r="M230" s="131"/>
      <c r="N230" s="131"/>
      <c r="O230" s="131"/>
      <c r="P230" s="131"/>
      <c r="Q230" s="131"/>
      <c r="R230" s="131"/>
      <c r="S230" s="132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2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29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29"/>
      <c r="BD230" s="29"/>
      <c r="BE230" s="46"/>
      <c r="BF230" s="46"/>
      <c r="BG230" s="46"/>
      <c r="BH230" s="29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</row>
    <row r="231" spans="1:79" ht="14.25" customHeight="1" outlineLevel="1" x14ac:dyDescent="0.25">
      <c r="A231" s="22"/>
      <c r="B231" s="22"/>
      <c r="C231" s="22"/>
      <c r="D231" s="22"/>
      <c r="E231" s="22"/>
      <c r="F231" s="82" t="s">
        <v>250</v>
      </c>
      <c r="G231" s="82"/>
      <c r="H231" s="82"/>
      <c r="I231" s="82"/>
      <c r="J231" s="82"/>
      <c r="K231" s="82"/>
      <c r="L231" s="22"/>
      <c r="M231" s="131"/>
      <c r="N231" s="116">
        <f t="shared" ref="N231:AP231" si="230">(N$199-M$199)*N224</f>
        <v>63354.064346645588</v>
      </c>
      <c r="O231" s="116">
        <f t="shared" si="230"/>
        <v>31046.400000000001</v>
      </c>
      <c r="P231" s="116">
        <f t="shared" si="230"/>
        <v>-14737.800000000001</v>
      </c>
      <c r="Q231" s="116">
        <f t="shared" si="230"/>
        <v>24895.200000000004</v>
      </c>
      <c r="R231" s="116">
        <f t="shared" si="230"/>
        <v>9900.0000000000018</v>
      </c>
      <c r="S231" s="125">
        <f t="shared" si="230"/>
        <v>6847.5000000000018</v>
      </c>
      <c r="T231" s="116">
        <f t="shared" si="230"/>
        <v>7121.4000000000015</v>
      </c>
      <c r="U231" s="116">
        <f t="shared" si="230"/>
        <v>7395.300000000002</v>
      </c>
      <c r="V231" s="116">
        <f>(V$199-U$199)*V224</f>
        <v>7669.2000000000025</v>
      </c>
      <c r="W231" s="116">
        <f>(W$199-V$199)*W224</f>
        <v>7943.1000000000022</v>
      </c>
      <c r="X231" s="116">
        <f t="shared" si="230"/>
        <v>8217.0000000000036</v>
      </c>
      <c r="Y231" s="116">
        <f t="shared" si="230"/>
        <v>8490.9000000000033</v>
      </c>
      <c r="Z231" s="116">
        <f t="shared" si="230"/>
        <v>8764.8000000000029</v>
      </c>
      <c r="AA231" s="116">
        <f t="shared" si="230"/>
        <v>9038.7000000000044</v>
      </c>
      <c r="AB231" s="116">
        <f t="shared" si="230"/>
        <v>9312.600000000004</v>
      </c>
      <c r="AC231" s="116">
        <f t="shared" si="230"/>
        <v>9586.5000000000036</v>
      </c>
      <c r="AD231" s="116">
        <f t="shared" si="230"/>
        <v>9860.4000000000051</v>
      </c>
      <c r="AE231" s="125">
        <f t="shared" si="230"/>
        <v>10134.300000000005</v>
      </c>
      <c r="AF231" s="116">
        <f t="shared" si="230"/>
        <v>10408.200000000004</v>
      </c>
      <c r="AG231" s="116">
        <f t="shared" si="230"/>
        <v>10682.100000000006</v>
      </c>
      <c r="AH231" s="116">
        <f t="shared" si="230"/>
        <v>10956.000000000005</v>
      </c>
      <c r="AI231" s="116">
        <f t="shared" si="230"/>
        <v>11229.900000000005</v>
      </c>
      <c r="AJ231" s="116">
        <f t="shared" si="230"/>
        <v>11503.800000000007</v>
      </c>
      <c r="AK231" s="116">
        <f t="shared" si="230"/>
        <v>11777.700000000006</v>
      </c>
      <c r="AL231" s="116">
        <f t="shared" si="230"/>
        <v>12051.600000000006</v>
      </c>
      <c r="AM231" s="116">
        <f t="shared" si="230"/>
        <v>12325.500000000007</v>
      </c>
      <c r="AN231" s="116">
        <f t="shared" si="230"/>
        <v>12599.400000000007</v>
      </c>
      <c r="AO231" s="116">
        <f t="shared" si="230"/>
        <v>12873.300000000007</v>
      </c>
      <c r="AP231" s="116">
        <f t="shared" si="230"/>
        <v>13147.200000000008</v>
      </c>
      <c r="AQ231" s="31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31"/>
      <c r="BD231" s="31"/>
      <c r="BE231" s="22"/>
      <c r="BF231" s="22"/>
      <c r="BG231" s="22"/>
      <c r="BH231" s="31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</row>
    <row r="232" spans="1:79" ht="14.25" customHeight="1" outlineLevel="1" x14ac:dyDescent="0.25">
      <c r="A232" s="22"/>
      <c r="B232" s="22"/>
      <c r="C232" s="22"/>
      <c r="D232" s="22"/>
      <c r="E232" s="22"/>
      <c r="F232" s="82" t="s">
        <v>252</v>
      </c>
      <c r="G232" s="82"/>
      <c r="H232" s="82"/>
      <c r="I232" s="82"/>
      <c r="J232" s="82"/>
      <c r="K232" s="82"/>
      <c r="L232" s="22"/>
      <c r="M232" s="131"/>
      <c r="N232" s="116">
        <f t="shared" ref="N232:AP232" si="231">(N$199-M$199)*N225</f>
        <v>228074.63164792411</v>
      </c>
      <c r="O232" s="116">
        <f t="shared" si="231"/>
        <v>104966.39999999999</v>
      </c>
      <c r="P232" s="116">
        <f t="shared" si="231"/>
        <v>-46893</v>
      </c>
      <c r="Q232" s="116">
        <f t="shared" si="231"/>
        <v>74685.599999999991</v>
      </c>
      <c r="R232" s="116">
        <f t="shared" si="231"/>
        <v>28049.999999999996</v>
      </c>
      <c r="S232" s="125">
        <f t="shared" si="231"/>
        <v>18351.3</v>
      </c>
      <c r="T232" s="116">
        <f t="shared" si="231"/>
        <v>18077.399999999998</v>
      </c>
      <c r="U232" s="116">
        <f t="shared" si="231"/>
        <v>17803.499999999996</v>
      </c>
      <c r="V232" s="116">
        <f t="shared" si="231"/>
        <v>17529.599999999999</v>
      </c>
      <c r="W232" s="116">
        <f t="shared" si="231"/>
        <v>17255.699999999997</v>
      </c>
      <c r="X232" s="116">
        <f t="shared" si="231"/>
        <v>16981.799999999996</v>
      </c>
      <c r="Y232" s="116">
        <f t="shared" si="231"/>
        <v>16707.899999999998</v>
      </c>
      <c r="Z232" s="116">
        <f t="shared" si="231"/>
        <v>16433.999999999996</v>
      </c>
      <c r="AA232" s="116">
        <f t="shared" si="231"/>
        <v>16160.099999999997</v>
      </c>
      <c r="AB232" s="116">
        <f t="shared" si="231"/>
        <v>15886.199999999995</v>
      </c>
      <c r="AC232" s="116">
        <f t="shared" si="231"/>
        <v>15612.299999999996</v>
      </c>
      <c r="AD232" s="116">
        <f t="shared" si="231"/>
        <v>15338.399999999996</v>
      </c>
      <c r="AE232" s="125">
        <f t="shared" si="231"/>
        <v>15064.499999999995</v>
      </c>
      <c r="AF232" s="116">
        <f t="shared" si="231"/>
        <v>14790.599999999995</v>
      </c>
      <c r="AG232" s="116">
        <f t="shared" si="231"/>
        <v>14516.699999999995</v>
      </c>
      <c r="AH232" s="116">
        <f t="shared" si="231"/>
        <v>14242.799999999994</v>
      </c>
      <c r="AI232" s="116">
        <f t="shared" si="231"/>
        <v>13968.899999999994</v>
      </c>
      <c r="AJ232" s="116">
        <f t="shared" si="231"/>
        <v>13694.999999999995</v>
      </c>
      <c r="AK232" s="116">
        <f t="shared" si="231"/>
        <v>13421.099999999993</v>
      </c>
      <c r="AL232" s="116">
        <f t="shared" si="231"/>
        <v>13147.199999999993</v>
      </c>
      <c r="AM232" s="116">
        <f t="shared" si="231"/>
        <v>12873.299999999994</v>
      </c>
      <c r="AN232" s="116">
        <f t="shared" si="231"/>
        <v>12599.399999999992</v>
      </c>
      <c r="AO232" s="116">
        <f t="shared" si="231"/>
        <v>12325.499999999993</v>
      </c>
      <c r="AP232" s="116">
        <f t="shared" si="231"/>
        <v>12051.599999999993</v>
      </c>
      <c r="AQ232" s="31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31"/>
      <c r="BD232" s="31"/>
      <c r="BE232" s="22"/>
      <c r="BF232" s="22"/>
      <c r="BG232" s="22"/>
      <c r="BH232" s="31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</row>
    <row r="233" spans="1:79" ht="14.25" customHeight="1" outlineLevel="1" x14ac:dyDescent="0.25">
      <c r="A233" s="22"/>
      <c r="B233" s="22"/>
      <c r="C233" s="22"/>
      <c r="D233" s="22"/>
      <c r="E233" s="22"/>
      <c r="F233" s="82" t="s">
        <v>248</v>
      </c>
      <c r="G233" s="82"/>
      <c r="H233" s="82"/>
      <c r="I233" s="82"/>
      <c r="J233" s="82"/>
      <c r="K233" s="82"/>
      <c r="L233" s="22"/>
      <c r="M233" s="131"/>
      <c r="N233" s="116">
        <f t="shared" ref="N233:AP233" si="232">(N$199-M$199)*N226</f>
        <v>15838.516086661397</v>
      </c>
      <c r="O233" s="116">
        <f t="shared" si="232"/>
        <v>7392</v>
      </c>
      <c r="P233" s="116">
        <f t="shared" si="232"/>
        <v>-3349.5</v>
      </c>
      <c r="Q233" s="116">
        <f t="shared" si="232"/>
        <v>5412</v>
      </c>
      <c r="R233" s="116">
        <f t="shared" si="232"/>
        <v>2062.5</v>
      </c>
      <c r="S233" s="125">
        <f t="shared" si="232"/>
        <v>1369.5</v>
      </c>
      <c r="T233" s="116">
        <f t="shared" si="232"/>
        <v>1369.5</v>
      </c>
      <c r="U233" s="116">
        <f t="shared" si="232"/>
        <v>1369.5</v>
      </c>
      <c r="V233" s="116">
        <f t="shared" si="232"/>
        <v>1369.5</v>
      </c>
      <c r="W233" s="116">
        <f t="shared" si="232"/>
        <v>1369.5</v>
      </c>
      <c r="X233" s="116">
        <f t="shared" si="232"/>
        <v>1369.5</v>
      </c>
      <c r="Y233" s="116">
        <f t="shared" si="232"/>
        <v>1369.5</v>
      </c>
      <c r="Z233" s="116">
        <f t="shared" si="232"/>
        <v>1369.5</v>
      </c>
      <c r="AA233" s="116">
        <f t="shared" si="232"/>
        <v>1369.5</v>
      </c>
      <c r="AB233" s="116">
        <f t="shared" si="232"/>
        <v>1369.5</v>
      </c>
      <c r="AC233" s="116">
        <f t="shared" si="232"/>
        <v>1369.5</v>
      </c>
      <c r="AD233" s="116">
        <f t="shared" si="232"/>
        <v>1369.5</v>
      </c>
      <c r="AE233" s="125">
        <f t="shared" si="232"/>
        <v>1369.5</v>
      </c>
      <c r="AF233" s="116">
        <f t="shared" si="232"/>
        <v>1369.5</v>
      </c>
      <c r="AG233" s="116">
        <f t="shared" si="232"/>
        <v>1369.5</v>
      </c>
      <c r="AH233" s="116">
        <f t="shared" si="232"/>
        <v>1369.5</v>
      </c>
      <c r="AI233" s="116">
        <f t="shared" si="232"/>
        <v>1369.5</v>
      </c>
      <c r="AJ233" s="116">
        <f t="shared" si="232"/>
        <v>1369.5</v>
      </c>
      <c r="AK233" s="116">
        <f t="shared" si="232"/>
        <v>1369.5</v>
      </c>
      <c r="AL233" s="116">
        <f t="shared" si="232"/>
        <v>1369.5</v>
      </c>
      <c r="AM233" s="116">
        <f t="shared" si="232"/>
        <v>1369.5</v>
      </c>
      <c r="AN233" s="116">
        <f t="shared" si="232"/>
        <v>1369.5</v>
      </c>
      <c r="AO233" s="116">
        <f t="shared" si="232"/>
        <v>1369.5</v>
      </c>
      <c r="AP233" s="116">
        <f t="shared" si="232"/>
        <v>1369.5</v>
      </c>
      <c r="AQ233" s="31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31"/>
      <c r="BD233" s="31"/>
      <c r="BE233" s="22"/>
      <c r="BF233" s="22"/>
      <c r="BG233" s="22"/>
      <c r="BH233" s="31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</row>
    <row r="234" spans="1:79" ht="14.25" customHeight="1" outlineLevel="1" x14ac:dyDescent="0.25">
      <c r="A234" s="22"/>
      <c r="B234" s="22"/>
      <c r="C234" s="22"/>
      <c r="D234" s="22"/>
      <c r="E234" s="22"/>
      <c r="F234" s="82" t="s">
        <v>249</v>
      </c>
      <c r="G234" s="82"/>
      <c r="H234" s="82"/>
      <c r="I234" s="82"/>
      <c r="J234" s="82"/>
      <c r="K234" s="82"/>
      <c r="L234" s="22"/>
      <c r="M234" s="131"/>
      <c r="N234" s="116">
        <f t="shared" ref="N234:AP234" si="233">(N$199-M$199)*N227</f>
        <v>7919.2580433306985</v>
      </c>
      <c r="O234" s="116">
        <f t="shared" si="233"/>
        <v>3696</v>
      </c>
      <c r="P234" s="116">
        <f t="shared" si="233"/>
        <v>-1674.75</v>
      </c>
      <c r="Q234" s="116">
        <f t="shared" si="233"/>
        <v>2706</v>
      </c>
      <c r="R234" s="116">
        <f t="shared" si="233"/>
        <v>1031.25</v>
      </c>
      <c r="S234" s="125">
        <f t="shared" si="233"/>
        <v>684.75</v>
      </c>
      <c r="T234" s="116">
        <f t="shared" si="233"/>
        <v>684.75</v>
      </c>
      <c r="U234" s="116">
        <f t="shared" si="233"/>
        <v>684.75</v>
      </c>
      <c r="V234" s="116">
        <f t="shared" si="233"/>
        <v>684.75</v>
      </c>
      <c r="W234" s="116">
        <f t="shared" si="233"/>
        <v>684.75</v>
      </c>
      <c r="X234" s="116">
        <f t="shared" si="233"/>
        <v>684.75</v>
      </c>
      <c r="Y234" s="116">
        <f t="shared" si="233"/>
        <v>684.75</v>
      </c>
      <c r="Z234" s="116">
        <f t="shared" si="233"/>
        <v>684.75</v>
      </c>
      <c r="AA234" s="116">
        <f t="shared" si="233"/>
        <v>684.75</v>
      </c>
      <c r="AB234" s="116">
        <f t="shared" si="233"/>
        <v>684.75</v>
      </c>
      <c r="AC234" s="116">
        <f t="shared" si="233"/>
        <v>684.75</v>
      </c>
      <c r="AD234" s="116">
        <f t="shared" si="233"/>
        <v>684.75</v>
      </c>
      <c r="AE234" s="125">
        <f t="shared" si="233"/>
        <v>684.75</v>
      </c>
      <c r="AF234" s="116">
        <f t="shared" si="233"/>
        <v>684.75</v>
      </c>
      <c r="AG234" s="116">
        <f t="shared" si="233"/>
        <v>684.75</v>
      </c>
      <c r="AH234" s="116">
        <f t="shared" si="233"/>
        <v>684.75</v>
      </c>
      <c r="AI234" s="116">
        <f t="shared" si="233"/>
        <v>684.75</v>
      </c>
      <c r="AJ234" s="116">
        <f t="shared" si="233"/>
        <v>684.75</v>
      </c>
      <c r="AK234" s="116">
        <f t="shared" si="233"/>
        <v>684.75</v>
      </c>
      <c r="AL234" s="116">
        <f t="shared" si="233"/>
        <v>684.75</v>
      </c>
      <c r="AM234" s="116">
        <f t="shared" si="233"/>
        <v>684.75</v>
      </c>
      <c r="AN234" s="116">
        <f t="shared" si="233"/>
        <v>684.75</v>
      </c>
      <c r="AO234" s="116">
        <f t="shared" si="233"/>
        <v>684.75</v>
      </c>
      <c r="AP234" s="116">
        <f t="shared" si="233"/>
        <v>684.75</v>
      </c>
      <c r="AQ234" s="31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31"/>
      <c r="BD234" s="31"/>
      <c r="BE234" s="22"/>
      <c r="BF234" s="22"/>
      <c r="BG234" s="22"/>
      <c r="BH234" s="31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</row>
    <row r="235" spans="1:79" ht="14.25" customHeight="1" outlineLevel="1" x14ac:dyDescent="0.25">
      <c r="A235" s="22"/>
      <c r="B235" s="22"/>
      <c r="C235" s="22"/>
      <c r="D235" s="22"/>
      <c r="E235" s="22"/>
      <c r="F235" s="82" t="s">
        <v>251</v>
      </c>
      <c r="G235" s="82"/>
      <c r="H235" s="82"/>
      <c r="I235" s="82"/>
      <c r="J235" s="82"/>
      <c r="K235" s="82"/>
      <c r="L235" s="22"/>
      <c r="M235" s="131"/>
      <c r="N235" s="116">
        <f t="shared" ref="N235:AP235" si="234">(N$199-M$199)*N228</f>
        <v>1583.8516086661398</v>
      </c>
      <c r="O235" s="116">
        <f t="shared" si="234"/>
        <v>739.2</v>
      </c>
      <c r="P235" s="116">
        <f t="shared" si="234"/>
        <v>-334.95</v>
      </c>
      <c r="Q235" s="116">
        <f t="shared" si="234"/>
        <v>541.20000000000005</v>
      </c>
      <c r="R235" s="116">
        <f t="shared" si="234"/>
        <v>206.25</v>
      </c>
      <c r="S235" s="125">
        <f t="shared" si="234"/>
        <v>136.95000000000002</v>
      </c>
      <c r="T235" s="116">
        <f t="shared" si="234"/>
        <v>136.95000000000002</v>
      </c>
      <c r="U235" s="116">
        <f t="shared" si="234"/>
        <v>136.95000000000002</v>
      </c>
      <c r="V235" s="116">
        <f t="shared" si="234"/>
        <v>136.95000000000002</v>
      </c>
      <c r="W235" s="116">
        <f t="shared" si="234"/>
        <v>136.95000000000002</v>
      </c>
      <c r="X235" s="116">
        <f t="shared" si="234"/>
        <v>136.95000000000002</v>
      </c>
      <c r="Y235" s="116">
        <f t="shared" si="234"/>
        <v>136.95000000000002</v>
      </c>
      <c r="Z235" s="116">
        <f t="shared" si="234"/>
        <v>136.95000000000002</v>
      </c>
      <c r="AA235" s="116">
        <f t="shared" si="234"/>
        <v>136.95000000000002</v>
      </c>
      <c r="AB235" s="116">
        <f t="shared" si="234"/>
        <v>136.95000000000002</v>
      </c>
      <c r="AC235" s="116">
        <f t="shared" si="234"/>
        <v>136.95000000000002</v>
      </c>
      <c r="AD235" s="116">
        <f t="shared" si="234"/>
        <v>136.95000000000002</v>
      </c>
      <c r="AE235" s="125">
        <f t="shared" si="234"/>
        <v>136.95000000000002</v>
      </c>
      <c r="AF235" s="116">
        <f t="shared" si="234"/>
        <v>136.95000000000002</v>
      </c>
      <c r="AG235" s="116">
        <f t="shared" si="234"/>
        <v>136.95000000000002</v>
      </c>
      <c r="AH235" s="116">
        <f t="shared" si="234"/>
        <v>136.95000000000002</v>
      </c>
      <c r="AI235" s="116">
        <f t="shared" si="234"/>
        <v>136.95000000000002</v>
      </c>
      <c r="AJ235" s="116">
        <f t="shared" si="234"/>
        <v>136.95000000000002</v>
      </c>
      <c r="AK235" s="116">
        <f t="shared" si="234"/>
        <v>136.95000000000002</v>
      </c>
      <c r="AL235" s="116">
        <f t="shared" si="234"/>
        <v>136.95000000000002</v>
      </c>
      <c r="AM235" s="116">
        <f t="shared" si="234"/>
        <v>136.95000000000002</v>
      </c>
      <c r="AN235" s="116">
        <f t="shared" si="234"/>
        <v>136.95000000000002</v>
      </c>
      <c r="AO235" s="116">
        <f t="shared" si="234"/>
        <v>136.95000000000002</v>
      </c>
      <c r="AP235" s="116">
        <f t="shared" si="234"/>
        <v>136.95000000000002</v>
      </c>
      <c r="AQ235" s="31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31"/>
      <c r="BD235" s="31"/>
      <c r="BE235" s="22"/>
      <c r="BF235" s="22"/>
      <c r="BG235" s="22"/>
      <c r="BH235" s="31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</row>
    <row r="236" spans="1:79" ht="14.25" customHeight="1" outlineLevel="1" x14ac:dyDescent="0.25">
      <c r="A236" s="22"/>
      <c r="B236" s="22"/>
      <c r="C236" s="22"/>
      <c r="D236" s="22"/>
      <c r="E236" s="22"/>
      <c r="F236" s="80"/>
      <c r="G236" s="82"/>
      <c r="H236" s="82"/>
      <c r="I236" s="82"/>
      <c r="J236" s="82"/>
      <c r="K236" s="82"/>
      <c r="L236" s="22"/>
      <c r="M236" s="22"/>
      <c r="N236" s="22"/>
      <c r="O236" s="22"/>
      <c r="P236" s="22"/>
      <c r="Q236" s="22"/>
      <c r="R236" s="22"/>
      <c r="S236" s="31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31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31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31"/>
      <c r="BD236" s="31"/>
      <c r="BE236" s="22"/>
      <c r="BF236" s="22"/>
      <c r="BG236" s="22"/>
      <c r="BH236" s="31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</row>
    <row r="237" spans="1:79" ht="14.25" customHeight="1" x14ac:dyDescent="0.25">
      <c r="A237" s="22"/>
      <c r="B237" s="22"/>
      <c r="C237" s="22"/>
      <c r="D237" s="22"/>
      <c r="E237" s="22"/>
      <c r="F237" s="80"/>
      <c r="G237" s="82"/>
      <c r="H237" s="82"/>
      <c r="I237" s="82"/>
      <c r="J237" s="82"/>
      <c r="K237" s="82"/>
      <c r="L237" s="22"/>
      <c r="M237" s="22"/>
      <c r="N237" s="22"/>
      <c r="O237" s="22"/>
      <c r="P237" s="22"/>
      <c r="Q237" s="22"/>
      <c r="R237" s="22"/>
      <c r="S237" s="31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31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31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31"/>
      <c r="BD237" s="31"/>
      <c r="BE237" s="22"/>
      <c r="BF237" s="22"/>
      <c r="BG237" s="22"/>
      <c r="BH237" s="31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</row>
    <row r="238" spans="1:79" ht="14.25" customHeight="1" x14ac:dyDescent="0.25">
      <c r="A238" s="15"/>
      <c r="B238" s="30" t="s">
        <v>222</v>
      </c>
      <c r="C238" s="15"/>
      <c r="D238" s="15"/>
      <c r="E238" s="15"/>
      <c r="F238" s="160"/>
      <c r="G238" s="126">
        <f t="shared" ref="G238:AP238" si="235">G242</f>
        <v>31378</v>
      </c>
      <c r="H238" s="126">
        <f t="shared" si="235"/>
        <v>38090</v>
      </c>
      <c r="I238" s="126">
        <f t="shared" si="235"/>
        <v>57400</v>
      </c>
      <c r="J238" s="126">
        <f t="shared" si="235"/>
        <v>63200</v>
      </c>
      <c r="K238" s="126">
        <f t="shared" si="235"/>
        <v>69600</v>
      </c>
      <c r="L238" s="126">
        <f t="shared" si="235"/>
        <v>92590</v>
      </c>
      <c r="M238" s="126">
        <f t="shared" si="235"/>
        <v>94940</v>
      </c>
      <c r="N238" s="126">
        <f t="shared" si="235"/>
        <v>81780</v>
      </c>
      <c r="O238" s="126">
        <f t="shared" si="235"/>
        <v>84835</v>
      </c>
      <c r="P238" s="126">
        <f t="shared" si="235"/>
        <v>91885</v>
      </c>
      <c r="Q238" s="126">
        <f t="shared" si="235"/>
        <v>150635</v>
      </c>
      <c r="R238" s="126">
        <f t="shared" si="235"/>
        <v>209385</v>
      </c>
      <c r="S238" s="127">
        <f t="shared" si="235"/>
        <v>240718.33333333331</v>
      </c>
      <c r="T238" s="126">
        <f t="shared" si="235"/>
        <v>272051.66666666663</v>
      </c>
      <c r="U238" s="126">
        <f t="shared" si="235"/>
        <v>303384.99999999994</v>
      </c>
      <c r="V238" s="126">
        <f t="shared" si="235"/>
        <v>334718.33333333326</v>
      </c>
      <c r="W238" s="126">
        <f t="shared" si="235"/>
        <v>366051.66666666657</v>
      </c>
      <c r="X238" s="126">
        <f t="shared" si="235"/>
        <v>397384.99999999988</v>
      </c>
      <c r="Y238" s="126">
        <f t="shared" si="235"/>
        <v>428718.3333333332</v>
      </c>
      <c r="Z238" s="126">
        <f t="shared" si="235"/>
        <v>460051.66666666651</v>
      </c>
      <c r="AA238" s="126">
        <f t="shared" si="235"/>
        <v>491384.99999999988</v>
      </c>
      <c r="AB238" s="126">
        <f t="shared" si="235"/>
        <v>522718.33333333326</v>
      </c>
      <c r="AC238" s="126">
        <f t="shared" si="235"/>
        <v>554051.66666666663</v>
      </c>
      <c r="AD238" s="126">
        <f t="shared" si="235"/>
        <v>585385</v>
      </c>
      <c r="AE238" s="127">
        <f t="shared" si="235"/>
        <v>616718.33333333337</v>
      </c>
      <c r="AF238" s="126">
        <f t="shared" si="235"/>
        <v>648051.66666666674</v>
      </c>
      <c r="AG238" s="126">
        <f t="shared" si="235"/>
        <v>679385.00000000012</v>
      </c>
      <c r="AH238" s="126">
        <f t="shared" si="235"/>
        <v>710718.33333333349</v>
      </c>
      <c r="AI238" s="126">
        <f t="shared" si="235"/>
        <v>742051.66666666686</v>
      </c>
      <c r="AJ238" s="126">
        <f t="shared" si="235"/>
        <v>773385.00000000023</v>
      </c>
      <c r="AK238" s="126">
        <f t="shared" si="235"/>
        <v>804718.3333333336</v>
      </c>
      <c r="AL238" s="126">
        <f t="shared" si="235"/>
        <v>836051.66666666698</v>
      </c>
      <c r="AM238" s="126">
        <f t="shared" si="235"/>
        <v>867385.00000000035</v>
      </c>
      <c r="AN238" s="126">
        <f t="shared" si="235"/>
        <v>898718.33333333372</v>
      </c>
      <c r="AO238" s="126">
        <f t="shared" si="235"/>
        <v>930051.66666666709</v>
      </c>
      <c r="AP238" s="126">
        <f t="shared" si="235"/>
        <v>961385.00000000047</v>
      </c>
      <c r="AQ238" s="161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61"/>
      <c r="BD238" s="161"/>
      <c r="BE238" s="15"/>
      <c r="BF238" s="15"/>
      <c r="BG238" s="15"/>
      <c r="BH238" s="161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</row>
    <row r="239" spans="1:79" ht="14.25" customHeight="1" outlineLevel="1" x14ac:dyDescent="0.25">
      <c r="A239" s="22"/>
      <c r="B239" s="22"/>
      <c r="C239" s="22">
        <v>2025</v>
      </c>
      <c r="D239" s="22">
        <v>2026</v>
      </c>
      <c r="E239" s="22"/>
      <c r="F239" s="80"/>
      <c r="G239" s="82"/>
      <c r="H239" s="82"/>
      <c r="I239" s="82"/>
      <c r="J239" s="82"/>
      <c r="K239" s="82"/>
      <c r="L239" s="22"/>
      <c r="M239" s="22"/>
      <c r="N239" s="22"/>
      <c r="O239" s="22"/>
      <c r="P239" s="22"/>
      <c r="Q239" s="22"/>
      <c r="R239" s="22"/>
      <c r="S239" s="31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31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31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31"/>
      <c r="BD239" s="31"/>
      <c r="BE239" s="22"/>
      <c r="BF239" s="22"/>
      <c r="BG239" s="22"/>
      <c r="BH239" s="31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</row>
    <row r="240" spans="1:79" ht="14.25" customHeight="1" outlineLevel="1" x14ac:dyDescent="0.25">
      <c r="A240" s="46"/>
      <c r="B240" s="22" t="s">
        <v>257</v>
      </c>
      <c r="C240" s="162">
        <v>394</v>
      </c>
      <c r="D240" s="46"/>
      <c r="E240" s="46"/>
      <c r="F240" s="139" t="s">
        <v>258</v>
      </c>
      <c r="G240" s="139">
        <f t="shared" ref="G240:J240" si="236">ROUND(G242/$C242,0)</f>
        <v>134</v>
      </c>
      <c r="H240" s="139">
        <f t="shared" si="236"/>
        <v>162</v>
      </c>
      <c r="I240" s="139">
        <f t="shared" si="236"/>
        <v>244</v>
      </c>
      <c r="J240" s="139">
        <f t="shared" si="236"/>
        <v>269</v>
      </c>
      <c r="K240" s="138">
        <f>K242/C242</f>
        <v>296.17021276595744</v>
      </c>
      <c r="L240" s="7">
        <f>C240</f>
        <v>394</v>
      </c>
      <c r="M240" s="9">
        <f>L240+10</f>
        <v>404</v>
      </c>
      <c r="N240" s="9">
        <v>348</v>
      </c>
      <c r="O240" s="9">
        <v>361</v>
      </c>
      <c r="P240" s="9">
        <v>391</v>
      </c>
      <c r="Q240" s="9">
        <f t="shared" ref="Q240:R240" si="237">P240+$C241</f>
        <v>641</v>
      </c>
      <c r="R240" s="9">
        <f t="shared" si="237"/>
        <v>891</v>
      </c>
      <c r="S240" s="10">
        <f t="shared" ref="S240:AP240" si="238">R240+$D241</f>
        <v>1024.3333333333333</v>
      </c>
      <c r="T240" s="9">
        <f t="shared" si="238"/>
        <v>1157.6666666666665</v>
      </c>
      <c r="U240" s="9">
        <f t="shared" si="238"/>
        <v>1290.9999999999998</v>
      </c>
      <c r="V240" s="9">
        <f t="shared" si="238"/>
        <v>1424.333333333333</v>
      </c>
      <c r="W240" s="9">
        <f t="shared" si="238"/>
        <v>1557.6666666666663</v>
      </c>
      <c r="X240" s="9">
        <f t="shared" si="238"/>
        <v>1690.9999999999995</v>
      </c>
      <c r="Y240" s="9">
        <f t="shared" si="238"/>
        <v>1824.3333333333328</v>
      </c>
      <c r="Z240" s="9">
        <f t="shared" si="238"/>
        <v>1957.6666666666661</v>
      </c>
      <c r="AA240" s="9">
        <f t="shared" si="238"/>
        <v>2090.9999999999995</v>
      </c>
      <c r="AB240" s="9">
        <f t="shared" si="238"/>
        <v>2224.333333333333</v>
      </c>
      <c r="AC240" s="9">
        <f t="shared" si="238"/>
        <v>2357.6666666666665</v>
      </c>
      <c r="AD240" s="9">
        <f t="shared" si="238"/>
        <v>2491</v>
      </c>
      <c r="AE240" s="10">
        <f t="shared" si="238"/>
        <v>2624.3333333333335</v>
      </c>
      <c r="AF240" s="9">
        <f t="shared" si="238"/>
        <v>2757.666666666667</v>
      </c>
      <c r="AG240" s="9">
        <f t="shared" si="238"/>
        <v>2891.0000000000005</v>
      </c>
      <c r="AH240" s="9">
        <f t="shared" si="238"/>
        <v>3024.3333333333339</v>
      </c>
      <c r="AI240" s="9">
        <f t="shared" si="238"/>
        <v>3157.6666666666674</v>
      </c>
      <c r="AJ240" s="9">
        <f t="shared" si="238"/>
        <v>3291.0000000000009</v>
      </c>
      <c r="AK240" s="9">
        <f t="shared" si="238"/>
        <v>3424.3333333333344</v>
      </c>
      <c r="AL240" s="9">
        <f t="shared" si="238"/>
        <v>3557.6666666666679</v>
      </c>
      <c r="AM240" s="9">
        <f t="shared" si="238"/>
        <v>3691.0000000000014</v>
      </c>
      <c r="AN240" s="9">
        <f t="shared" si="238"/>
        <v>3824.3333333333348</v>
      </c>
      <c r="AO240" s="9">
        <f t="shared" si="238"/>
        <v>3957.6666666666683</v>
      </c>
      <c r="AP240" s="9">
        <f t="shared" si="238"/>
        <v>4091.0000000000018</v>
      </c>
      <c r="AQ240" s="29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29"/>
      <c r="BD240" s="29"/>
      <c r="BE240" s="46"/>
      <c r="BF240" s="46"/>
      <c r="BG240" s="46"/>
      <c r="BH240" s="29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</row>
    <row r="241" spans="1:79" ht="14.25" customHeight="1" outlineLevel="1" x14ac:dyDescent="0.25">
      <c r="A241" s="22"/>
      <c r="B241" s="22" t="s">
        <v>234</v>
      </c>
      <c r="C241" s="162">
        <v>250</v>
      </c>
      <c r="D241" s="162">
        <f>400/3</f>
        <v>133.33333333333334</v>
      </c>
      <c r="E241" s="22"/>
      <c r="F241" s="82"/>
      <c r="G241" s="82"/>
      <c r="H241" s="82"/>
      <c r="I241" s="82"/>
      <c r="J241" s="82"/>
      <c r="K241" s="176"/>
      <c r="L241" s="163"/>
      <c r="M241" s="11"/>
      <c r="N241" s="11"/>
      <c r="O241" s="11"/>
      <c r="P241" s="11"/>
      <c r="Q241" s="11"/>
      <c r="R241" s="11"/>
      <c r="S241" s="50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50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31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31"/>
      <c r="BD241" s="31"/>
      <c r="BE241" s="22"/>
      <c r="BF241" s="22"/>
      <c r="BG241" s="22"/>
      <c r="BH241" s="31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</row>
    <row r="242" spans="1:79" ht="14.25" customHeight="1" outlineLevel="1" x14ac:dyDescent="0.25">
      <c r="A242" s="22"/>
      <c r="B242" s="22" t="s">
        <v>235</v>
      </c>
      <c r="C242" s="164">
        <v>235</v>
      </c>
      <c r="D242" s="22" t="s">
        <v>259</v>
      </c>
      <c r="E242" s="22"/>
      <c r="F242" s="82" t="s">
        <v>260</v>
      </c>
      <c r="G242" s="49">
        <v>31378</v>
      </c>
      <c r="H242" s="48">
        <v>38090</v>
      </c>
      <c r="I242" s="48">
        <v>57400</v>
      </c>
      <c r="J242" s="48">
        <v>63200</v>
      </c>
      <c r="K242" s="177">
        <v>69600</v>
      </c>
      <c r="L242" s="177">
        <f t="shared" ref="L242:AP242" si="239">L240*$C242</f>
        <v>92590</v>
      </c>
      <c r="M242" s="116">
        <f t="shared" si="239"/>
        <v>94940</v>
      </c>
      <c r="N242" s="116">
        <f t="shared" si="239"/>
        <v>81780</v>
      </c>
      <c r="O242" s="116">
        <f t="shared" si="239"/>
        <v>84835</v>
      </c>
      <c r="P242" s="116">
        <f t="shared" si="239"/>
        <v>91885</v>
      </c>
      <c r="Q242" s="116">
        <f t="shared" si="239"/>
        <v>150635</v>
      </c>
      <c r="R242" s="116">
        <f t="shared" si="239"/>
        <v>209385</v>
      </c>
      <c r="S242" s="125">
        <f t="shared" si="239"/>
        <v>240718.33333333331</v>
      </c>
      <c r="T242" s="116">
        <f t="shared" si="239"/>
        <v>272051.66666666663</v>
      </c>
      <c r="U242" s="116">
        <f t="shared" si="239"/>
        <v>303384.99999999994</v>
      </c>
      <c r="V242" s="116">
        <f t="shared" si="239"/>
        <v>334718.33333333326</v>
      </c>
      <c r="W242" s="116">
        <f t="shared" si="239"/>
        <v>366051.66666666657</v>
      </c>
      <c r="X242" s="116">
        <f t="shared" si="239"/>
        <v>397384.99999999988</v>
      </c>
      <c r="Y242" s="116">
        <f t="shared" si="239"/>
        <v>428718.3333333332</v>
      </c>
      <c r="Z242" s="116">
        <f t="shared" si="239"/>
        <v>460051.66666666651</v>
      </c>
      <c r="AA242" s="116">
        <f t="shared" si="239"/>
        <v>491384.99999999988</v>
      </c>
      <c r="AB242" s="116">
        <f t="shared" si="239"/>
        <v>522718.33333333326</v>
      </c>
      <c r="AC242" s="116">
        <f t="shared" si="239"/>
        <v>554051.66666666663</v>
      </c>
      <c r="AD242" s="116">
        <f t="shared" si="239"/>
        <v>585385</v>
      </c>
      <c r="AE242" s="125">
        <f t="shared" si="239"/>
        <v>616718.33333333337</v>
      </c>
      <c r="AF242" s="116">
        <f t="shared" si="239"/>
        <v>648051.66666666674</v>
      </c>
      <c r="AG242" s="116">
        <f t="shared" si="239"/>
        <v>679385.00000000012</v>
      </c>
      <c r="AH242" s="116">
        <f t="shared" si="239"/>
        <v>710718.33333333349</v>
      </c>
      <c r="AI242" s="116">
        <f t="shared" si="239"/>
        <v>742051.66666666686</v>
      </c>
      <c r="AJ242" s="116">
        <f t="shared" si="239"/>
        <v>773385.00000000023</v>
      </c>
      <c r="AK242" s="116">
        <f t="shared" si="239"/>
        <v>804718.3333333336</v>
      </c>
      <c r="AL242" s="116">
        <f t="shared" si="239"/>
        <v>836051.66666666698</v>
      </c>
      <c r="AM242" s="116">
        <f t="shared" si="239"/>
        <v>867385.00000000035</v>
      </c>
      <c r="AN242" s="116">
        <f t="shared" si="239"/>
        <v>898718.33333333372</v>
      </c>
      <c r="AO242" s="116">
        <f t="shared" si="239"/>
        <v>930051.66666666709</v>
      </c>
      <c r="AP242" s="116">
        <f t="shared" si="239"/>
        <v>961385.00000000047</v>
      </c>
      <c r="AQ242" s="31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31"/>
      <c r="BD242" s="31"/>
      <c r="BE242" s="22"/>
      <c r="BF242" s="22"/>
      <c r="BG242" s="22"/>
      <c r="BH242" s="31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</row>
    <row r="243" spans="1:79" ht="14.25" customHeight="1" outlineLevel="1" x14ac:dyDescent="0.25">
      <c r="A243" s="22"/>
      <c r="B243" s="22" t="s">
        <v>261</v>
      </c>
      <c r="C243" s="164">
        <v>90</v>
      </c>
      <c r="D243" s="22" t="s">
        <v>259</v>
      </c>
      <c r="E243" s="22"/>
      <c r="F243" s="82" t="s">
        <v>262</v>
      </c>
      <c r="G243" s="177">
        <f t="shared" ref="G243:M243" si="240">G240*($C243+25)</f>
        <v>15410</v>
      </c>
      <c r="H243" s="177">
        <f t="shared" si="240"/>
        <v>18630</v>
      </c>
      <c r="I243" s="177">
        <f t="shared" si="240"/>
        <v>28060</v>
      </c>
      <c r="J243" s="177">
        <f t="shared" si="240"/>
        <v>30935</v>
      </c>
      <c r="K243" s="177">
        <f t="shared" si="240"/>
        <v>34059.574468085106</v>
      </c>
      <c r="L243" s="177">
        <f t="shared" si="240"/>
        <v>45310</v>
      </c>
      <c r="M243" s="177">
        <f t="shared" si="240"/>
        <v>46460</v>
      </c>
      <c r="N243" s="116">
        <f t="shared" ref="N243:AP243" si="241">N240*$C243</f>
        <v>31320</v>
      </c>
      <c r="O243" s="116">
        <f t="shared" si="241"/>
        <v>32490</v>
      </c>
      <c r="P243" s="116">
        <f t="shared" si="241"/>
        <v>35190</v>
      </c>
      <c r="Q243" s="116">
        <f t="shared" si="241"/>
        <v>57690</v>
      </c>
      <c r="R243" s="116">
        <f t="shared" si="241"/>
        <v>80190</v>
      </c>
      <c r="S243" s="125">
        <f t="shared" si="241"/>
        <v>92190</v>
      </c>
      <c r="T243" s="116">
        <f t="shared" si="241"/>
        <v>104189.99999999999</v>
      </c>
      <c r="U243" s="116">
        <f t="shared" si="241"/>
        <v>116189.99999999999</v>
      </c>
      <c r="V243" s="116">
        <f t="shared" si="241"/>
        <v>128189.99999999997</v>
      </c>
      <c r="W243" s="116">
        <f t="shared" si="241"/>
        <v>140189.99999999997</v>
      </c>
      <c r="X243" s="116">
        <f t="shared" si="241"/>
        <v>152189.99999999997</v>
      </c>
      <c r="Y243" s="116">
        <f t="shared" si="241"/>
        <v>164189.99999999994</v>
      </c>
      <c r="Z243" s="116">
        <f t="shared" si="241"/>
        <v>176189.99999999994</v>
      </c>
      <c r="AA243" s="116">
        <f t="shared" si="241"/>
        <v>188189.99999999997</v>
      </c>
      <c r="AB243" s="116">
        <f t="shared" si="241"/>
        <v>200189.99999999997</v>
      </c>
      <c r="AC243" s="116">
        <f t="shared" si="241"/>
        <v>212190</v>
      </c>
      <c r="AD243" s="116">
        <f t="shared" si="241"/>
        <v>224190</v>
      </c>
      <c r="AE243" s="125">
        <f t="shared" si="241"/>
        <v>236190</v>
      </c>
      <c r="AF243" s="116">
        <f t="shared" si="241"/>
        <v>248190.00000000003</v>
      </c>
      <c r="AG243" s="116">
        <f t="shared" si="241"/>
        <v>260190.00000000003</v>
      </c>
      <c r="AH243" s="116">
        <f t="shared" si="241"/>
        <v>272190.00000000006</v>
      </c>
      <c r="AI243" s="116">
        <f t="shared" si="241"/>
        <v>284190.00000000006</v>
      </c>
      <c r="AJ243" s="116">
        <f t="shared" si="241"/>
        <v>296190.00000000006</v>
      </c>
      <c r="AK243" s="116">
        <f t="shared" si="241"/>
        <v>308190.00000000012</v>
      </c>
      <c r="AL243" s="116">
        <f t="shared" si="241"/>
        <v>320190.00000000012</v>
      </c>
      <c r="AM243" s="116">
        <f t="shared" si="241"/>
        <v>332190.00000000012</v>
      </c>
      <c r="AN243" s="116">
        <f t="shared" si="241"/>
        <v>344190.00000000012</v>
      </c>
      <c r="AO243" s="116">
        <f t="shared" si="241"/>
        <v>356190.00000000017</v>
      </c>
      <c r="AP243" s="116">
        <f t="shared" si="241"/>
        <v>368190.00000000017</v>
      </c>
      <c r="AQ243" s="31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31"/>
      <c r="BD243" s="31"/>
      <c r="BE243" s="22"/>
      <c r="BF243" s="22"/>
      <c r="BG243" s="22"/>
      <c r="BH243" s="31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</row>
    <row r="244" spans="1:79" ht="14.25" customHeight="1" outlineLevel="1" x14ac:dyDescent="0.25">
      <c r="A244" s="22"/>
      <c r="B244" s="22" t="s">
        <v>263</v>
      </c>
      <c r="C244" s="164">
        <v>5</v>
      </c>
      <c r="D244" s="22" t="s">
        <v>259</v>
      </c>
      <c r="E244" s="22"/>
      <c r="F244" s="82" t="s">
        <v>264</v>
      </c>
      <c r="G244" s="165"/>
      <c r="H244" s="165"/>
      <c r="I244" s="165"/>
      <c r="J244" s="165"/>
      <c r="K244" s="178"/>
      <c r="L244" s="178"/>
      <c r="M244" s="157"/>
      <c r="N244" s="157"/>
      <c r="O244" s="157"/>
      <c r="P244" s="157"/>
      <c r="Q244" s="157">
        <f t="shared" ref="Q244:AP244" si="242">$C244*Q240</f>
        <v>3205</v>
      </c>
      <c r="R244" s="157">
        <f t="shared" si="242"/>
        <v>4455</v>
      </c>
      <c r="S244" s="158">
        <f t="shared" si="242"/>
        <v>5121.6666666666661</v>
      </c>
      <c r="T244" s="157">
        <f t="shared" si="242"/>
        <v>5788.3333333333321</v>
      </c>
      <c r="U244" s="157">
        <f t="shared" si="242"/>
        <v>6454.9999999999991</v>
      </c>
      <c r="V244" s="157">
        <f t="shared" si="242"/>
        <v>7121.6666666666652</v>
      </c>
      <c r="W244" s="157">
        <f t="shared" si="242"/>
        <v>7788.3333333333312</v>
      </c>
      <c r="X244" s="157">
        <f t="shared" si="242"/>
        <v>8454.9999999999982</v>
      </c>
      <c r="Y244" s="157">
        <f t="shared" si="242"/>
        <v>9121.6666666666642</v>
      </c>
      <c r="Z244" s="157">
        <f t="shared" si="242"/>
        <v>9788.3333333333303</v>
      </c>
      <c r="AA244" s="157">
        <f t="shared" si="242"/>
        <v>10454.999999999998</v>
      </c>
      <c r="AB244" s="157">
        <f t="shared" si="242"/>
        <v>11121.666666666664</v>
      </c>
      <c r="AC244" s="157">
        <f t="shared" si="242"/>
        <v>11788.333333333332</v>
      </c>
      <c r="AD244" s="157">
        <f t="shared" si="242"/>
        <v>12455</v>
      </c>
      <c r="AE244" s="158">
        <f t="shared" si="242"/>
        <v>13121.666666666668</v>
      </c>
      <c r="AF244" s="157">
        <f t="shared" si="242"/>
        <v>13788.333333333336</v>
      </c>
      <c r="AG244" s="157">
        <f t="shared" si="242"/>
        <v>14455.000000000002</v>
      </c>
      <c r="AH244" s="157">
        <f t="shared" si="242"/>
        <v>15121.66666666667</v>
      </c>
      <c r="AI244" s="157">
        <f t="shared" si="242"/>
        <v>15788.333333333338</v>
      </c>
      <c r="AJ244" s="157">
        <f t="shared" si="242"/>
        <v>16455.000000000004</v>
      </c>
      <c r="AK244" s="157">
        <f t="shared" si="242"/>
        <v>17121.666666666672</v>
      </c>
      <c r="AL244" s="157">
        <f t="shared" si="242"/>
        <v>17788.333333333339</v>
      </c>
      <c r="AM244" s="157">
        <f t="shared" si="242"/>
        <v>18455.000000000007</v>
      </c>
      <c r="AN244" s="157">
        <f t="shared" si="242"/>
        <v>19121.666666666675</v>
      </c>
      <c r="AO244" s="157">
        <f t="shared" si="242"/>
        <v>19788.333333333343</v>
      </c>
      <c r="AP244" s="157">
        <f t="shared" si="242"/>
        <v>20455.000000000007</v>
      </c>
      <c r="AQ244" s="31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31"/>
      <c r="BD244" s="31"/>
      <c r="BE244" s="22"/>
      <c r="BF244" s="22"/>
      <c r="BG244" s="22"/>
      <c r="BH244" s="31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</row>
    <row r="245" spans="1:79" ht="14.25" customHeight="1" outlineLevel="1" x14ac:dyDescent="0.25">
      <c r="A245" s="46"/>
      <c r="B245" s="22" t="s">
        <v>236</v>
      </c>
      <c r="C245" s="162">
        <v>60</v>
      </c>
      <c r="D245" s="22" t="s">
        <v>237</v>
      </c>
      <c r="E245" s="22"/>
      <c r="F245" s="139" t="s">
        <v>265</v>
      </c>
      <c r="G245" s="126">
        <f t="shared" ref="G245:P245" si="243">G242-G243</f>
        <v>15968</v>
      </c>
      <c r="H245" s="126">
        <f t="shared" si="243"/>
        <v>19460</v>
      </c>
      <c r="I245" s="126">
        <f t="shared" si="243"/>
        <v>29340</v>
      </c>
      <c r="J245" s="126">
        <f t="shared" si="243"/>
        <v>32265</v>
      </c>
      <c r="K245" s="126">
        <f t="shared" si="243"/>
        <v>35540.425531914894</v>
      </c>
      <c r="L245" s="126">
        <f t="shared" si="243"/>
        <v>47280</v>
      </c>
      <c r="M245" s="140">
        <f t="shared" si="243"/>
        <v>48480</v>
      </c>
      <c r="N245" s="140">
        <f t="shared" si="243"/>
        <v>50460</v>
      </c>
      <c r="O245" s="140">
        <f t="shared" si="243"/>
        <v>52345</v>
      </c>
      <c r="P245" s="140">
        <f t="shared" si="243"/>
        <v>56695</v>
      </c>
      <c r="Q245" s="140">
        <f t="shared" ref="Q245:AP245" si="244">Q242-Q243-Q244</f>
        <v>89740</v>
      </c>
      <c r="R245" s="140">
        <f t="shared" si="244"/>
        <v>124740</v>
      </c>
      <c r="S245" s="141">
        <f t="shared" si="244"/>
        <v>143406.66666666666</v>
      </c>
      <c r="T245" s="140">
        <f t="shared" si="244"/>
        <v>162073.33333333328</v>
      </c>
      <c r="U245" s="140">
        <f t="shared" si="244"/>
        <v>180739.99999999994</v>
      </c>
      <c r="V245" s="140">
        <f t="shared" si="244"/>
        <v>199406.66666666663</v>
      </c>
      <c r="W245" s="140">
        <f t="shared" si="244"/>
        <v>218073.33333333326</v>
      </c>
      <c r="X245" s="140">
        <f t="shared" si="244"/>
        <v>236739.99999999991</v>
      </c>
      <c r="Y245" s="140">
        <f t="shared" si="244"/>
        <v>255406.6666666666</v>
      </c>
      <c r="Z245" s="140">
        <f t="shared" si="244"/>
        <v>274073.33333333326</v>
      </c>
      <c r="AA245" s="140">
        <f t="shared" si="244"/>
        <v>292739.99999999988</v>
      </c>
      <c r="AB245" s="140">
        <f t="shared" si="244"/>
        <v>311406.66666666657</v>
      </c>
      <c r="AC245" s="140">
        <f t="shared" si="244"/>
        <v>330073.33333333331</v>
      </c>
      <c r="AD245" s="140">
        <f t="shared" si="244"/>
        <v>348740</v>
      </c>
      <c r="AE245" s="141">
        <f t="shared" si="244"/>
        <v>367406.66666666669</v>
      </c>
      <c r="AF245" s="140">
        <f t="shared" si="244"/>
        <v>386073.33333333343</v>
      </c>
      <c r="AG245" s="140">
        <f t="shared" si="244"/>
        <v>404740.00000000012</v>
      </c>
      <c r="AH245" s="140">
        <f t="shared" si="244"/>
        <v>423406.66666666674</v>
      </c>
      <c r="AI245" s="140">
        <f t="shared" si="244"/>
        <v>442073.33333333349</v>
      </c>
      <c r="AJ245" s="140">
        <f t="shared" si="244"/>
        <v>460740.00000000017</v>
      </c>
      <c r="AK245" s="140">
        <f t="shared" si="244"/>
        <v>479406.6666666668</v>
      </c>
      <c r="AL245" s="140">
        <f t="shared" si="244"/>
        <v>498073.33333333355</v>
      </c>
      <c r="AM245" s="140">
        <f t="shared" si="244"/>
        <v>516740.00000000023</v>
      </c>
      <c r="AN245" s="140">
        <f t="shared" si="244"/>
        <v>535406.66666666698</v>
      </c>
      <c r="AO245" s="140">
        <f t="shared" si="244"/>
        <v>554073.3333333336</v>
      </c>
      <c r="AP245" s="140">
        <f t="shared" si="244"/>
        <v>572740.00000000023</v>
      </c>
      <c r="AQ245" s="29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29"/>
      <c r="BD245" s="29"/>
      <c r="BE245" s="46"/>
      <c r="BF245" s="46"/>
      <c r="BG245" s="46"/>
      <c r="BH245" s="29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</row>
    <row r="246" spans="1:79" ht="14.25" customHeight="1" outlineLevel="1" x14ac:dyDescent="0.25">
      <c r="A246" s="22"/>
      <c r="B246" s="22" t="s">
        <v>239</v>
      </c>
      <c r="C246" s="162">
        <v>30</v>
      </c>
      <c r="D246" s="22" t="s">
        <v>237</v>
      </c>
      <c r="E246" s="22"/>
      <c r="F246" s="179" t="s">
        <v>266</v>
      </c>
      <c r="G246" s="180">
        <f t="shared" ref="G246:AP246" si="245">G245/G242</f>
        <v>0.50889158008795976</v>
      </c>
      <c r="H246" s="180">
        <f t="shared" si="245"/>
        <v>0.51089524809661324</v>
      </c>
      <c r="I246" s="180">
        <f t="shared" si="245"/>
        <v>0.51114982578397217</v>
      </c>
      <c r="J246" s="180">
        <f t="shared" si="245"/>
        <v>0.51052215189873418</v>
      </c>
      <c r="K246" s="180">
        <f t="shared" si="245"/>
        <v>0.51063829787234039</v>
      </c>
      <c r="L246" s="180">
        <f t="shared" si="245"/>
        <v>0.51063829787234039</v>
      </c>
      <c r="M246" s="180">
        <f t="shared" si="245"/>
        <v>0.51063829787234039</v>
      </c>
      <c r="N246" s="180">
        <f t="shared" si="245"/>
        <v>0.61702127659574468</v>
      </c>
      <c r="O246" s="180">
        <f t="shared" si="245"/>
        <v>0.61702127659574468</v>
      </c>
      <c r="P246" s="180">
        <f t="shared" si="245"/>
        <v>0.61702127659574468</v>
      </c>
      <c r="Q246" s="180">
        <f t="shared" si="245"/>
        <v>0.5957446808510638</v>
      </c>
      <c r="R246" s="180">
        <f t="shared" si="245"/>
        <v>0.5957446808510638</v>
      </c>
      <c r="S246" s="181">
        <f t="shared" si="245"/>
        <v>0.5957446808510638</v>
      </c>
      <c r="T246" s="180">
        <f t="shared" si="245"/>
        <v>0.59574468085106369</v>
      </c>
      <c r="U246" s="180">
        <f t="shared" si="245"/>
        <v>0.5957446808510638</v>
      </c>
      <c r="V246" s="180">
        <f t="shared" si="245"/>
        <v>0.5957446808510638</v>
      </c>
      <c r="W246" s="180">
        <f t="shared" si="245"/>
        <v>0.5957446808510638</v>
      </c>
      <c r="X246" s="180">
        <f t="shared" si="245"/>
        <v>0.5957446808510638</v>
      </c>
      <c r="Y246" s="180">
        <f t="shared" si="245"/>
        <v>0.59574468085106391</v>
      </c>
      <c r="Z246" s="180">
        <f t="shared" si="245"/>
        <v>0.59574468085106391</v>
      </c>
      <c r="AA246" s="180">
        <f t="shared" si="245"/>
        <v>0.59574468085106369</v>
      </c>
      <c r="AB246" s="180">
        <f t="shared" si="245"/>
        <v>0.59574468085106369</v>
      </c>
      <c r="AC246" s="180">
        <f t="shared" si="245"/>
        <v>0.5957446808510638</v>
      </c>
      <c r="AD246" s="180">
        <f t="shared" si="245"/>
        <v>0.5957446808510638</v>
      </c>
      <c r="AE246" s="181">
        <f t="shared" si="245"/>
        <v>0.5957446808510638</v>
      </c>
      <c r="AF246" s="180">
        <f t="shared" si="245"/>
        <v>0.59574468085106391</v>
      </c>
      <c r="AG246" s="180">
        <f t="shared" si="245"/>
        <v>0.59574468085106391</v>
      </c>
      <c r="AH246" s="180">
        <f t="shared" si="245"/>
        <v>0.5957446808510638</v>
      </c>
      <c r="AI246" s="180">
        <f t="shared" si="245"/>
        <v>0.59574468085106391</v>
      </c>
      <c r="AJ246" s="180">
        <f t="shared" si="245"/>
        <v>0.59574468085106391</v>
      </c>
      <c r="AK246" s="180">
        <f t="shared" si="245"/>
        <v>0.5957446808510638</v>
      </c>
      <c r="AL246" s="180">
        <f t="shared" si="245"/>
        <v>0.59574468085106391</v>
      </c>
      <c r="AM246" s="180">
        <f t="shared" si="245"/>
        <v>0.59574468085106391</v>
      </c>
      <c r="AN246" s="180">
        <f t="shared" si="245"/>
        <v>0.59574468085106391</v>
      </c>
      <c r="AO246" s="180">
        <f t="shared" si="245"/>
        <v>0.5957446808510638</v>
      </c>
      <c r="AP246" s="180">
        <f t="shared" si="245"/>
        <v>0.5957446808510638</v>
      </c>
      <c r="AQ246" s="31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31"/>
      <c r="BD246" s="31"/>
      <c r="BE246" s="22"/>
      <c r="BF246" s="22"/>
      <c r="BG246" s="22"/>
      <c r="BH246" s="31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</row>
    <row r="247" spans="1:79" ht="14.25" customHeight="1" outlineLevel="1" x14ac:dyDescent="0.25">
      <c r="A247" s="22"/>
      <c r="B247" s="22"/>
      <c r="C247" s="22"/>
      <c r="D247" s="22"/>
      <c r="E247" s="22"/>
      <c r="F247" s="82"/>
      <c r="G247" s="82"/>
      <c r="H247" s="82"/>
      <c r="I247" s="82"/>
      <c r="J247" s="82"/>
      <c r="K247" s="82"/>
      <c r="L247" s="22"/>
      <c r="M247" s="22"/>
      <c r="N247" s="22"/>
      <c r="O247" s="22"/>
      <c r="P247" s="22"/>
      <c r="Q247" s="22"/>
      <c r="R247" s="22"/>
      <c r="S247" s="31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31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31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31"/>
      <c r="BD247" s="31"/>
      <c r="BE247" s="22"/>
      <c r="BF247" s="22"/>
      <c r="BG247" s="22"/>
      <c r="BH247" s="31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</row>
    <row r="248" spans="1:79" ht="14.25" customHeight="1" outlineLevel="1" x14ac:dyDescent="0.25">
      <c r="A248" s="22"/>
      <c r="B248" s="22"/>
      <c r="C248" s="22"/>
      <c r="D248" s="22"/>
      <c r="E248" s="22"/>
      <c r="F248" s="82" t="s">
        <v>236</v>
      </c>
      <c r="G248" s="116">
        <f>E242</f>
        <v>0</v>
      </c>
      <c r="H248" s="116"/>
      <c r="I248" s="116">
        <f t="shared" ref="I248:AP248" si="246">G242</f>
        <v>31378</v>
      </c>
      <c r="J248" s="116">
        <f t="shared" si="246"/>
        <v>38090</v>
      </c>
      <c r="K248" s="116">
        <f t="shared" si="246"/>
        <v>57400</v>
      </c>
      <c r="L248" s="116">
        <f t="shared" si="246"/>
        <v>63200</v>
      </c>
      <c r="M248" s="116">
        <f t="shared" si="246"/>
        <v>69600</v>
      </c>
      <c r="N248" s="116">
        <f t="shared" si="246"/>
        <v>92590</v>
      </c>
      <c r="O248" s="116">
        <f t="shared" si="246"/>
        <v>94940</v>
      </c>
      <c r="P248" s="116">
        <f t="shared" si="246"/>
        <v>81780</v>
      </c>
      <c r="Q248" s="116">
        <f t="shared" si="246"/>
        <v>84835</v>
      </c>
      <c r="R248" s="116">
        <f t="shared" si="246"/>
        <v>91885</v>
      </c>
      <c r="S248" s="125">
        <f t="shared" si="246"/>
        <v>150635</v>
      </c>
      <c r="T248" s="116">
        <f t="shared" si="246"/>
        <v>209385</v>
      </c>
      <c r="U248" s="116">
        <f t="shared" si="246"/>
        <v>240718.33333333331</v>
      </c>
      <c r="V248" s="116">
        <f t="shared" si="246"/>
        <v>272051.66666666663</v>
      </c>
      <c r="W248" s="116">
        <f t="shared" si="246"/>
        <v>303384.99999999994</v>
      </c>
      <c r="X248" s="116">
        <f t="shared" si="246"/>
        <v>334718.33333333326</v>
      </c>
      <c r="Y248" s="116">
        <f t="shared" si="246"/>
        <v>366051.66666666657</v>
      </c>
      <c r="Z248" s="116">
        <f t="shared" si="246"/>
        <v>397384.99999999988</v>
      </c>
      <c r="AA248" s="116">
        <f t="shared" si="246"/>
        <v>428718.3333333332</v>
      </c>
      <c r="AB248" s="116">
        <f t="shared" si="246"/>
        <v>460051.66666666651</v>
      </c>
      <c r="AC248" s="116">
        <f t="shared" si="246"/>
        <v>491384.99999999988</v>
      </c>
      <c r="AD248" s="116">
        <f t="shared" si="246"/>
        <v>522718.33333333326</v>
      </c>
      <c r="AE248" s="125">
        <f t="shared" si="246"/>
        <v>554051.66666666663</v>
      </c>
      <c r="AF248" s="116">
        <f t="shared" si="246"/>
        <v>585385</v>
      </c>
      <c r="AG248" s="116">
        <f t="shared" si="246"/>
        <v>616718.33333333337</v>
      </c>
      <c r="AH248" s="116">
        <f t="shared" si="246"/>
        <v>648051.66666666674</v>
      </c>
      <c r="AI248" s="116">
        <f t="shared" si="246"/>
        <v>679385.00000000012</v>
      </c>
      <c r="AJ248" s="116">
        <f t="shared" si="246"/>
        <v>710718.33333333349</v>
      </c>
      <c r="AK248" s="116">
        <f t="shared" si="246"/>
        <v>742051.66666666686</v>
      </c>
      <c r="AL248" s="116">
        <f t="shared" si="246"/>
        <v>773385.00000000023</v>
      </c>
      <c r="AM248" s="116">
        <f t="shared" si="246"/>
        <v>804718.3333333336</v>
      </c>
      <c r="AN248" s="116">
        <f t="shared" si="246"/>
        <v>836051.66666666698</v>
      </c>
      <c r="AO248" s="116">
        <f t="shared" si="246"/>
        <v>867385.00000000035</v>
      </c>
      <c r="AP248" s="116">
        <f t="shared" si="246"/>
        <v>898718.33333333372</v>
      </c>
      <c r="AQ248" s="31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31"/>
      <c r="BD248" s="31"/>
      <c r="BE248" s="22"/>
      <c r="BF248" s="22"/>
      <c r="BG248" s="22"/>
      <c r="BH248" s="31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</row>
    <row r="249" spans="1:79" ht="14.25" customHeight="1" outlineLevel="1" x14ac:dyDescent="0.25">
      <c r="A249" s="22"/>
      <c r="B249" s="22"/>
      <c r="C249" s="22"/>
      <c r="D249" s="22"/>
      <c r="E249" s="22"/>
      <c r="F249" s="82" t="s">
        <v>239</v>
      </c>
      <c r="G249" s="157"/>
      <c r="H249" s="157">
        <f t="shared" ref="H249:AP249" si="247">G243</f>
        <v>15410</v>
      </c>
      <c r="I249" s="157">
        <f t="shared" si="247"/>
        <v>18630</v>
      </c>
      <c r="J249" s="157">
        <f t="shared" si="247"/>
        <v>28060</v>
      </c>
      <c r="K249" s="157">
        <f t="shared" si="247"/>
        <v>30935</v>
      </c>
      <c r="L249" s="157">
        <f t="shared" si="247"/>
        <v>34059.574468085106</v>
      </c>
      <c r="M249" s="157">
        <f t="shared" si="247"/>
        <v>45310</v>
      </c>
      <c r="N249" s="157">
        <f t="shared" si="247"/>
        <v>46460</v>
      </c>
      <c r="O249" s="157">
        <f t="shared" si="247"/>
        <v>31320</v>
      </c>
      <c r="P249" s="157">
        <f t="shared" si="247"/>
        <v>32490</v>
      </c>
      <c r="Q249" s="157">
        <f t="shared" si="247"/>
        <v>35190</v>
      </c>
      <c r="R249" s="157">
        <f t="shared" si="247"/>
        <v>57690</v>
      </c>
      <c r="S249" s="158">
        <f t="shared" si="247"/>
        <v>80190</v>
      </c>
      <c r="T249" s="157">
        <f t="shared" si="247"/>
        <v>92190</v>
      </c>
      <c r="U249" s="157">
        <f t="shared" si="247"/>
        <v>104189.99999999999</v>
      </c>
      <c r="V249" s="157">
        <f t="shared" si="247"/>
        <v>116189.99999999999</v>
      </c>
      <c r="W249" s="157">
        <f t="shared" si="247"/>
        <v>128189.99999999997</v>
      </c>
      <c r="X249" s="157">
        <f t="shared" si="247"/>
        <v>140189.99999999997</v>
      </c>
      <c r="Y249" s="157">
        <f t="shared" si="247"/>
        <v>152189.99999999997</v>
      </c>
      <c r="Z249" s="157">
        <f t="shared" si="247"/>
        <v>164189.99999999994</v>
      </c>
      <c r="AA249" s="157">
        <f t="shared" si="247"/>
        <v>176189.99999999994</v>
      </c>
      <c r="AB249" s="157">
        <f t="shared" si="247"/>
        <v>188189.99999999997</v>
      </c>
      <c r="AC249" s="157">
        <f t="shared" si="247"/>
        <v>200189.99999999997</v>
      </c>
      <c r="AD249" s="157">
        <f t="shared" si="247"/>
        <v>212190</v>
      </c>
      <c r="AE249" s="158">
        <f t="shared" si="247"/>
        <v>224190</v>
      </c>
      <c r="AF249" s="157">
        <f t="shared" si="247"/>
        <v>236190</v>
      </c>
      <c r="AG249" s="157">
        <f t="shared" si="247"/>
        <v>248190.00000000003</v>
      </c>
      <c r="AH249" s="157">
        <f t="shared" si="247"/>
        <v>260190.00000000003</v>
      </c>
      <c r="AI249" s="157">
        <f t="shared" si="247"/>
        <v>272190.00000000006</v>
      </c>
      <c r="AJ249" s="157">
        <f t="shared" si="247"/>
        <v>284190.00000000006</v>
      </c>
      <c r="AK249" s="157">
        <f t="shared" si="247"/>
        <v>296190.00000000006</v>
      </c>
      <c r="AL249" s="157">
        <f t="shared" si="247"/>
        <v>308190.00000000012</v>
      </c>
      <c r="AM249" s="157">
        <f t="shared" si="247"/>
        <v>320190.00000000012</v>
      </c>
      <c r="AN249" s="157">
        <f t="shared" si="247"/>
        <v>332190.00000000012</v>
      </c>
      <c r="AO249" s="157">
        <f t="shared" si="247"/>
        <v>344190.00000000012</v>
      </c>
      <c r="AP249" s="157">
        <f t="shared" si="247"/>
        <v>356190.00000000017</v>
      </c>
      <c r="AQ249" s="31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31"/>
      <c r="BD249" s="31"/>
      <c r="BE249" s="22"/>
      <c r="BF249" s="22"/>
      <c r="BG249" s="22"/>
      <c r="BH249" s="31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</row>
    <row r="250" spans="1:79" ht="14.25" customHeight="1" outlineLevel="1" x14ac:dyDescent="0.25">
      <c r="A250" s="46"/>
      <c r="B250" s="46"/>
      <c r="C250" s="46"/>
      <c r="D250" s="46"/>
      <c r="E250" s="46"/>
      <c r="F250" s="139" t="s">
        <v>240</v>
      </c>
      <c r="G250" s="140">
        <f t="shared" ref="G250:AP250" si="248">G248-G249</f>
        <v>0</v>
      </c>
      <c r="H250" s="140">
        <f t="shared" si="248"/>
        <v>-15410</v>
      </c>
      <c r="I250" s="140">
        <f t="shared" si="248"/>
        <v>12748</v>
      </c>
      <c r="J250" s="140">
        <f t="shared" si="248"/>
        <v>10030</v>
      </c>
      <c r="K250" s="140">
        <f t="shared" si="248"/>
        <v>26465</v>
      </c>
      <c r="L250" s="140">
        <f t="shared" si="248"/>
        <v>29140.425531914894</v>
      </c>
      <c r="M250" s="140">
        <f t="shared" si="248"/>
        <v>24290</v>
      </c>
      <c r="N250" s="140">
        <f t="shared" si="248"/>
        <v>46130</v>
      </c>
      <c r="O250" s="140">
        <f t="shared" si="248"/>
        <v>63620</v>
      </c>
      <c r="P250" s="140">
        <f t="shared" si="248"/>
        <v>49290</v>
      </c>
      <c r="Q250" s="140">
        <f t="shared" si="248"/>
        <v>49645</v>
      </c>
      <c r="R250" s="140">
        <f t="shared" si="248"/>
        <v>34195</v>
      </c>
      <c r="S250" s="141">
        <f t="shared" si="248"/>
        <v>70445</v>
      </c>
      <c r="T250" s="140">
        <f t="shared" si="248"/>
        <v>117195</v>
      </c>
      <c r="U250" s="140">
        <f t="shared" si="248"/>
        <v>136528.33333333331</v>
      </c>
      <c r="V250" s="140">
        <f t="shared" si="248"/>
        <v>155861.66666666663</v>
      </c>
      <c r="W250" s="140">
        <f t="shared" si="248"/>
        <v>175194.99999999997</v>
      </c>
      <c r="X250" s="140">
        <f t="shared" si="248"/>
        <v>194528.33333333328</v>
      </c>
      <c r="Y250" s="140">
        <f t="shared" si="248"/>
        <v>213861.6666666666</v>
      </c>
      <c r="Z250" s="140">
        <f t="shared" si="248"/>
        <v>233194.99999999994</v>
      </c>
      <c r="AA250" s="140">
        <f t="shared" si="248"/>
        <v>252528.33333333326</v>
      </c>
      <c r="AB250" s="140">
        <f t="shared" si="248"/>
        <v>271861.66666666651</v>
      </c>
      <c r="AC250" s="140">
        <f t="shared" si="248"/>
        <v>291194.99999999988</v>
      </c>
      <c r="AD250" s="140">
        <f t="shared" si="248"/>
        <v>310528.33333333326</v>
      </c>
      <c r="AE250" s="141">
        <f t="shared" si="248"/>
        <v>329861.66666666663</v>
      </c>
      <c r="AF250" s="140">
        <f t="shared" si="248"/>
        <v>349195</v>
      </c>
      <c r="AG250" s="140">
        <f t="shared" si="248"/>
        <v>368528.33333333337</v>
      </c>
      <c r="AH250" s="140">
        <f t="shared" si="248"/>
        <v>387861.66666666674</v>
      </c>
      <c r="AI250" s="140">
        <f t="shared" si="248"/>
        <v>407195.00000000006</v>
      </c>
      <c r="AJ250" s="140">
        <f t="shared" si="248"/>
        <v>426528.33333333343</v>
      </c>
      <c r="AK250" s="140">
        <f t="shared" si="248"/>
        <v>445861.6666666668</v>
      </c>
      <c r="AL250" s="140">
        <f t="shared" si="248"/>
        <v>465195.00000000012</v>
      </c>
      <c r="AM250" s="140">
        <f t="shared" si="248"/>
        <v>484528.33333333349</v>
      </c>
      <c r="AN250" s="140">
        <f t="shared" si="248"/>
        <v>503861.66666666686</v>
      </c>
      <c r="AO250" s="140">
        <f t="shared" si="248"/>
        <v>523195.00000000023</v>
      </c>
      <c r="AP250" s="140">
        <f t="shared" si="248"/>
        <v>542528.33333333349</v>
      </c>
      <c r="AQ250" s="29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29"/>
      <c r="BD250" s="29"/>
      <c r="BE250" s="46"/>
      <c r="BF250" s="46"/>
      <c r="BG250" s="46"/>
      <c r="BH250" s="29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</row>
    <row r="251" spans="1:79" ht="14.25" customHeight="1" outlineLevel="1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29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29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29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29"/>
      <c r="BD251" s="29"/>
      <c r="BE251" s="46"/>
      <c r="BF251" s="46"/>
      <c r="BG251" s="46"/>
      <c r="BH251" s="29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</row>
    <row r="252" spans="1:79" ht="14.25" customHeight="1" outlineLevel="1" x14ac:dyDescent="0.25">
      <c r="A252" s="46"/>
      <c r="B252" s="9" t="s">
        <v>267</v>
      </c>
      <c r="C252" s="46"/>
      <c r="D252" s="46"/>
      <c r="E252" s="46"/>
      <c r="F252" s="139" t="s">
        <v>268</v>
      </c>
      <c r="G252" s="140">
        <f t="shared" ref="G252:AP252" si="249">SUM(G253:G254)</f>
        <v>31378</v>
      </c>
      <c r="H252" s="140">
        <f t="shared" si="249"/>
        <v>38090</v>
      </c>
      <c r="I252" s="140">
        <f t="shared" si="249"/>
        <v>57400</v>
      </c>
      <c r="J252" s="140">
        <f t="shared" si="249"/>
        <v>63200</v>
      </c>
      <c r="K252" s="140">
        <f t="shared" si="249"/>
        <v>69600</v>
      </c>
      <c r="L252" s="140">
        <f t="shared" si="249"/>
        <v>78800</v>
      </c>
      <c r="M252" s="140">
        <f t="shared" si="249"/>
        <v>94940</v>
      </c>
      <c r="N252" s="140">
        <f t="shared" si="249"/>
        <v>81780</v>
      </c>
      <c r="O252" s="140">
        <f t="shared" si="249"/>
        <v>84835</v>
      </c>
      <c r="P252" s="140">
        <f t="shared" si="249"/>
        <v>91885</v>
      </c>
      <c r="Q252" s="140">
        <f t="shared" si="249"/>
        <v>150635</v>
      </c>
      <c r="R252" s="140">
        <f t="shared" si="249"/>
        <v>209384.99999999997</v>
      </c>
      <c r="S252" s="141">
        <f t="shared" si="249"/>
        <v>240718.33333333326</v>
      </c>
      <c r="T252" s="140">
        <f t="shared" si="249"/>
        <v>272051.66666666657</v>
      </c>
      <c r="U252" s="140">
        <f t="shared" si="249"/>
        <v>303384.99999999988</v>
      </c>
      <c r="V252" s="140">
        <f t="shared" si="249"/>
        <v>334718.3333333332</v>
      </c>
      <c r="W252" s="140">
        <f t="shared" si="249"/>
        <v>366051.66666666651</v>
      </c>
      <c r="X252" s="140">
        <f t="shared" si="249"/>
        <v>397384.99999999983</v>
      </c>
      <c r="Y252" s="140">
        <f t="shared" si="249"/>
        <v>428718.33333333314</v>
      </c>
      <c r="Z252" s="140">
        <f t="shared" si="249"/>
        <v>460051.66666666645</v>
      </c>
      <c r="AA252" s="140">
        <f t="shared" si="249"/>
        <v>491384.99999999983</v>
      </c>
      <c r="AB252" s="140">
        <f t="shared" si="249"/>
        <v>522718.3333333332</v>
      </c>
      <c r="AC252" s="140">
        <f t="shared" si="249"/>
        <v>554051.66666666651</v>
      </c>
      <c r="AD252" s="140">
        <f t="shared" si="249"/>
        <v>585384.99999999988</v>
      </c>
      <c r="AE252" s="141">
        <f t="shared" si="249"/>
        <v>616718.33333333326</v>
      </c>
      <c r="AF252" s="140">
        <f t="shared" si="249"/>
        <v>648051.66666666663</v>
      </c>
      <c r="AG252" s="140">
        <f t="shared" si="249"/>
        <v>679385</v>
      </c>
      <c r="AH252" s="140">
        <f t="shared" si="249"/>
        <v>710718.33333333337</v>
      </c>
      <c r="AI252" s="140">
        <f t="shared" si="249"/>
        <v>742051.66666666674</v>
      </c>
      <c r="AJ252" s="140">
        <f t="shared" si="249"/>
        <v>773385.00000000012</v>
      </c>
      <c r="AK252" s="140">
        <f t="shared" si="249"/>
        <v>804718.33333333349</v>
      </c>
      <c r="AL252" s="140">
        <f t="shared" si="249"/>
        <v>836051.66666666686</v>
      </c>
      <c r="AM252" s="140">
        <f t="shared" si="249"/>
        <v>867385.00000000023</v>
      </c>
      <c r="AN252" s="140">
        <f t="shared" si="249"/>
        <v>898718.3333333336</v>
      </c>
      <c r="AO252" s="140">
        <f t="shared" si="249"/>
        <v>930051.66666666698</v>
      </c>
      <c r="AP252" s="140">
        <f t="shared" si="249"/>
        <v>961385.00000000035</v>
      </c>
      <c r="AQ252" s="29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29"/>
      <c r="BD252" s="29"/>
      <c r="BE252" s="46"/>
      <c r="BF252" s="46"/>
      <c r="BG252" s="46"/>
      <c r="BH252" s="29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</row>
    <row r="253" spans="1:79" ht="14.25" customHeight="1" outlineLevel="1" x14ac:dyDescent="0.25">
      <c r="A253" s="44"/>
      <c r="B253" s="44"/>
      <c r="C253" s="44"/>
      <c r="D253" s="44"/>
      <c r="E253" s="44"/>
      <c r="F253" s="182" t="s">
        <v>250</v>
      </c>
      <c r="G253" s="49">
        <v>31378</v>
      </c>
      <c r="H253" s="48">
        <v>38090</v>
      </c>
      <c r="I253" s="48">
        <v>57400</v>
      </c>
      <c r="J253" s="182">
        <v>63200</v>
      </c>
      <c r="K253" s="182">
        <v>69600</v>
      </c>
      <c r="L253" s="44">
        <v>78800</v>
      </c>
      <c r="M253" s="44">
        <f>M242</f>
        <v>94940</v>
      </c>
      <c r="N253" s="44">
        <f t="shared" ref="N253:AP253" si="250">M253+N261</f>
        <v>94282</v>
      </c>
      <c r="O253" s="44">
        <f t="shared" si="250"/>
        <v>94587.5</v>
      </c>
      <c r="P253" s="44">
        <f t="shared" si="250"/>
        <v>95645</v>
      </c>
      <c r="Q253" s="44">
        <f t="shared" si="250"/>
        <v>107395</v>
      </c>
      <c r="R253" s="44">
        <f t="shared" si="250"/>
        <v>122082.5</v>
      </c>
      <c r="S253" s="66">
        <f t="shared" si="250"/>
        <v>134615.83333333331</v>
      </c>
      <c r="T253" s="44">
        <f t="shared" si="250"/>
        <v>147149.16666666663</v>
      </c>
      <c r="U253" s="44">
        <f t="shared" si="250"/>
        <v>159682.49999999994</v>
      </c>
      <c r="V253" s="44">
        <f t="shared" si="250"/>
        <v>172215.83333333326</v>
      </c>
      <c r="W253" s="44">
        <f t="shared" si="250"/>
        <v>184749.16666666657</v>
      </c>
      <c r="X253" s="44">
        <f t="shared" si="250"/>
        <v>197282.49999999988</v>
      </c>
      <c r="Y253" s="44">
        <f t="shared" si="250"/>
        <v>209815.8333333332</v>
      </c>
      <c r="Z253" s="44">
        <f t="shared" si="250"/>
        <v>222349.16666666651</v>
      </c>
      <c r="AA253" s="44">
        <f t="shared" si="250"/>
        <v>234882.49999999985</v>
      </c>
      <c r="AB253" s="44">
        <f t="shared" si="250"/>
        <v>247415.8333333332</v>
      </c>
      <c r="AC253" s="44">
        <f t="shared" si="250"/>
        <v>259949.16666666654</v>
      </c>
      <c r="AD253" s="44">
        <f t="shared" si="250"/>
        <v>272482.49999999988</v>
      </c>
      <c r="AE253" s="66">
        <f t="shared" si="250"/>
        <v>285015.83333333326</v>
      </c>
      <c r="AF253" s="44">
        <f t="shared" si="250"/>
        <v>297549.16666666663</v>
      </c>
      <c r="AG253" s="44">
        <f t="shared" si="250"/>
        <v>310082.5</v>
      </c>
      <c r="AH253" s="44">
        <f t="shared" si="250"/>
        <v>322615.83333333337</v>
      </c>
      <c r="AI253" s="44">
        <f t="shared" si="250"/>
        <v>335149.16666666674</v>
      </c>
      <c r="AJ253" s="44">
        <f t="shared" si="250"/>
        <v>347682.50000000012</v>
      </c>
      <c r="AK253" s="44">
        <f t="shared" si="250"/>
        <v>360215.83333333349</v>
      </c>
      <c r="AL253" s="44">
        <f t="shared" si="250"/>
        <v>372749.16666666686</v>
      </c>
      <c r="AM253" s="44">
        <f t="shared" si="250"/>
        <v>385282.50000000023</v>
      </c>
      <c r="AN253" s="44">
        <f t="shared" si="250"/>
        <v>397815.8333333336</v>
      </c>
      <c r="AO253" s="44">
        <f t="shared" si="250"/>
        <v>410349.16666666698</v>
      </c>
      <c r="AP253" s="44">
        <f t="shared" si="250"/>
        <v>422882.50000000035</v>
      </c>
      <c r="AQ253" s="66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66"/>
      <c r="BD253" s="66"/>
      <c r="BE253" s="44"/>
      <c r="BF253" s="44"/>
      <c r="BG253" s="44"/>
      <c r="BH253" s="66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</row>
    <row r="254" spans="1:79" ht="14.25" customHeight="1" outlineLevel="1" x14ac:dyDescent="0.25">
      <c r="A254" s="44"/>
      <c r="B254" s="44"/>
      <c r="C254" s="44"/>
      <c r="D254" s="44"/>
      <c r="E254" s="44"/>
      <c r="F254" s="182" t="s">
        <v>252</v>
      </c>
      <c r="G254" s="182"/>
      <c r="H254" s="182"/>
      <c r="I254" s="182"/>
      <c r="J254" s="182"/>
      <c r="K254" s="182"/>
      <c r="L254" s="44"/>
      <c r="M254" s="44"/>
      <c r="N254" s="44">
        <f t="shared" ref="N254:AP254" si="251">M254+N262</f>
        <v>-12502</v>
      </c>
      <c r="O254" s="44">
        <f t="shared" si="251"/>
        <v>-9752.5</v>
      </c>
      <c r="P254" s="44">
        <f t="shared" si="251"/>
        <v>-3760.0000000000009</v>
      </c>
      <c r="Q254" s="44">
        <f t="shared" si="251"/>
        <v>43239.999999999993</v>
      </c>
      <c r="R254" s="44">
        <f t="shared" si="251"/>
        <v>87302.499999999971</v>
      </c>
      <c r="S254" s="66">
        <f t="shared" si="251"/>
        <v>106102.49999999996</v>
      </c>
      <c r="T254" s="44">
        <f t="shared" si="251"/>
        <v>124902.49999999994</v>
      </c>
      <c r="U254" s="44">
        <f t="shared" si="251"/>
        <v>143702.49999999994</v>
      </c>
      <c r="V254" s="44">
        <f t="shared" si="251"/>
        <v>162502.49999999994</v>
      </c>
      <c r="W254" s="44">
        <f t="shared" si="251"/>
        <v>181302.49999999994</v>
      </c>
      <c r="X254" s="44">
        <f t="shared" si="251"/>
        <v>200102.49999999994</v>
      </c>
      <c r="Y254" s="44">
        <f t="shared" si="251"/>
        <v>218902.49999999994</v>
      </c>
      <c r="Z254" s="44">
        <f t="shared" si="251"/>
        <v>237702.49999999994</v>
      </c>
      <c r="AA254" s="44">
        <f t="shared" si="251"/>
        <v>256502.49999999997</v>
      </c>
      <c r="AB254" s="44">
        <f t="shared" si="251"/>
        <v>275302.5</v>
      </c>
      <c r="AC254" s="44">
        <f t="shared" si="251"/>
        <v>294102.5</v>
      </c>
      <c r="AD254" s="44">
        <f t="shared" si="251"/>
        <v>312902.5</v>
      </c>
      <c r="AE254" s="66">
        <f t="shared" si="251"/>
        <v>331702.5</v>
      </c>
      <c r="AF254" s="44">
        <f t="shared" si="251"/>
        <v>350502.5</v>
      </c>
      <c r="AG254" s="44">
        <f t="shared" si="251"/>
        <v>369302.5</v>
      </c>
      <c r="AH254" s="44">
        <f t="shared" si="251"/>
        <v>388102.5</v>
      </c>
      <c r="AI254" s="44">
        <f t="shared" si="251"/>
        <v>406902.5</v>
      </c>
      <c r="AJ254" s="44">
        <f t="shared" si="251"/>
        <v>425702.5</v>
      </c>
      <c r="AK254" s="44">
        <f t="shared" si="251"/>
        <v>444502.5</v>
      </c>
      <c r="AL254" s="44">
        <f t="shared" si="251"/>
        <v>463302.5</v>
      </c>
      <c r="AM254" s="44">
        <f t="shared" si="251"/>
        <v>482102.5</v>
      </c>
      <c r="AN254" s="44">
        <f t="shared" si="251"/>
        <v>500902.5</v>
      </c>
      <c r="AO254" s="44">
        <f t="shared" si="251"/>
        <v>519702.5</v>
      </c>
      <c r="AP254" s="44">
        <f t="shared" si="251"/>
        <v>538502.5</v>
      </c>
      <c r="AQ254" s="66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66"/>
      <c r="BD254" s="66"/>
      <c r="BE254" s="44"/>
      <c r="BF254" s="44"/>
      <c r="BG254" s="44"/>
      <c r="BH254" s="66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</row>
    <row r="255" spans="1:79" ht="14.25" customHeight="1" outlineLevel="1" x14ac:dyDescent="0.25">
      <c r="A255" s="11"/>
      <c r="B255" s="11"/>
      <c r="C255" s="11"/>
      <c r="D255" s="170">
        <v>2025</v>
      </c>
      <c r="E255" s="11"/>
      <c r="F255" s="109"/>
      <c r="G255" s="109"/>
      <c r="H255" s="109"/>
      <c r="I255" s="109"/>
      <c r="J255" s="109"/>
      <c r="K255" s="109"/>
      <c r="L255" s="11"/>
      <c r="M255" s="11"/>
      <c r="N255" s="11"/>
      <c r="O255" s="11"/>
      <c r="P255" s="11"/>
      <c r="Q255" s="11"/>
      <c r="R255" s="11"/>
      <c r="S255" s="50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50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50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50"/>
      <c r="BD255" s="50"/>
      <c r="BE255" s="11"/>
      <c r="BF255" s="11"/>
      <c r="BG255" s="11"/>
      <c r="BH255" s="50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</row>
    <row r="256" spans="1:79" ht="14.25" customHeight="1" outlineLevel="1" x14ac:dyDescent="0.25">
      <c r="A256" s="22"/>
      <c r="B256" s="22"/>
      <c r="C256" s="22"/>
      <c r="D256" s="170" t="s">
        <v>253</v>
      </c>
      <c r="E256" s="170" t="s">
        <v>254</v>
      </c>
      <c r="F256" s="139" t="s">
        <v>269</v>
      </c>
      <c r="G256" s="82"/>
      <c r="H256" s="82"/>
      <c r="I256" s="82"/>
      <c r="J256" s="82"/>
      <c r="K256" s="82"/>
      <c r="L256" s="22"/>
      <c r="M256" s="116"/>
      <c r="N256" s="116"/>
      <c r="O256" s="116"/>
      <c r="P256" s="116"/>
      <c r="Q256" s="116"/>
      <c r="R256" s="116"/>
      <c r="S256" s="125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25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31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31"/>
      <c r="BD256" s="31"/>
      <c r="BE256" s="22"/>
      <c r="BF256" s="22"/>
      <c r="BG256" s="22"/>
      <c r="BH256" s="31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</row>
    <row r="257" spans="1:79" ht="14.25" customHeight="1" outlineLevel="1" x14ac:dyDescent="0.25">
      <c r="A257" s="43"/>
      <c r="B257" s="43"/>
      <c r="C257" s="43"/>
      <c r="D257" s="183">
        <v>0.05</v>
      </c>
      <c r="E257" s="183">
        <v>0.05</v>
      </c>
      <c r="F257" s="166" t="s">
        <v>250</v>
      </c>
      <c r="G257" s="167"/>
      <c r="H257" s="167"/>
      <c r="I257" s="184"/>
      <c r="J257" s="184"/>
      <c r="K257" s="184"/>
      <c r="L257" s="167"/>
      <c r="M257" s="167"/>
      <c r="N257" s="167">
        <f t="shared" ref="N257:N258" si="252">E257</f>
        <v>0.05</v>
      </c>
      <c r="O257" s="167">
        <f t="shared" ref="O257:R257" si="253">N257+$D257</f>
        <v>0.1</v>
      </c>
      <c r="P257" s="167">
        <f t="shared" si="253"/>
        <v>0.15000000000000002</v>
      </c>
      <c r="Q257" s="167">
        <f t="shared" si="253"/>
        <v>0.2</v>
      </c>
      <c r="R257" s="167">
        <f t="shared" si="253"/>
        <v>0.25</v>
      </c>
      <c r="S257" s="185">
        <v>0.4</v>
      </c>
      <c r="T257" s="167">
        <f t="shared" ref="T257:T258" si="254">S257</f>
        <v>0.4</v>
      </c>
      <c r="U257" s="167">
        <f>1-U258</f>
        <v>0.4</v>
      </c>
      <c r="V257" s="167">
        <f t="shared" ref="V257:AP257" si="255">U257</f>
        <v>0.4</v>
      </c>
      <c r="W257" s="167">
        <f t="shared" si="255"/>
        <v>0.4</v>
      </c>
      <c r="X257" s="167">
        <f t="shared" si="255"/>
        <v>0.4</v>
      </c>
      <c r="Y257" s="167">
        <f t="shared" si="255"/>
        <v>0.4</v>
      </c>
      <c r="Z257" s="167">
        <f t="shared" si="255"/>
        <v>0.4</v>
      </c>
      <c r="AA257" s="167">
        <f t="shared" si="255"/>
        <v>0.4</v>
      </c>
      <c r="AB257" s="167">
        <f t="shared" si="255"/>
        <v>0.4</v>
      </c>
      <c r="AC257" s="167">
        <f t="shared" si="255"/>
        <v>0.4</v>
      </c>
      <c r="AD257" s="167">
        <f t="shared" si="255"/>
        <v>0.4</v>
      </c>
      <c r="AE257" s="168">
        <f t="shared" si="255"/>
        <v>0.4</v>
      </c>
      <c r="AF257" s="167">
        <f t="shared" si="255"/>
        <v>0.4</v>
      </c>
      <c r="AG257" s="167">
        <f t="shared" si="255"/>
        <v>0.4</v>
      </c>
      <c r="AH257" s="167">
        <f t="shared" si="255"/>
        <v>0.4</v>
      </c>
      <c r="AI257" s="167">
        <f t="shared" si="255"/>
        <v>0.4</v>
      </c>
      <c r="AJ257" s="167">
        <f t="shared" si="255"/>
        <v>0.4</v>
      </c>
      <c r="AK257" s="167">
        <f t="shared" si="255"/>
        <v>0.4</v>
      </c>
      <c r="AL257" s="167">
        <f t="shared" si="255"/>
        <v>0.4</v>
      </c>
      <c r="AM257" s="167">
        <f t="shared" si="255"/>
        <v>0.4</v>
      </c>
      <c r="AN257" s="167">
        <f t="shared" si="255"/>
        <v>0.4</v>
      </c>
      <c r="AO257" s="167">
        <f t="shared" si="255"/>
        <v>0.4</v>
      </c>
      <c r="AP257" s="167">
        <f t="shared" si="255"/>
        <v>0.4</v>
      </c>
      <c r="AQ257" s="45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5"/>
      <c r="BD257" s="45"/>
      <c r="BE257" s="43"/>
      <c r="BF257" s="43"/>
      <c r="BG257" s="43"/>
      <c r="BH257" s="45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</row>
    <row r="258" spans="1:79" ht="14.25" customHeight="1" outlineLevel="1" x14ac:dyDescent="0.25">
      <c r="A258" s="43"/>
      <c r="B258" s="43"/>
      <c r="C258" s="43"/>
      <c r="D258" s="183">
        <f>D257</f>
        <v>0.05</v>
      </c>
      <c r="E258" s="183">
        <v>0.95</v>
      </c>
      <c r="F258" s="166" t="s">
        <v>252</v>
      </c>
      <c r="G258" s="167"/>
      <c r="H258" s="167"/>
      <c r="I258" s="184"/>
      <c r="J258" s="184"/>
      <c r="K258" s="184"/>
      <c r="L258" s="167"/>
      <c r="M258" s="167"/>
      <c r="N258" s="167">
        <f t="shared" si="252"/>
        <v>0.95</v>
      </c>
      <c r="O258" s="167">
        <f t="shared" ref="O258:R258" si="256">N258-$D258</f>
        <v>0.89999999999999991</v>
      </c>
      <c r="P258" s="167">
        <f t="shared" si="256"/>
        <v>0.84999999999999987</v>
      </c>
      <c r="Q258" s="167">
        <f t="shared" si="256"/>
        <v>0.79999999999999982</v>
      </c>
      <c r="R258" s="167">
        <f t="shared" si="256"/>
        <v>0.74999999999999978</v>
      </c>
      <c r="S258" s="185">
        <v>0.6</v>
      </c>
      <c r="T258" s="167">
        <f t="shared" si="254"/>
        <v>0.6</v>
      </c>
      <c r="U258" s="167">
        <v>0.6</v>
      </c>
      <c r="V258" s="167">
        <f t="shared" ref="V258:AP258" si="257">U258</f>
        <v>0.6</v>
      </c>
      <c r="W258" s="167">
        <f t="shared" si="257"/>
        <v>0.6</v>
      </c>
      <c r="X258" s="167">
        <f t="shared" si="257"/>
        <v>0.6</v>
      </c>
      <c r="Y258" s="167">
        <f t="shared" si="257"/>
        <v>0.6</v>
      </c>
      <c r="Z258" s="167">
        <f t="shared" si="257"/>
        <v>0.6</v>
      </c>
      <c r="AA258" s="167">
        <f t="shared" si="257"/>
        <v>0.6</v>
      </c>
      <c r="AB258" s="167">
        <f t="shared" si="257"/>
        <v>0.6</v>
      </c>
      <c r="AC258" s="167">
        <f t="shared" si="257"/>
        <v>0.6</v>
      </c>
      <c r="AD258" s="167">
        <f t="shared" si="257"/>
        <v>0.6</v>
      </c>
      <c r="AE258" s="168">
        <f t="shared" si="257"/>
        <v>0.6</v>
      </c>
      <c r="AF258" s="167">
        <f t="shared" si="257"/>
        <v>0.6</v>
      </c>
      <c r="AG258" s="167">
        <f t="shared" si="257"/>
        <v>0.6</v>
      </c>
      <c r="AH258" s="167">
        <f t="shared" si="257"/>
        <v>0.6</v>
      </c>
      <c r="AI258" s="167">
        <f t="shared" si="257"/>
        <v>0.6</v>
      </c>
      <c r="AJ258" s="167">
        <f t="shared" si="257"/>
        <v>0.6</v>
      </c>
      <c r="AK258" s="167">
        <f t="shared" si="257"/>
        <v>0.6</v>
      </c>
      <c r="AL258" s="167">
        <f t="shared" si="257"/>
        <v>0.6</v>
      </c>
      <c r="AM258" s="167">
        <f t="shared" si="257"/>
        <v>0.6</v>
      </c>
      <c r="AN258" s="167">
        <f t="shared" si="257"/>
        <v>0.6</v>
      </c>
      <c r="AO258" s="167">
        <f t="shared" si="257"/>
        <v>0.6</v>
      </c>
      <c r="AP258" s="167">
        <f t="shared" si="257"/>
        <v>0.6</v>
      </c>
      <c r="AQ258" s="45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5"/>
      <c r="BD258" s="45"/>
      <c r="BE258" s="43"/>
      <c r="BF258" s="43"/>
      <c r="BG258" s="43"/>
      <c r="BH258" s="45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</row>
    <row r="259" spans="1:79" ht="14.25" customHeight="1" outlineLevel="1" x14ac:dyDescent="0.25">
      <c r="A259" s="22"/>
      <c r="B259" s="22"/>
      <c r="C259" s="169"/>
      <c r="D259" s="131"/>
      <c r="E259" s="169"/>
      <c r="F259" s="82"/>
      <c r="G259" s="131"/>
      <c r="H259" s="131"/>
      <c r="I259" s="130"/>
      <c r="J259" s="130"/>
      <c r="K259" s="130"/>
      <c r="L259" s="131"/>
      <c r="M259" s="131"/>
      <c r="N259" s="131"/>
      <c r="O259" s="131"/>
      <c r="P259" s="131"/>
      <c r="Q259" s="131"/>
      <c r="R259" s="131"/>
      <c r="S259" s="132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2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31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31"/>
      <c r="BD259" s="31"/>
      <c r="BE259" s="22"/>
      <c r="BF259" s="22"/>
      <c r="BG259" s="22"/>
      <c r="BH259" s="31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</row>
    <row r="260" spans="1:79" ht="14.25" customHeight="1" outlineLevel="1" x14ac:dyDescent="0.25">
      <c r="A260" s="46"/>
      <c r="B260" s="46"/>
      <c r="C260" s="46"/>
      <c r="D260" s="46"/>
      <c r="E260" s="46"/>
      <c r="F260" s="139" t="s">
        <v>270</v>
      </c>
      <c r="G260" s="139"/>
      <c r="H260" s="139"/>
      <c r="I260" s="139"/>
      <c r="J260" s="139"/>
      <c r="K260" s="139"/>
      <c r="L260" s="46"/>
      <c r="M260" s="140"/>
      <c r="N260" s="140">
        <f t="shared" ref="N260:AP260" si="258">N242-M242</f>
        <v>-13160</v>
      </c>
      <c r="O260" s="140">
        <f t="shared" si="258"/>
        <v>3055</v>
      </c>
      <c r="P260" s="140">
        <f t="shared" si="258"/>
        <v>7050</v>
      </c>
      <c r="Q260" s="140">
        <f t="shared" si="258"/>
        <v>58750</v>
      </c>
      <c r="R260" s="140">
        <f t="shared" si="258"/>
        <v>58750</v>
      </c>
      <c r="S260" s="141">
        <f t="shared" si="258"/>
        <v>31333.333333333314</v>
      </c>
      <c r="T260" s="140">
        <f t="shared" si="258"/>
        <v>31333.333333333314</v>
      </c>
      <c r="U260" s="140">
        <f t="shared" si="258"/>
        <v>31333.333333333314</v>
      </c>
      <c r="V260" s="140">
        <f t="shared" si="258"/>
        <v>31333.333333333314</v>
      </c>
      <c r="W260" s="140">
        <f t="shared" si="258"/>
        <v>31333.333333333314</v>
      </c>
      <c r="X260" s="140">
        <f t="shared" si="258"/>
        <v>31333.333333333314</v>
      </c>
      <c r="Y260" s="140">
        <f t="shared" si="258"/>
        <v>31333.333333333314</v>
      </c>
      <c r="Z260" s="140">
        <f t="shared" si="258"/>
        <v>31333.333333333314</v>
      </c>
      <c r="AA260" s="140">
        <f t="shared" si="258"/>
        <v>31333.333333333372</v>
      </c>
      <c r="AB260" s="140">
        <f t="shared" si="258"/>
        <v>31333.333333333372</v>
      </c>
      <c r="AC260" s="140">
        <f t="shared" si="258"/>
        <v>31333.333333333372</v>
      </c>
      <c r="AD260" s="140">
        <f t="shared" si="258"/>
        <v>31333.333333333372</v>
      </c>
      <c r="AE260" s="141">
        <f t="shared" si="258"/>
        <v>31333.333333333372</v>
      </c>
      <c r="AF260" s="140">
        <f t="shared" si="258"/>
        <v>31333.333333333372</v>
      </c>
      <c r="AG260" s="140">
        <f t="shared" si="258"/>
        <v>31333.333333333372</v>
      </c>
      <c r="AH260" s="140">
        <f t="shared" si="258"/>
        <v>31333.333333333372</v>
      </c>
      <c r="AI260" s="140">
        <f t="shared" si="258"/>
        <v>31333.333333333372</v>
      </c>
      <c r="AJ260" s="140">
        <f t="shared" si="258"/>
        <v>31333.333333333372</v>
      </c>
      <c r="AK260" s="140">
        <f t="shared" si="258"/>
        <v>31333.333333333372</v>
      </c>
      <c r="AL260" s="140">
        <f t="shared" si="258"/>
        <v>31333.333333333372</v>
      </c>
      <c r="AM260" s="140">
        <f t="shared" si="258"/>
        <v>31333.333333333372</v>
      </c>
      <c r="AN260" s="140">
        <f t="shared" si="258"/>
        <v>31333.333333333372</v>
      </c>
      <c r="AO260" s="140">
        <f t="shared" si="258"/>
        <v>31333.333333333372</v>
      </c>
      <c r="AP260" s="140">
        <f t="shared" si="258"/>
        <v>31333.333333333372</v>
      </c>
      <c r="AQ260" s="29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29"/>
      <c r="BD260" s="29"/>
      <c r="BE260" s="46"/>
      <c r="BF260" s="46"/>
      <c r="BG260" s="46"/>
      <c r="BH260" s="29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</row>
    <row r="261" spans="1:79" ht="14.25" customHeight="1" outlineLevel="1" x14ac:dyDescent="0.25">
      <c r="A261" s="44"/>
      <c r="B261" s="44"/>
      <c r="C261" s="44"/>
      <c r="D261" s="44"/>
      <c r="E261" s="44"/>
      <c r="F261" s="166" t="s">
        <v>250</v>
      </c>
      <c r="G261" s="182"/>
      <c r="H261" s="182"/>
      <c r="I261" s="182"/>
      <c r="J261" s="182"/>
      <c r="K261" s="182"/>
      <c r="L261" s="44"/>
      <c r="M261" s="44"/>
      <c r="N261" s="44">
        <f t="shared" ref="N261:AP261" si="259">N257*N$260</f>
        <v>-658</v>
      </c>
      <c r="O261" s="44">
        <f t="shared" si="259"/>
        <v>305.5</v>
      </c>
      <c r="P261" s="44">
        <f t="shared" si="259"/>
        <v>1057.5000000000002</v>
      </c>
      <c r="Q261" s="44">
        <f t="shared" si="259"/>
        <v>11750</v>
      </c>
      <c r="R261" s="44">
        <f t="shared" si="259"/>
        <v>14687.5</v>
      </c>
      <c r="S261" s="66">
        <f t="shared" si="259"/>
        <v>12533.333333333327</v>
      </c>
      <c r="T261" s="44">
        <f t="shared" si="259"/>
        <v>12533.333333333327</v>
      </c>
      <c r="U261" s="44">
        <f t="shared" si="259"/>
        <v>12533.333333333327</v>
      </c>
      <c r="V261" s="44">
        <f t="shared" si="259"/>
        <v>12533.333333333327</v>
      </c>
      <c r="W261" s="44">
        <f t="shared" si="259"/>
        <v>12533.333333333327</v>
      </c>
      <c r="X261" s="44">
        <f t="shared" si="259"/>
        <v>12533.333333333327</v>
      </c>
      <c r="Y261" s="44">
        <f t="shared" si="259"/>
        <v>12533.333333333327</v>
      </c>
      <c r="Z261" s="44">
        <f t="shared" si="259"/>
        <v>12533.333333333327</v>
      </c>
      <c r="AA261" s="44">
        <f t="shared" si="259"/>
        <v>12533.33333333335</v>
      </c>
      <c r="AB261" s="44">
        <f t="shared" si="259"/>
        <v>12533.33333333335</v>
      </c>
      <c r="AC261" s="44">
        <f t="shared" si="259"/>
        <v>12533.33333333335</v>
      </c>
      <c r="AD261" s="44">
        <f t="shared" si="259"/>
        <v>12533.33333333335</v>
      </c>
      <c r="AE261" s="66">
        <f t="shared" si="259"/>
        <v>12533.33333333335</v>
      </c>
      <c r="AF261" s="44">
        <f t="shared" si="259"/>
        <v>12533.33333333335</v>
      </c>
      <c r="AG261" s="44">
        <f t="shared" si="259"/>
        <v>12533.33333333335</v>
      </c>
      <c r="AH261" s="44">
        <f t="shared" si="259"/>
        <v>12533.33333333335</v>
      </c>
      <c r="AI261" s="44">
        <f t="shared" si="259"/>
        <v>12533.33333333335</v>
      </c>
      <c r="AJ261" s="44">
        <f t="shared" si="259"/>
        <v>12533.33333333335</v>
      </c>
      <c r="AK261" s="44">
        <f t="shared" si="259"/>
        <v>12533.33333333335</v>
      </c>
      <c r="AL261" s="44">
        <f t="shared" si="259"/>
        <v>12533.33333333335</v>
      </c>
      <c r="AM261" s="44">
        <f t="shared" si="259"/>
        <v>12533.33333333335</v>
      </c>
      <c r="AN261" s="44">
        <f t="shared" si="259"/>
        <v>12533.33333333335</v>
      </c>
      <c r="AO261" s="44">
        <f t="shared" si="259"/>
        <v>12533.33333333335</v>
      </c>
      <c r="AP261" s="44">
        <f t="shared" si="259"/>
        <v>12533.33333333335</v>
      </c>
      <c r="AQ261" s="66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66"/>
      <c r="BD261" s="66"/>
      <c r="BE261" s="44"/>
      <c r="BF261" s="44"/>
      <c r="BG261" s="44"/>
      <c r="BH261" s="66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</row>
    <row r="262" spans="1:79" ht="14.25" customHeight="1" outlineLevel="1" x14ac:dyDescent="0.25">
      <c r="A262" s="44"/>
      <c r="B262" s="44"/>
      <c r="C262" s="44"/>
      <c r="D262" s="44"/>
      <c r="E262" s="44"/>
      <c r="F262" s="166" t="s">
        <v>252</v>
      </c>
      <c r="G262" s="182"/>
      <c r="H262" s="182"/>
      <c r="I262" s="182"/>
      <c r="J262" s="182"/>
      <c r="K262" s="182"/>
      <c r="L262" s="44"/>
      <c r="M262" s="44"/>
      <c r="N262" s="44">
        <f t="shared" ref="N262:AP262" si="260">N258*N$260</f>
        <v>-12502</v>
      </c>
      <c r="O262" s="44">
        <f t="shared" si="260"/>
        <v>2749.4999999999995</v>
      </c>
      <c r="P262" s="44">
        <f t="shared" si="260"/>
        <v>5992.4999999999991</v>
      </c>
      <c r="Q262" s="44">
        <f t="shared" si="260"/>
        <v>46999.999999999993</v>
      </c>
      <c r="R262" s="44">
        <f t="shared" si="260"/>
        <v>44062.499999999985</v>
      </c>
      <c r="S262" s="66">
        <f t="shared" si="260"/>
        <v>18799.999999999989</v>
      </c>
      <c r="T262" s="44">
        <f t="shared" si="260"/>
        <v>18799.999999999989</v>
      </c>
      <c r="U262" s="44">
        <f t="shared" si="260"/>
        <v>18799.999999999989</v>
      </c>
      <c r="V262" s="44">
        <f t="shared" si="260"/>
        <v>18799.999999999989</v>
      </c>
      <c r="W262" s="44">
        <f t="shared" si="260"/>
        <v>18799.999999999989</v>
      </c>
      <c r="X262" s="44">
        <f t="shared" si="260"/>
        <v>18799.999999999989</v>
      </c>
      <c r="Y262" s="44">
        <f t="shared" si="260"/>
        <v>18799.999999999989</v>
      </c>
      <c r="Z262" s="44">
        <f t="shared" si="260"/>
        <v>18799.999999999989</v>
      </c>
      <c r="AA262" s="44">
        <f t="shared" si="260"/>
        <v>18800.000000000022</v>
      </c>
      <c r="AB262" s="44">
        <f t="shared" si="260"/>
        <v>18800.000000000022</v>
      </c>
      <c r="AC262" s="44">
        <f t="shared" si="260"/>
        <v>18800.000000000022</v>
      </c>
      <c r="AD262" s="44">
        <f t="shared" si="260"/>
        <v>18800.000000000022</v>
      </c>
      <c r="AE262" s="66">
        <f t="shared" si="260"/>
        <v>18800.000000000022</v>
      </c>
      <c r="AF262" s="44">
        <f t="shared" si="260"/>
        <v>18800.000000000022</v>
      </c>
      <c r="AG262" s="44">
        <f t="shared" si="260"/>
        <v>18800.000000000022</v>
      </c>
      <c r="AH262" s="44">
        <f t="shared" si="260"/>
        <v>18800.000000000022</v>
      </c>
      <c r="AI262" s="44">
        <f t="shared" si="260"/>
        <v>18800.000000000022</v>
      </c>
      <c r="AJ262" s="44">
        <f t="shared" si="260"/>
        <v>18800.000000000022</v>
      </c>
      <c r="AK262" s="44">
        <f t="shared" si="260"/>
        <v>18800.000000000022</v>
      </c>
      <c r="AL262" s="44">
        <f t="shared" si="260"/>
        <v>18800.000000000022</v>
      </c>
      <c r="AM262" s="44">
        <f t="shared" si="260"/>
        <v>18800.000000000022</v>
      </c>
      <c r="AN262" s="44">
        <f t="shared" si="260"/>
        <v>18800.000000000022</v>
      </c>
      <c r="AO262" s="44">
        <f t="shared" si="260"/>
        <v>18800.000000000022</v>
      </c>
      <c r="AP262" s="44">
        <f t="shared" si="260"/>
        <v>18800.000000000022</v>
      </c>
      <c r="AQ262" s="66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66"/>
      <c r="BD262" s="66"/>
      <c r="BE262" s="44"/>
      <c r="BF262" s="44"/>
      <c r="BG262" s="44"/>
      <c r="BH262" s="66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</row>
    <row r="263" spans="1:79" ht="14.25" customHeight="1" outlineLevel="1" x14ac:dyDescent="0.25">
      <c r="A263" s="142"/>
      <c r="B263" s="142"/>
      <c r="C263" s="142"/>
      <c r="D263" s="142"/>
      <c r="E263" s="142"/>
      <c r="F263" s="143"/>
      <c r="G263" s="143"/>
      <c r="H263" s="143"/>
      <c r="I263" s="143"/>
      <c r="J263" s="143"/>
      <c r="K263" s="143"/>
      <c r="L263" s="142"/>
      <c r="M263" s="142"/>
      <c r="N263" s="142"/>
      <c r="O263" s="142"/>
      <c r="P263" s="142"/>
      <c r="Q263" s="142"/>
      <c r="R263" s="142"/>
      <c r="S263" s="146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6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6"/>
      <c r="AR263" s="142"/>
      <c r="AS263" s="142"/>
      <c r="AT263" s="142"/>
      <c r="AU263" s="142"/>
      <c r="AV263" s="142"/>
      <c r="AW263" s="142"/>
      <c r="AX263" s="142"/>
      <c r="AY263" s="142"/>
      <c r="AZ263" s="142"/>
      <c r="BA263" s="142"/>
      <c r="BB263" s="142"/>
      <c r="BC263" s="146"/>
      <c r="BD263" s="146"/>
      <c r="BE263" s="142"/>
      <c r="BF263" s="142"/>
      <c r="BG263" s="142"/>
      <c r="BH263" s="146"/>
      <c r="BI263" s="142"/>
      <c r="BJ263" s="142"/>
      <c r="BK263" s="142"/>
      <c r="BL263" s="142"/>
      <c r="BM263" s="142"/>
      <c r="BN263" s="142"/>
      <c r="BO263" s="142"/>
      <c r="BP263" s="142"/>
      <c r="BQ263" s="142"/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</row>
    <row r="264" spans="1:79" ht="14.25" customHeight="1" outlineLevel="1" x14ac:dyDescent="0.25">
      <c r="A264" s="22"/>
      <c r="B264" s="22"/>
      <c r="C264" s="22"/>
      <c r="D264" s="22"/>
      <c r="E264" s="22"/>
      <c r="F264" s="139" t="s">
        <v>241</v>
      </c>
      <c r="G264" s="82"/>
      <c r="H264" s="82"/>
      <c r="I264" s="82"/>
      <c r="J264" s="82"/>
      <c r="K264" s="82"/>
      <c r="L264" s="22"/>
      <c r="M264" s="22"/>
      <c r="N264" s="22"/>
      <c r="O264" s="22"/>
      <c r="P264" s="22"/>
      <c r="Q264" s="22"/>
      <c r="R264" s="22"/>
      <c r="S264" s="31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31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31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31"/>
      <c r="BD264" s="31"/>
      <c r="BE264" s="22"/>
      <c r="BF264" s="22"/>
      <c r="BG264" s="22"/>
      <c r="BH264" s="31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</row>
    <row r="265" spans="1:79" ht="14.25" customHeight="1" outlineLevel="1" x14ac:dyDescent="0.25">
      <c r="A265" s="22"/>
      <c r="B265" s="22"/>
      <c r="C265" s="22"/>
      <c r="D265" s="22"/>
      <c r="E265" s="22"/>
      <c r="F265" s="82" t="s">
        <v>242</v>
      </c>
      <c r="G265" s="82"/>
      <c r="H265" s="82"/>
      <c r="I265" s="82"/>
      <c r="J265" s="116">
        <f t="shared" ref="J265:L265" si="261">J252</f>
        <v>63200</v>
      </c>
      <c r="K265" s="116">
        <f t="shared" si="261"/>
        <v>69600</v>
      </c>
      <c r="L265" s="116">
        <f t="shared" si="261"/>
        <v>78800</v>
      </c>
      <c r="M265" s="116">
        <f t="shared" ref="M265:AP265" si="262">M242</f>
        <v>94940</v>
      </c>
      <c r="N265" s="116">
        <f t="shared" si="262"/>
        <v>81780</v>
      </c>
      <c r="O265" s="116">
        <f t="shared" si="262"/>
        <v>84835</v>
      </c>
      <c r="P265" s="116">
        <f t="shared" si="262"/>
        <v>91885</v>
      </c>
      <c r="Q265" s="116">
        <f t="shared" si="262"/>
        <v>150635</v>
      </c>
      <c r="R265" s="116">
        <f t="shared" si="262"/>
        <v>209385</v>
      </c>
      <c r="S265" s="125">
        <f t="shared" si="262"/>
        <v>240718.33333333331</v>
      </c>
      <c r="T265" s="116">
        <f t="shared" si="262"/>
        <v>272051.66666666663</v>
      </c>
      <c r="U265" s="116">
        <f t="shared" si="262"/>
        <v>303384.99999999994</v>
      </c>
      <c r="V265" s="116">
        <f t="shared" si="262"/>
        <v>334718.33333333326</v>
      </c>
      <c r="W265" s="116">
        <f t="shared" si="262"/>
        <v>366051.66666666657</v>
      </c>
      <c r="X265" s="116">
        <f t="shared" si="262"/>
        <v>397384.99999999988</v>
      </c>
      <c r="Y265" s="116">
        <f t="shared" si="262"/>
        <v>428718.3333333332</v>
      </c>
      <c r="Z265" s="116">
        <f t="shared" si="262"/>
        <v>460051.66666666651</v>
      </c>
      <c r="AA265" s="116">
        <f t="shared" si="262"/>
        <v>491384.99999999988</v>
      </c>
      <c r="AB265" s="116">
        <f t="shared" si="262"/>
        <v>522718.33333333326</v>
      </c>
      <c r="AC265" s="116">
        <f t="shared" si="262"/>
        <v>554051.66666666663</v>
      </c>
      <c r="AD265" s="116">
        <f t="shared" si="262"/>
        <v>585385</v>
      </c>
      <c r="AE265" s="125">
        <f t="shared" si="262"/>
        <v>616718.33333333337</v>
      </c>
      <c r="AF265" s="116">
        <f t="shared" si="262"/>
        <v>648051.66666666674</v>
      </c>
      <c r="AG265" s="116">
        <f t="shared" si="262"/>
        <v>679385.00000000012</v>
      </c>
      <c r="AH265" s="116">
        <f t="shared" si="262"/>
        <v>710718.33333333349</v>
      </c>
      <c r="AI265" s="116">
        <f t="shared" si="262"/>
        <v>742051.66666666686</v>
      </c>
      <c r="AJ265" s="116">
        <f t="shared" si="262"/>
        <v>773385.00000000023</v>
      </c>
      <c r="AK265" s="116">
        <f t="shared" si="262"/>
        <v>804718.3333333336</v>
      </c>
      <c r="AL265" s="116">
        <f t="shared" si="262"/>
        <v>836051.66666666698</v>
      </c>
      <c r="AM265" s="116">
        <f t="shared" si="262"/>
        <v>867385.00000000035</v>
      </c>
      <c r="AN265" s="116">
        <f t="shared" si="262"/>
        <v>898718.33333333372</v>
      </c>
      <c r="AO265" s="116">
        <f t="shared" si="262"/>
        <v>930051.66666666709</v>
      </c>
      <c r="AP265" s="116">
        <f t="shared" si="262"/>
        <v>961385.00000000047</v>
      </c>
      <c r="AQ265" s="31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31"/>
      <c r="BD265" s="31"/>
      <c r="BE265" s="22"/>
      <c r="BF265" s="22"/>
      <c r="BG265" s="22"/>
      <c r="BH265" s="31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</row>
    <row r="266" spans="1:79" ht="14.25" customHeight="1" outlineLevel="1" x14ac:dyDescent="0.25">
      <c r="A266" s="22"/>
      <c r="B266" s="22"/>
      <c r="C266" s="22"/>
      <c r="D266" s="22"/>
      <c r="E266" s="22"/>
      <c r="F266" s="82" t="s">
        <v>243</v>
      </c>
      <c r="G266" s="82"/>
      <c r="H266" s="82"/>
      <c r="I266" s="82"/>
      <c r="J266" s="116">
        <f t="shared" ref="J266:AP266" si="263">J243</f>
        <v>30935</v>
      </c>
      <c r="K266" s="116">
        <f t="shared" si="263"/>
        <v>34059.574468085106</v>
      </c>
      <c r="L266" s="116">
        <f t="shared" si="263"/>
        <v>45310</v>
      </c>
      <c r="M266" s="116">
        <f t="shared" si="263"/>
        <v>46460</v>
      </c>
      <c r="N266" s="116">
        <f t="shared" si="263"/>
        <v>31320</v>
      </c>
      <c r="O266" s="116">
        <f t="shared" si="263"/>
        <v>32490</v>
      </c>
      <c r="P266" s="116">
        <f t="shared" si="263"/>
        <v>35190</v>
      </c>
      <c r="Q266" s="116">
        <f t="shared" si="263"/>
        <v>57690</v>
      </c>
      <c r="R266" s="116">
        <f t="shared" si="263"/>
        <v>80190</v>
      </c>
      <c r="S266" s="125">
        <f t="shared" si="263"/>
        <v>92190</v>
      </c>
      <c r="T266" s="116">
        <f t="shared" si="263"/>
        <v>104189.99999999999</v>
      </c>
      <c r="U266" s="116">
        <f t="shared" si="263"/>
        <v>116189.99999999999</v>
      </c>
      <c r="V266" s="116">
        <f t="shared" si="263"/>
        <v>128189.99999999997</v>
      </c>
      <c r="W266" s="116">
        <f t="shared" si="263"/>
        <v>140189.99999999997</v>
      </c>
      <c r="X266" s="116">
        <f t="shared" si="263"/>
        <v>152189.99999999997</v>
      </c>
      <c r="Y266" s="116">
        <f t="shared" si="263"/>
        <v>164189.99999999994</v>
      </c>
      <c r="Z266" s="116">
        <f t="shared" si="263"/>
        <v>176189.99999999994</v>
      </c>
      <c r="AA266" s="116">
        <f t="shared" si="263"/>
        <v>188189.99999999997</v>
      </c>
      <c r="AB266" s="116">
        <f t="shared" si="263"/>
        <v>200189.99999999997</v>
      </c>
      <c r="AC266" s="116">
        <f t="shared" si="263"/>
        <v>212190</v>
      </c>
      <c r="AD266" s="116">
        <f t="shared" si="263"/>
        <v>224190</v>
      </c>
      <c r="AE266" s="125">
        <f t="shared" si="263"/>
        <v>236190</v>
      </c>
      <c r="AF266" s="116">
        <f t="shared" si="263"/>
        <v>248190.00000000003</v>
      </c>
      <c r="AG266" s="116">
        <f t="shared" si="263"/>
        <v>260190.00000000003</v>
      </c>
      <c r="AH266" s="116">
        <f t="shared" si="263"/>
        <v>272190.00000000006</v>
      </c>
      <c r="AI266" s="116">
        <f t="shared" si="263"/>
        <v>284190.00000000006</v>
      </c>
      <c r="AJ266" s="116">
        <f t="shared" si="263"/>
        <v>296190.00000000006</v>
      </c>
      <c r="AK266" s="116">
        <f t="shared" si="263"/>
        <v>308190.00000000012</v>
      </c>
      <c r="AL266" s="116">
        <f t="shared" si="263"/>
        <v>320190.00000000012</v>
      </c>
      <c r="AM266" s="116">
        <f t="shared" si="263"/>
        <v>332190.00000000012</v>
      </c>
      <c r="AN266" s="116">
        <f t="shared" si="263"/>
        <v>344190.00000000012</v>
      </c>
      <c r="AO266" s="116">
        <f t="shared" si="263"/>
        <v>356190.00000000017</v>
      </c>
      <c r="AP266" s="116">
        <f t="shared" si="263"/>
        <v>368190.00000000017</v>
      </c>
      <c r="AQ266" s="31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31"/>
      <c r="BD266" s="31"/>
      <c r="BE266" s="22"/>
      <c r="BF266" s="22"/>
      <c r="BG266" s="22"/>
      <c r="BH266" s="31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</row>
    <row r="267" spans="1:79" ht="14.25" customHeight="1" outlineLevel="1" x14ac:dyDescent="0.25">
      <c r="A267" s="142"/>
      <c r="B267" s="142"/>
      <c r="C267" s="142"/>
      <c r="D267" s="142"/>
      <c r="E267" s="142"/>
      <c r="F267" s="143"/>
      <c r="G267" s="143"/>
      <c r="H267" s="143"/>
      <c r="I267" s="143"/>
      <c r="J267" s="144"/>
      <c r="K267" s="143"/>
      <c r="L267" s="142"/>
      <c r="M267" s="144"/>
      <c r="N267" s="144"/>
      <c r="O267" s="144"/>
      <c r="P267" s="144"/>
      <c r="Q267" s="144"/>
      <c r="R267" s="144"/>
      <c r="S267" s="145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5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6"/>
      <c r="AR267" s="142"/>
      <c r="AS267" s="142"/>
      <c r="AT267" s="142"/>
      <c r="AU267" s="142"/>
      <c r="AV267" s="142"/>
      <c r="AW267" s="142"/>
      <c r="AX267" s="142"/>
      <c r="AY267" s="142"/>
      <c r="AZ267" s="142"/>
      <c r="BA267" s="142"/>
      <c r="BB267" s="142"/>
      <c r="BC267" s="146"/>
      <c r="BD267" s="146"/>
      <c r="BE267" s="142"/>
      <c r="BF267" s="142"/>
      <c r="BG267" s="142"/>
      <c r="BH267" s="146"/>
      <c r="BI267" s="142"/>
      <c r="BJ267" s="142"/>
      <c r="BK267" s="142"/>
      <c r="BL267" s="142"/>
      <c r="BM267" s="142"/>
      <c r="BN267" s="142"/>
      <c r="BO267" s="142"/>
      <c r="BP267" s="142"/>
      <c r="BQ267" s="142"/>
      <c r="BR267" s="142"/>
      <c r="BS267" s="142"/>
      <c r="BT267" s="142"/>
      <c r="BU267" s="142"/>
      <c r="BV267" s="142"/>
      <c r="BW267" s="142"/>
      <c r="BX267" s="142"/>
      <c r="BY267" s="142"/>
      <c r="BZ267" s="142"/>
      <c r="CA267" s="142"/>
    </row>
    <row r="268" spans="1:79" ht="14.25" customHeight="1" outlineLevel="1" x14ac:dyDescent="0.25">
      <c r="A268" s="142"/>
      <c r="B268" s="142"/>
      <c r="C268" s="142"/>
      <c r="D268" s="142"/>
      <c r="E268" s="142"/>
      <c r="F268" s="148" t="s">
        <v>271</v>
      </c>
      <c r="G268" s="143"/>
      <c r="H268" s="143"/>
      <c r="I268" s="143"/>
      <c r="J268" s="144"/>
      <c r="K268" s="143"/>
      <c r="L268" s="142"/>
      <c r="M268" s="144"/>
      <c r="N268" s="144"/>
      <c r="O268" s="144"/>
      <c r="P268" s="144"/>
      <c r="Q268" s="144"/>
      <c r="R268" s="144"/>
      <c r="S268" s="145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5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6"/>
      <c r="AR268" s="142"/>
      <c r="AS268" s="142"/>
      <c r="AT268" s="142"/>
      <c r="AU268" s="142"/>
      <c r="AV268" s="142"/>
      <c r="AW268" s="142"/>
      <c r="AX268" s="142"/>
      <c r="AY268" s="142"/>
      <c r="AZ268" s="142"/>
      <c r="BA268" s="142"/>
      <c r="BB268" s="142"/>
      <c r="BC268" s="146"/>
      <c r="BD268" s="146"/>
      <c r="BE268" s="142"/>
      <c r="BF268" s="142"/>
      <c r="BG268" s="142"/>
      <c r="BH268" s="146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142"/>
      <c r="BY268" s="142"/>
      <c r="BZ268" s="142"/>
      <c r="CA268" s="142"/>
    </row>
    <row r="269" spans="1:79" ht="14.25" customHeight="1" outlineLevel="1" x14ac:dyDescent="0.25">
      <c r="A269" s="142"/>
      <c r="B269" s="142"/>
      <c r="C269" s="142"/>
      <c r="D269" s="142"/>
      <c r="E269" s="142"/>
      <c r="F269" s="143" t="s">
        <v>245</v>
      </c>
      <c r="G269" s="143"/>
      <c r="H269" s="143"/>
      <c r="I269" s="143"/>
      <c r="J269" s="144">
        <f t="shared" ref="J269:AP269" si="264">J265+I265</f>
        <v>63200</v>
      </c>
      <c r="K269" s="144">
        <f t="shared" si="264"/>
        <v>132800</v>
      </c>
      <c r="L269" s="144">
        <f t="shared" si="264"/>
        <v>148400</v>
      </c>
      <c r="M269" s="144">
        <f t="shared" si="264"/>
        <v>173740</v>
      </c>
      <c r="N269" s="144">
        <f t="shared" si="264"/>
        <v>176720</v>
      </c>
      <c r="O269" s="144">
        <f t="shared" si="264"/>
        <v>166615</v>
      </c>
      <c r="P269" s="144">
        <f t="shared" si="264"/>
        <v>176720</v>
      </c>
      <c r="Q269" s="144">
        <f t="shared" si="264"/>
        <v>242520</v>
      </c>
      <c r="R269" s="144">
        <f t="shared" si="264"/>
        <v>360020</v>
      </c>
      <c r="S269" s="145">
        <f t="shared" si="264"/>
        <v>450103.33333333331</v>
      </c>
      <c r="T269" s="144">
        <f t="shared" si="264"/>
        <v>512769.99999999994</v>
      </c>
      <c r="U269" s="144">
        <f t="shared" si="264"/>
        <v>575436.66666666651</v>
      </c>
      <c r="V269" s="144">
        <f t="shared" si="264"/>
        <v>638103.33333333326</v>
      </c>
      <c r="W269" s="144">
        <f t="shared" si="264"/>
        <v>700769.99999999977</v>
      </c>
      <c r="X269" s="144">
        <f t="shared" si="264"/>
        <v>763436.66666666651</v>
      </c>
      <c r="Y269" s="144">
        <f t="shared" si="264"/>
        <v>826103.33333333302</v>
      </c>
      <c r="Z269" s="144">
        <f t="shared" si="264"/>
        <v>888769.99999999977</v>
      </c>
      <c r="AA269" s="144">
        <f t="shared" si="264"/>
        <v>951436.6666666664</v>
      </c>
      <c r="AB269" s="144">
        <f t="shared" si="264"/>
        <v>1014103.3333333331</v>
      </c>
      <c r="AC269" s="144">
        <f t="shared" si="264"/>
        <v>1076770</v>
      </c>
      <c r="AD269" s="144">
        <f t="shared" si="264"/>
        <v>1139436.6666666665</v>
      </c>
      <c r="AE269" s="145">
        <f t="shared" si="264"/>
        <v>1202103.3333333335</v>
      </c>
      <c r="AF269" s="144">
        <f t="shared" si="264"/>
        <v>1264770</v>
      </c>
      <c r="AG269" s="144">
        <f t="shared" si="264"/>
        <v>1327436.666666667</v>
      </c>
      <c r="AH269" s="144">
        <f t="shared" si="264"/>
        <v>1390103.3333333335</v>
      </c>
      <c r="AI269" s="144">
        <f t="shared" si="264"/>
        <v>1452770.0000000005</v>
      </c>
      <c r="AJ269" s="144">
        <f t="shared" si="264"/>
        <v>1515436.666666667</v>
      </c>
      <c r="AK269" s="144">
        <f t="shared" si="264"/>
        <v>1578103.333333334</v>
      </c>
      <c r="AL269" s="144">
        <f t="shared" si="264"/>
        <v>1640770.0000000005</v>
      </c>
      <c r="AM269" s="144">
        <f t="shared" si="264"/>
        <v>1703436.6666666674</v>
      </c>
      <c r="AN269" s="144">
        <f t="shared" si="264"/>
        <v>1766103.333333334</v>
      </c>
      <c r="AO269" s="144">
        <f t="shared" si="264"/>
        <v>1828770.0000000009</v>
      </c>
      <c r="AP269" s="144">
        <f t="shared" si="264"/>
        <v>1891436.6666666674</v>
      </c>
      <c r="AQ269" s="146"/>
      <c r="AR269" s="142"/>
      <c r="AS269" s="142"/>
      <c r="AT269" s="142"/>
      <c r="AU269" s="142"/>
      <c r="AV269" s="142"/>
      <c r="AW269" s="142"/>
      <c r="AX269" s="142"/>
      <c r="AY269" s="142"/>
      <c r="AZ269" s="142"/>
      <c r="BA269" s="142"/>
      <c r="BB269" s="142"/>
      <c r="BC269" s="146"/>
      <c r="BD269" s="146"/>
      <c r="BE269" s="142"/>
      <c r="BF269" s="142"/>
      <c r="BG269" s="142"/>
      <c r="BH269" s="146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142"/>
      <c r="BY269" s="142"/>
      <c r="BZ269" s="142"/>
      <c r="CA269" s="142"/>
    </row>
    <row r="270" spans="1:79" ht="14.25" customHeight="1" outlineLevel="1" x14ac:dyDescent="0.25">
      <c r="A270" s="142"/>
      <c r="B270" s="142"/>
      <c r="C270" s="142"/>
      <c r="D270" s="142"/>
      <c r="E270" s="142"/>
      <c r="F270" s="143" t="s">
        <v>246</v>
      </c>
      <c r="G270" s="143"/>
      <c r="H270" s="143"/>
      <c r="I270" s="143"/>
      <c r="J270" s="144">
        <f t="shared" ref="J270:AP270" si="265">J266</f>
        <v>30935</v>
      </c>
      <c r="K270" s="144">
        <f t="shared" si="265"/>
        <v>34059.574468085106</v>
      </c>
      <c r="L270" s="144">
        <f t="shared" si="265"/>
        <v>45310</v>
      </c>
      <c r="M270" s="144">
        <f t="shared" si="265"/>
        <v>46460</v>
      </c>
      <c r="N270" s="144">
        <f t="shared" si="265"/>
        <v>31320</v>
      </c>
      <c r="O270" s="144">
        <f t="shared" si="265"/>
        <v>32490</v>
      </c>
      <c r="P270" s="144">
        <f t="shared" si="265"/>
        <v>35190</v>
      </c>
      <c r="Q270" s="144">
        <f t="shared" si="265"/>
        <v>57690</v>
      </c>
      <c r="R270" s="144">
        <f t="shared" si="265"/>
        <v>80190</v>
      </c>
      <c r="S270" s="145">
        <f t="shared" si="265"/>
        <v>92190</v>
      </c>
      <c r="T270" s="144">
        <f t="shared" si="265"/>
        <v>104189.99999999999</v>
      </c>
      <c r="U270" s="144">
        <f t="shared" si="265"/>
        <v>116189.99999999999</v>
      </c>
      <c r="V270" s="144">
        <f t="shared" si="265"/>
        <v>128189.99999999997</v>
      </c>
      <c r="W270" s="144">
        <f t="shared" si="265"/>
        <v>140189.99999999997</v>
      </c>
      <c r="X270" s="144">
        <f t="shared" si="265"/>
        <v>152189.99999999997</v>
      </c>
      <c r="Y270" s="144">
        <f t="shared" si="265"/>
        <v>164189.99999999994</v>
      </c>
      <c r="Z270" s="144">
        <f t="shared" si="265"/>
        <v>176189.99999999994</v>
      </c>
      <c r="AA270" s="144">
        <f t="shared" si="265"/>
        <v>188189.99999999997</v>
      </c>
      <c r="AB270" s="144">
        <f t="shared" si="265"/>
        <v>200189.99999999997</v>
      </c>
      <c r="AC270" s="144">
        <f t="shared" si="265"/>
        <v>212190</v>
      </c>
      <c r="AD270" s="144">
        <f t="shared" si="265"/>
        <v>224190</v>
      </c>
      <c r="AE270" s="145">
        <f t="shared" si="265"/>
        <v>236190</v>
      </c>
      <c r="AF270" s="144">
        <f t="shared" si="265"/>
        <v>248190.00000000003</v>
      </c>
      <c r="AG270" s="144">
        <f t="shared" si="265"/>
        <v>260190.00000000003</v>
      </c>
      <c r="AH270" s="144">
        <f t="shared" si="265"/>
        <v>272190.00000000006</v>
      </c>
      <c r="AI270" s="144">
        <f t="shared" si="265"/>
        <v>284190.00000000006</v>
      </c>
      <c r="AJ270" s="144">
        <f t="shared" si="265"/>
        <v>296190.00000000006</v>
      </c>
      <c r="AK270" s="144">
        <f t="shared" si="265"/>
        <v>308190.00000000012</v>
      </c>
      <c r="AL270" s="144">
        <f t="shared" si="265"/>
        <v>320190.00000000012</v>
      </c>
      <c r="AM270" s="144">
        <f t="shared" si="265"/>
        <v>332190.00000000012</v>
      </c>
      <c r="AN270" s="144">
        <f t="shared" si="265"/>
        <v>344190.00000000012</v>
      </c>
      <c r="AO270" s="144">
        <f t="shared" si="265"/>
        <v>356190.00000000017</v>
      </c>
      <c r="AP270" s="144">
        <f t="shared" si="265"/>
        <v>368190.00000000017</v>
      </c>
      <c r="AQ270" s="146"/>
      <c r="AR270" s="142"/>
      <c r="AS270" s="142"/>
      <c r="AT270" s="142"/>
      <c r="AU270" s="142"/>
      <c r="AV270" s="142"/>
      <c r="AW270" s="142"/>
      <c r="AX270" s="142"/>
      <c r="AY270" s="142"/>
      <c r="AZ270" s="142"/>
      <c r="BA270" s="142"/>
      <c r="BB270" s="142"/>
      <c r="BC270" s="146"/>
      <c r="BD270" s="146"/>
      <c r="BE270" s="142"/>
      <c r="BF270" s="142"/>
      <c r="BG270" s="142"/>
      <c r="BH270" s="146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142"/>
      <c r="BY270" s="142"/>
      <c r="BZ270" s="142"/>
      <c r="CA270" s="142"/>
    </row>
    <row r="271" spans="1:79" ht="14.25" customHeight="1" outlineLevel="1" x14ac:dyDescent="0.2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5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5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5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5"/>
      <c r="BD271" s="45"/>
      <c r="BE271" s="43"/>
      <c r="BF271" s="43"/>
      <c r="BG271" s="43"/>
      <c r="BH271" s="45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</row>
    <row r="272" spans="1:79" ht="14.25" customHeight="1" x14ac:dyDescent="0.25">
      <c r="A272" s="22"/>
      <c r="B272" s="22"/>
      <c r="C272" s="22"/>
      <c r="D272" s="22"/>
      <c r="E272" s="22"/>
      <c r="F272" s="80"/>
      <c r="G272" s="82"/>
      <c r="H272" s="82"/>
      <c r="I272" s="82"/>
      <c r="J272" s="82"/>
      <c r="K272" s="82"/>
      <c r="L272" s="22"/>
      <c r="M272" s="22"/>
      <c r="N272" s="22"/>
      <c r="O272" s="22"/>
      <c r="P272" s="22"/>
      <c r="Q272" s="22"/>
      <c r="R272" s="22"/>
      <c r="S272" s="31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31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31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31"/>
      <c r="BD272" s="31"/>
      <c r="BE272" s="22"/>
      <c r="BF272" s="22"/>
      <c r="BG272" s="22"/>
      <c r="BH272" s="31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</row>
    <row r="273" spans="1:79" ht="14.25" customHeight="1" x14ac:dyDescent="0.25">
      <c r="A273" s="15"/>
      <c r="B273" s="30" t="s">
        <v>15</v>
      </c>
      <c r="C273" s="15"/>
      <c r="D273" s="15"/>
      <c r="E273" s="15"/>
      <c r="F273" s="160"/>
      <c r="G273" s="176"/>
      <c r="H273" s="176"/>
      <c r="I273" s="176"/>
      <c r="J273" s="176"/>
      <c r="K273" s="176"/>
      <c r="L273" s="126">
        <f t="shared" ref="L273:AP273" si="266">L282</f>
        <v>168996.6</v>
      </c>
      <c r="M273" s="126">
        <f t="shared" si="266"/>
        <v>214995.6</v>
      </c>
      <c r="N273" s="126">
        <f t="shared" si="266"/>
        <v>161996.6</v>
      </c>
      <c r="O273" s="126">
        <f t="shared" si="266"/>
        <v>284994.2</v>
      </c>
      <c r="P273" s="126">
        <f t="shared" si="266"/>
        <v>400991.80000000005</v>
      </c>
      <c r="Q273" s="126">
        <f t="shared" si="266"/>
        <v>579988</v>
      </c>
      <c r="R273" s="126">
        <f t="shared" si="266"/>
        <v>683985.8</v>
      </c>
      <c r="S273" s="127">
        <f t="shared" si="266"/>
        <v>968980</v>
      </c>
      <c r="T273" s="126">
        <f t="shared" si="266"/>
        <v>1246974.2000000002</v>
      </c>
      <c r="U273" s="126">
        <f t="shared" si="266"/>
        <v>1519968.6</v>
      </c>
      <c r="V273" s="126">
        <f t="shared" si="266"/>
        <v>1780963.2000000002</v>
      </c>
      <c r="W273" s="126">
        <f t="shared" si="266"/>
        <v>2034957.8</v>
      </c>
      <c r="X273" s="126">
        <f t="shared" si="266"/>
        <v>2278952.7999999998</v>
      </c>
      <c r="Y273" s="126">
        <f t="shared" si="266"/>
        <v>2505948.2000000002</v>
      </c>
      <c r="Z273" s="126">
        <f t="shared" si="266"/>
        <v>2720943.8</v>
      </c>
      <c r="AA273" s="126">
        <f t="shared" si="266"/>
        <v>2923939.6</v>
      </c>
      <c r="AB273" s="126">
        <f t="shared" si="266"/>
        <v>3107935.6</v>
      </c>
      <c r="AC273" s="126">
        <f t="shared" si="266"/>
        <v>3281932</v>
      </c>
      <c r="AD273" s="126">
        <f t="shared" si="266"/>
        <v>3445928.8</v>
      </c>
      <c r="AE273" s="127">
        <f t="shared" si="266"/>
        <v>3600925.4000000004</v>
      </c>
      <c r="AF273" s="126">
        <f t="shared" si="266"/>
        <v>3745922.4000000004</v>
      </c>
      <c r="AG273" s="126">
        <f t="shared" si="266"/>
        <v>3880919.8</v>
      </c>
      <c r="AH273" s="126">
        <f t="shared" si="266"/>
        <v>4006917</v>
      </c>
      <c r="AI273" s="126">
        <f t="shared" si="266"/>
        <v>4122914.6</v>
      </c>
      <c r="AJ273" s="126">
        <f t="shared" si="266"/>
        <v>4233912.4000000004</v>
      </c>
      <c r="AK273" s="126">
        <f t="shared" si="266"/>
        <v>4337910.2</v>
      </c>
      <c r="AL273" s="126">
        <f t="shared" si="266"/>
        <v>4436908.2</v>
      </c>
      <c r="AM273" s="126">
        <f t="shared" si="266"/>
        <v>4523906.4000000004</v>
      </c>
      <c r="AN273" s="126">
        <f t="shared" si="266"/>
        <v>4605904.8000000007</v>
      </c>
      <c r="AO273" s="126">
        <f t="shared" si="266"/>
        <v>4680903.2</v>
      </c>
      <c r="AP273" s="126">
        <f t="shared" si="266"/>
        <v>4755901.5999999996</v>
      </c>
      <c r="AQ273" s="161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61"/>
      <c r="BD273" s="161"/>
      <c r="BE273" s="15"/>
      <c r="BF273" s="15"/>
      <c r="BG273" s="15"/>
      <c r="BH273" s="161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</row>
    <row r="274" spans="1:79" ht="14.25" customHeight="1" outlineLevel="1" x14ac:dyDescent="0.25">
      <c r="A274" s="22"/>
      <c r="B274" s="46" t="s">
        <v>272</v>
      </c>
      <c r="C274" s="46">
        <v>2025</v>
      </c>
      <c r="D274" s="46">
        <v>2026</v>
      </c>
      <c r="E274" s="22"/>
      <c r="F274" s="80"/>
      <c r="G274" s="82"/>
      <c r="H274" s="82"/>
      <c r="I274" s="82"/>
      <c r="J274" s="82"/>
      <c r="K274" s="82"/>
      <c r="L274" s="22"/>
      <c r="M274" s="22"/>
      <c r="N274" s="22"/>
      <c r="O274" s="22"/>
      <c r="P274" s="22"/>
      <c r="Q274" s="22"/>
      <c r="R274" s="22"/>
      <c r="S274" s="31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31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31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31"/>
      <c r="BD274" s="31"/>
      <c r="BE274" s="22"/>
      <c r="BF274" s="22"/>
      <c r="BG274" s="22"/>
      <c r="BH274" s="31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</row>
    <row r="275" spans="1:79" ht="14.25" customHeight="1" outlineLevel="1" x14ac:dyDescent="0.25">
      <c r="A275" s="46"/>
      <c r="B275" s="22" t="s">
        <v>273</v>
      </c>
      <c r="C275" s="162">
        <v>10</v>
      </c>
      <c r="D275" s="22"/>
      <c r="E275" s="46"/>
      <c r="F275" s="139" t="s">
        <v>274</v>
      </c>
      <c r="G275" s="139"/>
      <c r="H275" s="139"/>
      <c r="I275" s="139"/>
      <c r="J275" s="139"/>
      <c r="K275" s="139"/>
      <c r="L275" s="9">
        <v>29</v>
      </c>
      <c r="M275" s="9">
        <v>37</v>
      </c>
      <c r="N275" s="9">
        <v>28</v>
      </c>
      <c r="O275" s="9">
        <v>49</v>
      </c>
      <c r="P275" s="9">
        <f>O275+$C276-P276</f>
        <v>69</v>
      </c>
      <c r="Q275" s="9">
        <v>100</v>
      </c>
      <c r="R275" s="9">
        <f>Q275+$C276-R276</f>
        <v>118</v>
      </c>
      <c r="S275" s="10">
        <f t="shared" ref="S275:AP275" si="267">R275+$D276-S276</f>
        <v>167</v>
      </c>
      <c r="T275" s="9">
        <f t="shared" si="267"/>
        <v>215</v>
      </c>
      <c r="U275" s="9">
        <f t="shared" si="267"/>
        <v>262</v>
      </c>
      <c r="V275" s="9">
        <f t="shared" si="267"/>
        <v>307</v>
      </c>
      <c r="W275" s="9">
        <f t="shared" si="267"/>
        <v>351</v>
      </c>
      <c r="X275" s="9">
        <f t="shared" si="267"/>
        <v>393</v>
      </c>
      <c r="Y275" s="9">
        <f t="shared" si="267"/>
        <v>432</v>
      </c>
      <c r="Z275" s="9">
        <f t="shared" si="267"/>
        <v>469</v>
      </c>
      <c r="AA275" s="9">
        <f t="shared" si="267"/>
        <v>504</v>
      </c>
      <c r="AB275" s="9">
        <f t="shared" si="267"/>
        <v>536</v>
      </c>
      <c r="AC275" s="9">
        <f t="shared" si="267"/>
        <v>566</v>
      </c>
      <c r="AD275" s="9">
        <f t="shared" si="267"/>
        <v>594</v>
      </c>
      <c r="AE275" s="10">
        <f t="shared" si="267"/>
        <v>621</v>
      </c>
      <c r="AF275" s="9">
        <f t="shared" si="267"/>
        <v>646</v>
      </c>
      <c r="AG275" s="9">
        <f t="shared" si="267"/>
        <v>669</v>
      </c>
      <c r="AH275" s="9">
        <f t="shared" si="267"/>
        <v>691</v>
      </c>
      <c r="AI275" s="9">
        <f t="shared" si="267"/>
        <v>711</v>
      </c>
      <c r="AJ275" s="9">
        <f t="shared" si="267"/>
        <v>730</v>
      </c>
      <c r="AK275" s="9">
        <f t="shared" si="267"/>
        <v>748</v>
      </c>
      <c r="AL275" s="9">
        <f t="shared" si="267"/>
        <v>765</v>
      </c>
      <c r="AM275" s="9">
        <f t="shared" si="267"/>
        <v>780</v>
      </c>
      <c r="AN275" s="9">
        <f t="shared" si="267"/>
        <v>794</v>
      </c>
      <c r="AO275" s="9">
        <f t="shared" si="267"/>
        <v>807</v>
      </c>
      <c r="AP275" s="9">
        <f t="shared" si="267"/>
        <v>820</v>
      </c>
      <c r="AQ275" s="29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29"/>
      <c r="BD275" s="29"/>
      <c r="BE275" s="46"/>
      <c r="BF275" s="46"/>
      <c r="BG275" s="46"/>
      <c r="BH275" s="29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</row>
    <row r="276" spans="1:79" ht="14.25" customHeight="1" outlineLevel="1" x14ac:dyDescent="0.25">
      <c r="A276" s="43"/>
      <c r="B276" s="22" t="s">
        <v>234</v>
      </c>
      <c r="C276" s="162">
        <v>20</v>
      </c>
      <c r="D276" s="162">
        <v>50</v>
      </c>
      <c r="E276" s="43"/>
      <c r="F276" s="166" t="s">
        <v>275</v>
      </c>
      <c r="G276" s="166"/>
      <c r="H276" s="166"/>
      <c r="I276" s="166"/>
      <c r="J276" s="166"/>
      <c r="K276" s="166"/>
      <c r="L276" s="166"/>
      <c r="M276" s="166"/>
      <c r="N276" s="44"/>
      <c r="O276" s="44"/>
      <c r="P276" s="44"/>
      <c r="Q276" s="44"/>
      <c r="R276" s="44">
        <f t="shared" ref="R276:AP276" si="268">ROUND(M275*$C277,0)</f>
        <v>2</v>
      </c>
      <c r="S276" s="66">
        <f t="shared" si="268"/>
        <v>1</v>
      </c>
      <c r="T276" s="44">
        <f t="shared" si="268"/>
        <v>2</v>
      </c>
      <c r="U276" s="44">
        <f t="shared" si="268"/>
        <v>3</v>
      </c>
      <c r="V276" s="44">
        <f t="shared" si="268"/>
        <v>5</v>
      </c>
      <c r="W276" s="44">
        <f t="shared" si="268"/>
        <v>6</v>
      </c>
      <c r="X276" s="44">
        <f t="shared" si="268"/>
        <v>8</v>
      </c>
      <c r="Y276" s="44">
        <f t="shared" si="268"/>
        <v>11</v>
      </c>
      <c r="Z276" s="44">
        <f t="shared" si="268"/>
        <v>13</v>
      </c>
      <c r="AA276" s="44">
        <f t="shared" si="268"/>
        <v>15</v>
      </c>
      <c r="AB276" s="44">
        <f t="shared" si="268"/>
        <v>18</v>
      </c>
      <c r="AC276" s="44">
        <f t="shared" si="268"/>
        <v>20</v>
      </c>
      <c r="AD276" s="44">
        <f t="shared" si="268"/>
        <v>22</v>
      </c>
      <c r="AE276" s="66">
        <f t="shared" si="268"/>
        <v>23</v>
      </c>
      <c r="AF276" s="44">
        <f t="shared" si="268"/>
        <v>25</v>
      </c>
      <c r="AG276" s="44">
        <f t="shared" si="268"/>
        <v>27</v>
      </c>
      <c r="AH276" s="44">
        <f t="shared" si="268"/>
        <v>28</v>
      </c>
      <c r="AI276" s="44">
        <f t="shared" si="268"/>
        <v>30</v>
      </c>
      <c r="AJ276" s="44">
        <f t="shared" si="268"/>
        <v>31</v>
      </c>
      <c r="AK276" s="44">
        <f t="shared" si="268"/>
        <v>32</v>
      </c>
      <c r="AL276" s="44">
        <f t="shared" si="268"/>
        <v>33</v>
      </c>
      <c r="AM276" s="44">
        <f t="shared" si="268"/>
        <v>35</v>
      </c>
      <c r="AN276" s="44">
        <f t="shared" si="268"/>
        <v>36</v>
      </c>
      <c r="AO276" s="44">
        <f t="shared" si="268"/>
        <v>37</v>
      </c>
      <c r="AP276" s="44">
        <f t="shared" si="268"/>
        <v>37</v>
      </c>
      <c r="AQ276" s="45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5"/>
      <c r="BD276" s="45"/>
      <c r="BE276" s="43"/>
      <c r="BF276" s="43"/>
      <c r="BG276" s="43"/>
      <c r="BH276" s="45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</row>
    <row r="277" spans="1:79" ht="14.25" customHeight="1" outlineLevel="1" x14ac:dyDescent="0.25">
      <c r="A277" s="22"/>
      <c r="B277" s="22" t="s">
        <v>276</v>
      </c>
      <c r="C277" s="186">
        <v>0.05</v>
      </c>
      <c r="D277" s="22"/>
      <c r="E277" s="22"/>
      <c r="F277" s="82" t="s">
        <v>277</v>
      </c>
      <c r="G277" s="82"/>
      <c r="H277" s="82"/>
      <c r="I277" s="82"/>
      <c r="J277" s="82"/>
      <c r="K277" s="82"/>
      <c r="L277" s="11">
        <f t="shared" ref="L277:AP277" si="269">ROUND(L$275*$C278,0)</f>
        <v>12</v>
      </c>
      <c r="M277" s="11">
        <f t="shared" si="269"/>
        <v>15</v>
      </c>
      <c r="N277" s="11">
        <f t="shared" si="269"/>
        <v>11</v>
      </c>
      <c r="O277" s="11">
        <f t="shared" si="269"/>
        <v>20</v>
      </c>
      <c r="P277" s="11">
        <f t="shared" si="269"/>
        <v>28</v>
      </c>
      <c r="Q277" s="11">
        <f t="shared" si="269"/>
        <v>40</v>
      </c>
      <c r="R277" s="11">
        <f t="shared" si="269"/>
        <v>47</v>
      </c>
      <c r="S277" s="50">
        <f t="shared" si="269"/>
        <v>67</v>
      </c>
      <c r="T277" s="11">
        <f t="shared" si="269"/>
        <v>86</v>
      </c>
      <c r="U277" s="11">
        <f t="shared" si="269"/>
        <v>105</v>
      </c>
      <c r="V277" s="11">
        <f t="shared" si="269"/>
        <v>123</v>
      </c>
      <c r="W277" s="11">
        <f t="shared" si="269"/>
        <v>140</v>
      </c>
      <c r="X277" s="11">
        <f t="shared" si="269"/>
        <v>157</v>
      </c>
      <c r="Y277" s="11">
        <f t="shared" si="269"/>
        <v>173</v>
      </c>
      <c r="Z277" s="11">
        <f t="shared" si="269"/>
        <v>188</v>
      </c>
      <c r="AA277" s="11">
        <f t="shared" si="269"/>
        <v>202</v>
      </c>
      <c r="AB277" s="11">
        <f t="shared" si="269"/>
        <v>214</v>
      </c>
      <c r="AC277" s="11">
        <f t="shared" si="269"/>
        <v>226</v>
      </c>
      <c r="AD277" s="11">
        <f t="shared" si="269"/>
        <v>238</v>
      </c>
      <c r="AE277" s="50">
        <f t="shared" si="269"/>
        <v>248</v>
      </c>
      <c r="AF277" s="11">
        <f t="shared" si="269"/>
        <v>258</v>
      </c>
      <c r="AG277" s="11">
        <f t="shared" si="269"/>
        <v>268</v>
      </c>
      <c r="AH277" s="11">
        <f t="shared" si="269"/>
        <v>276</v>
      </c>
      <c r="AI277" s="11">
        <f t="shared" si="269"/>
        <v>284</v>
      </c>
      <c r="AJ277" s="11">
        <f t="shared" si="269"/>
        <v>292</v>
      </c>
      <c r="AK277" s="11">
        <f t="shared" si="269"/>
        <v>299</v>
      </c>
      <c r="AL277" s="11">
        <f t="shared" si="269"/>
        <v>306</v>
      </c>
      <c r="AM277" s="11">
        <f t="shared" si="269"/>
        <v>312</v>
      </c>
      <c r="AN277" s="11">
        <f t="shared" si="269"/>
        <v>318</v>
      </c>
      <c r="AO277" s="11">
        <f t="shared" si="269"/>
        <v>323</v>
      </c>
      <c r="AP277" s="11">
        <f t="shared" si="269"/>
        <v>328</v>
      </c>
      <c r="AQ277" s="31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31"/>
      <c r="BD277" s="31"/>
      <c r="BE277" s="22"/>
      <c r="BF277" s="22"/>
      <c r="BG277" s="22"/>
      <c r="BH277" s="31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</row>
    <row r="278" spans="1:79" ht="14.25" customHeight="1" outlineLevel="1" x14ac:dyDescent="0.25">
      <c r="A278" s="22"/>
      <c r="B278" s="22" t="s">
        <v>278</v>
      </c>
      <c r="C278" s="186">
        <v>0.4</v>
      </c>
      <c r="D278" s="22"/>
      <c r="E278" s="22"/>
      <c r="F278" s="82" t="s">
        <v>279</v>
      </c>
      <c r="G278" s="82"/>
      <c r="H278" s="82"/>
      <c r="I278" s="82"/>
      <c r="J278" s="82"/>
      <c r="K278" s="82"/>
      <c r="L278" s="11">
        <f t="shared" ref="L278:AP278" si="270">ROUND(L$275*$C279,0)</f>
        <v>17</v>
      </c>
      <c r="M278" s="11">
        <f t="shared" si="270"/>
        <v>22</v>
      </c>
      <c r="N278" s="11">
        <f t="shared" si="270"/>
        <v>17</v>
      </c>
      <c r="O278" s="11">
        <f t="shared" si="270"/>
        <v>29</v>
      </c>
      <c r="P278" s="11">
        <f t="shared" si="270"/>
        <v>41</v>
      </c>
      <c r="Q278" s="11">
        <f t="shared" si="270"/>
        <v>60</v>
      </c>
      <c r="R278" s="11">
        <f t="shared" si="270"/>
        <v>71</v>
      </c>
      <c r="S278" s="50">
        <f t="shared" si="270"/>
        <v>100</v>
      </c>
      <c r="T278" s="11">
        <f t="shared" si="270"/>
        <v>129</v>
      </c>
      <c r="U278" s="11">
        <f t="shared" si="270"/>
        <v>157</v>
      </c>
      <c r="V278" s="11">
        <f t="shared" si="270"/>
        <v>184</v>
      </c>
      <c r="W278" s="11">
        <f t="shared" si="270"/>
        <v>211</v>
      </c>
      <c r="X278" s="11">
        <f t="shared" si="270"/>
        <v>236</v>
      </c>
      <c r="Y278" s="11">
        <f t="shared" si="270"/>
        <v>259</v>
      </c>
      <c r="Z278" s="11">
        <f t="shared" si="270"/>
        <v>281</v>
      </c>
      <c r="AA278" s="11">
        <f t="shared" si="270"/>
        <v>302</v>
      </c>
      <c r="AB278" s="11">
        <f t="shared" si="270"/>
        <v>322</v>
      </c>
      <c r="AC278" s="11">
        <f t="shared" si="270"/>
        <v>340</v>
      </c>
      <c r="AD278" s="11">
        <f t="shared" si="270"/>
        <v>356</v>
      </c>
      <c r="AE278" s="50">
        <f t="shared" si="270"/>
        <v>373</v>
      </c>
      <c r="AF278" s="11">
        <f t="shared" si="270"/>
        <v>388</v>
      </c>
      <c r="AG278" s="11">
        <f t="shared" si="270"/>
        <v>401</v>
      </c>
      <c r="AH278" s="11">
        <f t="shared" si="270"/>
        <v>415</v>
      </c>
      <c r="AI278" s="11">
        <f t="shared" si="270"/>
        <v>427</v>
      </c>
      <c r="AJ278" s="11">
        <f t="shared" si="270"/>
        <v>438</v>
      </c>
      <c r="AK278" s="11">
        <f t="shared" si="270"/>
        <v>449</v>
      </c>
      <c r="AL278" s="11">
        <f t="shared" si="270"/>
        <v>459</v>
      </c>
      <c r="AM278" s="11">
        <f t="shared" si="270"/>
        <v>468</v>
      </c>
      <c r="AN278" s="11">
        <f t="shared" si="270"/>
        <v>476</v>
      </c>
      <c r="AO278" s="11">
        <f t="shared" si="270"/>
        <v>484</v>
      </c>
      <c r="AP278" s="11">
        <f t="shared" si="270"/>
        <v>492</v>
      </c>
      <c r="AQ278" s="31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31"/>
      <c r="BD278" s="31"/>
      <c r="BE278" s="22"/>
      <c r="BF278" s="22"/>
      <c r="BG278" s="22"/>
      <c r="BH278" s="31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</row>
    <row r="279" spans="1:79" ht="14.25" customHeight="1" outlineLevel="1" x14ac:dyDescent="0.25">
      <c r="A279" s="22"/>
      <c r="B279" s="22" t="s">
        <v>280</v>
      </c>
      <c r="C279" s="131">
        <f>1-C278</f>
        <v>0.6</v>
      </c>
      <c r="D279" s="22"/>
      <c r="E279" s="22"/>
      <c r="F279" s="80"/>
      <c r="G279" s="82"/>
      <c r="H279" s="82"/>
      <c r="I279" s="82"/>
      <c r="J279" s="82"/>
      <c r="K279" s="82"/>
      <c r="L279" s="22"/>
      <c r="M279" s="22"/>
      <c r="N279" s="22"/>
      <c r="O279" s="22"/>
      <c r="P279" s="22"/>
      <c r="Q279" s="22"/>
      <c r="R279" s="22"/>
      <c r="S279" s="31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31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31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31"/>
      <c r="BD279" s="31"/>
      <c r="BE279" s="22"/>
      <c r="BF279" s="22"/>
      <c r="BG279" s="22"/>
      <c r="BH279" s="31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</row>
    <row r="280" spans="1:79" ht="14.25" customHeight="1" outlineLevel="1" x14ac:dyDescent="0.25">
      <c r="A280" s="22"/>
      <c r="B280" s="46" t="s">
        <v>277</v>
      </c>
      <c r="C280" s="131"/>
      <c r="D280" s="22"/>
      <c r="E280" s="22"/>
      <c r="F280" s="82" t="s">
        <v>277</v>
      </c>
      <c r="G280" s="139"/>
      <c r="H280" s="9"/>
      <c r="I280" s="9"/>
      <c r="J280" s="140"/>
      <c r="K280" s="187"/>
      <c r="L280" s="116">
        <f t="shared" ref="L280:AP280" si="271">L277*$C283</f>
        <v>84000</v>
      </c>
      <c r="M280" s="116">
        <f t="shared" si="271"/>
        <v>105000</v>
      </c>
      <c r="N280" s="116">
        <f t="shared" si="271"/>
        <v>77000</v>
      </c>
      <c r="O280" s="116">
        <f t="shared" si="271"/>
        <v>140000</v>
      </c>
      <c r="P280" s="116">
        <f t="shared" si="271"/>
        <v>196000</v>
      </c>
      <c r="Q280" s="116">
        <f t="shared" si="271"/>
        <v>280000</v>
      </c>
      <c r="R280" s="116">
        <f t="shared" si="271"/>
        <v>329000</v>
      </c>
      <c r="S280" s="125">
        <f t="shared" si="271"/>
        <v>469000</v>
      </c>
      <c r="T280" s="116">
        <f t="shared" si="271"/>
        <v>602000</v>
      </c>
      <c r="U280" s="116">
        <f t="shared" si="271"/>
        <v>735000</v>
      </c>
      <c r="V280" s="116">
        <f t="shared" si="271"/>
        <v>861000</v>
      </c>
      <c r="W280" s="116">
        <f t="shared" si="271"/>
        <v>980000</v>
      </c>
      <c r="X280" s="116">
        <f t="shared" si="271"/>
        <v>1099000</v>
      </c>
      <c r="Y280" s="116">
        <f t="shared" si="271"/>
        <v>1211000</v>
      </c>
      <c r="Z280" s="116">
        <f t="shared" si="271"/>
        <v>1316000</v>
      </c>
      <c r="AA280" s="116">
        <f t="shared" si="271"/>
        <v>1414000</v>
      </c>
      <c r="AB280" s="116">
        <f t="shared" si="271"/>
        <v>1498000</v>
      </c>
      <c r="AC280" s="116">
        <f t="shared" si="271"/>
        <v>1582000</v>
      </c>
      <c r="AD280" s="116">
        <f t="shared" si="271"/>
        <v>1666000</v>
      </c>
      <c r="AE280" s="125">
        <f t="shared" si="271"/>
        <v>1736000</v>
      </c>
      <c r="AF280" s="116">
        <f t="shared" si="271"/>
        <v>1806000</v>
      </c>
      <c r="AG280" s="116">
        <f t="shared" si="271"/>
        <v>1876000</v>
      </c>
      <c r="AH280" s="116">
        <f t="shared" si="271"/>
        <v>1932000</v>
      </c>
      <c r="AI280" s="116">
        <f t="shared" si="271"/>
        <v>1988000</v>
      </c>
      <c r="AJ280" s="116">
        <f t="shared" si="271"/>
        <v>2044000</v>
      </c>
      <c r="AK280" s="116">
        <f t="shared" si="271"/>
        <v>2093000</v>
      </c>
      <c r="AL280" s="116">
        <f t="shared" si="271"/>
        <v>2142000</v>
      </c>
      <c r="AM280" s="116">
        <f t="shared" si="271"/>
        <v>2184000</v>
      </c>
      <c r="AN280" s="116">
        <f t="shared" si="271"/>
        <v>2226000</v>
      </c>
      <c r="AO280" s="116">
        <f t="shared" si="271"/>
        <v>2261000</v>
      </c>
      <c r="AP280" s="116">
        <f t="shared" si="271"/>
        <v>2296000</v>
      </c>
      <c r="AQ280" s="31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31"/>
      <c r="BD280" s="31"/>
      <c r="BE280" s="22"/>
      <c r="BF280" s="22"/>
      <c r="BG280" s="22"/>
      <c r="BH280" s="31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</row>
    <row r="281" spans="1:79" ht="14.25" customHeight="1" outlineLevel="1" x14ac:dyDescent="0.25">
      <c r="A281" s="22"/>
      <c r="B281" s="22" t="s">
        <v>281</v>
      </c>
      <c r="C281" s="164">
        <v>10000</v>
      </c>
      <c r="D281" s="22"/>
      <c r="E281" s="22"/>
      <c r="F281" s="82" t="s">
        <v>279</v>
      </c>
      <c r="G281" s="139"/>
      <c r="H281" s="9"/>
      <c r="I281" s="9"/>
      <c r="J281" s="140"/>
      <c r="K281" s="187"/>
      <c r="L281" s="157">
        <f t="shared" ref="L281:AP281" si="272">L278*$C290</f>
        <v>84996.6</v>
      </c>
      <c r="M281" s="157">
        <f t="shared" si="272"/>
        <v>109995.6</v>
      </c>
      <c r="N281" s="157">
        <f t="shared" si="272"/>
        <v>84996.6</v>
      </c>
      <c r="O281" s="157">
        <f t="shared" si="272"/>
        <v>144994.20000000001</v>
      </c>
      <c r="P281" s="157">
        <f t="shared" si="272"/>
        <v>204991.80000000002</v>
      </c>
      <c r="Q281" s="157">
        <f t="shared" si="272"/>
        <v>299988</v>
      </c>
      <c r="R281" s="157">
        <f t="shared" si="272"/>
        <v>354985.8</v>
      </c>
      <c r="S281" s="158">
        <f t="shared" si="272"/>
        <v>499980</v>
      </c>
      <c r="T281" s="157">
        <f t="shared" si="272"/>
        <v>644974.20000000007</v>
      </c>
      <c r="U281" s="157">
        <f t="shared" si="272"/>
        <v>784968.6</v>
      </c>
      <c r="V281" s="157">
        <f t="shared" si="272"/>
        <v>919963.20000000007</v>
      </c>
      <c r="W281" s="157">
        <f t="shared" si="272"/>
        <v>1054957.8</v>
      </c>
      <c r="X281" s="157">
        <f t="shared" si="272"/>
        <v>1179952.8</v>
      </c>
      <c r="Y281" s="157">
        <f t="shared" si="272"/>
        <v>1294948.2</v>
      </c>
      <c r="Z281" s="157">
        <f t="shared" si="272"/>
        <v>1404943.8</v>
      </c>
      <c r="AA281" s="157">
        <f t="shared" si="272"/>
        <v>1509939.6</v>
      </c>
      <c r="AB281" s="157">
        <f t="shared" si="272"/>
        <v>1609935.6</v>
      </c>
      <c r="AC281" s="157">
        <f t="shared" si="272"/>
        <v>1699932</v>
      </c>
      <c r="AD281" s="157">
        <f t="shared" si="272"/>
        <v>1779928.8</v>
      </c>
      <c r="AE281" s="158">
        <f t="shared" si="272"/>
        <v>1864925.4000000001</v>
      </c>
      <c r="AF281" s="157">
        <f t="shared" si="272"/>
        <v>1939922.4000000001</v>
      </c>
      <c r="AG281" s="157">
        <f t="shared" si="272"/>
        <v>2004919.8</v>
      </c>
      <c r="AH281" s="157">
        <f t="shared" si="272"/>
        <v>2074917</v>
      </c>
      <c r="AI281" s="157">
        <f t="shared" si="272"/>
        <v>2134914.6</v>
      </c>
      <c r="AJ281" s="157">
        <f t="shared" si="272"/>
        <v>2189912.4</v>
      </c>
      <c r="AK281" s="157">
        <f t="shared" si="272"/>
        <v>2244910.2000000002</v>
      </c>
      <c r="AL281" s="157">
        <f t="shared" si="272"/>
        <v>2294908.2000000002</v>
      </c>
      <c r="AM281" s="157">
        <f t="shared" si="272"/>
        <v>2339906.4</v>
      </c>
      <c r="AN281" s="157">
        <f t="shared" si="272"/>
        <v>2379904.8000000003</v>
      </c>
      <c r="AO281" s="157">
        <f t="shared" si="272"/>
        <v>2419903.2000000002</v>
      </c>
      <c r="AP281" s="157">
        <f t="shared" si="272"/>
        <v>2459901.6</v>
      </c>
      <c r="AQ281" s="31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31"/>
      <c r="BD281" s="31"/>
      <c r="BE281" s="22"/>
      <c r="BF281" s="22"/>
      <c r="BG281" s="22"/>
      <c r="BH281" s="31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</row>
    <row r="282" spans="1:79" ht="14.25" customHeight="1" outlineLevel="1" x14ac:dyDescent="0.25">
      <c r="A282" s="22"/>
      <c r="B282" s="22" t="s">
        <v>282</v>
      </c>
      <c r="C282" s="186">
        <v>0.7</v>
      </c>
      <c r="D282" s="46"/>
      <c r="E282" s="22"/>
      <c r="F282" s="139" t="s">
        <v>260</v>
      </c>
      <c r="G282" s="139"/>
      <c r="H282" s="9">
        <f t="shared" ref="H282:I282" si="273">-H237</f>
        <v>0</v>
      </c>
      <c r="I282" s="9">
        <f t="shared" si="273"/>
        <v>0</v>
      </c>
      <c r="J282" s="140">
        <v>12010</v>
      </c>
      <c r="K282" s="187">
        <v>58305</v>
      </c>
      <c r="L282" s="140">
        <f t="shared" ref="L282:AP282" si="274">SUM(L280:L281)</f>
        <v>168996.6</v>
      </c>
      <c r="M282" s="140">
        <f t="shared" si="274"/>
        <v>214995.6</v>
      </c>
      <c r="N282" s="140">
        <f t="shared" si="274"/>
        <v>161996.6</v>
      </c>
      <c r="O282" s="140">
        <f t="shared" si="274"/>
        <v>284994.2</v>
      </c>
      <c r="P282" s="140">
        <f t="shared" si="274"/>
        <v>400991.80000000005</v>
      </c>
      <c r="Q282" s="140">
        <f t="shared" si="274"/>
        <v>579988</v>
      </c>
      <c r="R282" s="140">
        <f t="shared" si="274"/>
        <v>683985.8</v>
      </c>
      <c r="S282" s="141">
        <f t="shared" si="274"/>
        <v>968980</v>
      </c>
      <c r="T282" s="140">
        <f t="shared" si="274"/>
        <v>1246974.2000000002</v>
      </c>
      <c r="U282" s="140">
        <f t="shared" si="274"/>
        <v>1519968.6</v>
      </c>
      <c r="V282" s="140">
        <f t="shared" si="274"/>
        <v>1780963.2000000002</v>
      </c>
      <c r="W282" s="140">
        <f t="shared" si="274"/>
        <v>2034957.8</v>
      </c>
      <c r="X282" s="140">
        <f t="shared" si="274"/>
        <v>2278952.7999999998</v>
      </c>
      <c r="Y282" s="140">
        <f t="shared" si="274"/>
        <v>2505948.2000000002</v>
      </c>
      <c r="Z282" s="140">
        <f t="shared" si="274"/>
        <v>2720943.8</v>
      </c>
      <c r="AA282" s="140">
        <f t="shared" si="274"/>
        <v>2923939.6</v>
      </c>
      <c r="AB282" s="140">
        <f t="shared" si="274"/>
        <v>3107935.6</v>
      </c>
      <c r="AC282" s="140">
        <f t="shared" si="274"/>
        <v>3281932</v>
      </c>
      <c r="AD282" s="140">
        <f t="shared" si="274"/>
        <v>3445928.8</v>
      </c>
      <c r="AE282" s="141">
        <f t="shared" si="274"/>
        <v>3600925.4000000004</v>
      </c>
      <c r="AF282" s="140">
        <f t="shared" si="274"/>
        <v>3745922.4000000004</v>
      </c>
      <c r="AG282" s="140">
        <f t="shared" si="274"/>
        <v>3880919.8</v>
      </c>
      <c r="AH282" s="140">
        <f t="shared" si="274"/>
        <v>4006917</v>
      </c>
      <c r="AI282" s="140">
        <f t="shared" si="274"/>
        <v>4122914.6</v>
      </c>
      <c r="AJ282" s="140">
        <f t="shared" si="274"/>
        <v>4233912.4000000004</v>
      </c>
      <c r="AK282" s="140">
        <f t="shared" si="274"/>
        <v>4337910.2</v>
      </c>
      <c r="AL282" s="140">
        <f t="shared" si="274"/>
        <v>4436908.2</v>
      </c>
      <c r="AM282" s="140">
        <f t="shared" si="274"/>
        <v>4523906.4000000004</v>
      </c>
      <c r="AN282" s="140">
        <f t="shared" si="274"/>
        <v>4605904.8000000007</v>
      </c>
      <c r="AO282" s="140">
        <f t="shared" si="274"/>
        <v>4680903.2</v>
      </c>
      <c r="AP282" s="140">
        <f t="shared" si="274"/>
        <v>4755901.5999999996</v>
      </c>
      <c r="AQ282" s="31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31"/>
      <c r="BD282" s="31"/>
      <c r="BE282" s="22"/>
      <c r="BF282" s="22"/>
      <c r="BG282" s="22"/>
      <c r="BH282" s="31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</row>
    <row r="283" spans="1:79" ht="14.25" customHeight="1" outlineLevel="1" x14ac:dyDescent="0.25">
      <c r="A283" s="22"/>
      <c r="B283" s="22" t="s">
        <v>283</v>
      </c>
      <c r="C283" s="116">
        <f>C281*C282</f>
        <v>7000</v>
      </c>
      <c r="D283" s="22"/>
      <c r="E283" s="22"/>
      <c r="F283" s="80"/>
      <c r="G283" s="82"/>
      <c r="H283" s="82"/>
      <c r="I283" s="82"/>
      <c r="J283" s="188"/>
      <c r="K283" s="188"/>
      <c r="L283" s="189"/>
      <c r="M283" s="189"/>
      <c r="N283" s="189"/>
      <c r="O283" s="189"/>
      <c r="P283" s="189"/>
      <c r="Q283" s="189"/>
      <c r="R283" s="189"/>
      <c r="S283" s="190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90"/>
      <c r="AF283" s="189"/>
      <c r="AG283" s="189"/>
      <c r="AH283" s="189"/>
      <c r="AI283" s="189"/>
      <c r="AJ283" s="189"/>
      <c r="AK283" s="189"/>
      <c r="AL283" s="189"/>
      <c r="AM283" s="189"/>
      <c r="AN283" s="189"/>
      <c r="AO283" s="189"/>
      <c r="AP283" s="189"/>
      <c r="AQ283" s="31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31"/>
      <c r="BD283" s="31"/>
      <c r="BE283" s="22"/>
      <c r="BF283" s="22"/>
      <c r="BG283" s="22"/>
      <c r="BH283" s="31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</row>
    <row r="284" spans="1:79" ht="14.25" customHeight="1" outlineLevel="1" x14ac:dyDescent="0.25">
      <c r="A284" s="22"/>
      <c r="B284" s="22" t="s">
        <v>236</v>
      </c>
      <c r="C284" s="162">
        <v>9</v>
      </c>
      <c r="D284" s="22" t="s">
        <v>284</v>
      </c>
      <c r="E284" s="22"/>
      <c r="F284" s="191" t="s">
        <v>285</v>
      </c>
      <c r="G284" s="143"/>
      <c r="H284" s="192"/>
      <c r="I284" s="192"/>
      <c r="J284" s="193">
        <v>3044</v>
      </c>
      <c r="K284" s="193">
        <v>14448</v>
      </c>
      <c r="L284" s="193">
        <f t="shared" ref="L284:AP284" si="275">L277*$C$285</f>
        <v>36000</v>
      </c>
      <c r="M284" s="193">
        <f t="shared" si="275"/>
        <v>45000</v>
      </c>
      <c r="N284" s="193">
        <f t="shared" si="275"/>
        <v>33000</v>
      </c>
      <c r="O284" s="193">
        <f t="shared" si="275"/>
        <v>60000</v>
      </c>
      <c r="P284" s="193">
        <f t="shared" si="275"/>
        <v>84000</v>
      </c>
      <c r="Q284" s="193">
        <f t="shared" si="275"/>
        <v>120000</v>
      </c>
      <c r="R284" s="193">
        <f t="shared" si="275"/>
        <v>141000</v>
      </c>
      <c r="S284" s="194">
        <f t="shared" si="275"/>
        <v>201000</v>
      </c>
      <c r="T284" s="193">
        <f t="shared" si="275"/>
        <v>258000</v>
      </c>
      <c r="U284" s="193">
        <f t="shared" si="275"/>
        <v>315000</v>
      </c>
      <c r="V284" s="193">
        <f t="shared" si="275"/>
        <v>369000</v>
      </c>
      <c r="W284" s="193">
        <f t="shared" si="275"/>
        <v>420000</v>
      </c>
      <c r="X284" s="193">
        <f t="shared" si="275"/>
        <v>471000</v>
      </c>
      <c r="Y284" s="193">
        <f t="shared" si="275"/>
        <v>519000</v>
      </c>
      <c r="Z284" s="193">
        <f t="shared" si="275"/>
        <v>564000</v>
      </c>
      <c r="AA284" s="193">
        <f t="shared" si="275"/>
        <v>606000</v>
      </c>
      <c r="AB284" s="193">
        <f t="shared" si="275"/>
        <v>642000</v>
      </c>
      <c r="AC284" s="193">
        <f t="shared" si="275"/>
        <v>678000</v>
      </c>
      <c r="AD284" s="193">
        <f t="shared" si="275"/>
        <v>714000</v>
      </c>
      <c r="AE284" s="194">
        <f t="shared" si="275"/>
        <v>744000</v>
      </c>
      <c r="AF284" s="193">
        <f t="shared" si="275"/>
        <v>774000</v>
      </c>
      <c r="AG284" s="193">
        <f t="shared" si="275"/>
        <v>804000</v>
      </c>
      <c r="AH284" s="193">
        <f t="shared" si="275"/>
        <v>828000</v>
      </c>
      <c r="AI284" s="193">
        <f t="shared" si="275"/>
        <v>852000</v>
      </c>
      <c r="AJ284" s="193">
        <f t="shared" si="275"/>
        <v>876000</v>
      </c>
      <c r="AK284" s="193">
        <f t="shared" si="275"/>
        <v>897000</v>
      </c>
      <c r="AL284" s="193">
        <f t="shared" si="275"/>
        <v>918000</v>
      </c>
      <c r="AM284" s="193">
        <f t="shared" si="275"/>
        <v>936000</v>
      </c>
      <c r="AN284" s="193">
        <f t="shared" si="275"/>
        <v>954000</v>
      </c>
      <c r="AO284" s="193">
        <f t="shared" si="275"/>
        <v>969000</v>
      </c>
      <c r="AP284" s="193">
        <f t="shared" si="275"/>
        <v>984000</v>
      </c>
      <c r="AQ284" s="31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31"/>
      <c r="BD284" s="31"/>
      <c r="BE284" s="22"/>
      <c r="BF284" s="22"/>
      <c r="BG284" s="22"/>
      <c r="BH284" s="31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</row>
    <row r="285" spans="1:79" ht="14.25" customHeight="1" outlineLevel="1" x14ac:dyDescent="0.25">
      <c r="A285" s="22"/>
      <c r="B285" s="22" t="s">
        <v>238</v>
      </c>
      <c r="C285" s="162">
        <v>3000</v>
      </c>
      <c r="D285" s="131"/>
      <c r="E285" s="22"/>
      <c r="F285" s="191" t="s">
        <v>286</v>
      </c>
      <c r="G285" s="143"/>
      <c r="H285" s="192"/>
      <c r="I285" s="192"/>
      <c r="J285" s="193">
        <v>2000</v>
      </c>
      <c r="K285" s="193">
        <v>10000</v>
      </c>
      <c r="L285" s="193">
        <f t="shared" ref="L285:AP285" si="276">L278*$C$292</f>
        <v>37400</v>
      </c>
      <c r="M285" s="193">
        <f t="shared" si="276"/>
        <v>48400</v>
      </c>
      <c r="N285" s="193">
        <f t="shared" si="276"/>
        <v>37400</v>
      </c>
      <c r="O285" s="193">
        <f t="shared" si="276"/>
        <v>63800</v>
      </c>
      <c r="P285" s="193">
        <f t="shared" si="276"/>
        <v>90200</v>
      </c>
      <c r="Q285" s="193">
        <f t="shared" si="276"/>
        <v>132000</v>
      </c>
      <c r="R285" s="193">
        <f t="shared" si="276"/>
        <v>156200</v>
      </c>
      <c r="S285" s="194">
        <f t="shared" si="276"/>
        <v>220000</v>
      </c>
      <c r="T285" s="193">
        <f t="shared" si="276"/>
        <v>283800</v>
      </c>
      <c r="U285" s="193">
        <f t="shared" si="276"/>
        <v>345400</v>
      </c>
      <c r="V285" s="193">
        <f t="shared" si="276"/>
        <v>404800</v>
      </c>
      <c r="W285" s="193">
        <f t="shared" si="276"/>
        <v>464200</v>
      </c>
      <c r="X285" s="193">
        <f t="shared" si="276"/>
        <v>519200</v>
      </c>
      <c r="Y285" s="193">
        <f t="shared" si="276"/>
        <v>569800</v>
      </c>
      <c r="Z285" s="193">
        <f t="shared" si="276"/>
        <v>618200</v>
      </c>
      <c r="AA285" s="193">
        <f t="shared" si="276"/>
        <v>664400</v>
      </c>
      <c r="AB285" s="193">
        <f t="shared" si="276"/>
        <v>708400</v>
      </c>
      <c r="AC285" s="193">
        <f t="shared" si="276"/>
        <v>748000</v>
      </c>
      <c r="AD285" s="193">
        <f t="shared" si="276"/>
        <v>783200</v>
      </c>
      <c r="AE285" s="194">
        <f t="shared" si="276"/>
        <v>820600</v>
      </c>
      <c r="AF285" s="193">
        <f t="shared" si="276"/>
        <v>853600</v>
      </c>
      <c r="AG285" s="193">
        <f t="shared" si="276"/>
        <v>882200</v>
      </c>
      <c r="AH285" s="193">
        <f t="shared" si="276"/>
        <v>913000</v>
      </c>
      <c r="AI285" s="193">
        <f t="shared" si="276"/>
        <v>939400</v>
      </c>
      <c r="AJ285" s="193">
        <f t="shared" si="276"/>
        <v>963600</v>
      </c>
      <c r="AK285" s="193">
        <f t="shared" si="276"/>
        <v>987800</v>
      </c>
      <c r="AL285" s="193">
        <f t="shared" si="276"/>
        <v>1009800</v>
      </c>
      <c r="AM285" s="193">
        <f t="shared" si="276"/>
        <v>1029600</v>
      </c>
      <c r="AN285" s="193">
        <f t="shared" si="276"/>
        <v>1047200</v>
      </c>
      <c r="AO285" s="193">
        <f t="shared" si="276"/>
        <v>1064800</v>
      </c>
      <c r="AP285" s="193">
        <f t="shared" si="276"/>
        <v>1082400</v>
      </c>
      <c r="AQ285" s="31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31"/>
      <c r="BD285" s="31"/>
      <c r="BE285" s="22"/>
      <c r="BF285" s="22"/>
      <c r="BG285" s="22"/>
      <c r="BH285" s="31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</row>
    <row r="286" spans="1:79" ht="14.25" customHeight="1" outlineLevel="1" x14ac:dyDescent="0.25">
      <c r="A286" s="22"/>
      <c r="B286" s="22" t="s">
        <v>239</v>
      </c>
      <c r="C286" s="162">
        <v>1</v>
      </c>
      <c r="D286" s="22" t="s">
        <v>284</v>
      </c>
      <c r="E286" s="22"/>
      <c r="F286" s="191" t="s">
        <v>287</v>
      </c>
      <c r="G286" s="143"/>
      <c r="H286" s="192"/>
      <c r="I286" s="192"/>
      <c r="J286" s="193">
        <f t="shared" ref="J286:AP286" si="277">J80</f>
        <v>10407.208333333334</v>
      </c>
      <c r="K286" s="193">
        <f t="shared" si="277"/>
        <v>23287.416666666664</v>
      </c>
      <c r="L286" s="193">
        <f t="shared" si="277"/>
        <v>36167.625</v>
      </c>
      <c r="M286" s="193">
        <f t="shared" si="277"/>
        <v>47708.291666666657</v>
      </c>
      <c r="N286" s="193">
        <f t="shared" si="277"/>
        <v>47708.291666666657</v>
      </c>
      <c r="O286" s="193">
        <f t="shared" si="277"/>
        <v>47708.291666666657</v>
      </c>
      <c r="P286" s="193">
        <f t="shared" si="277"/>
        <v>47708.291666666657</v>
      </c>
      <c r="Q286" s="193">
        <f t="shared" si="277"/>
        <v>47708.291666666657</v>
      </c>
      <c r="R286" s="193">
        <f t="shared" si="277"/>
        <v>47708.291666666657</v>
      </c>
      <c r="S286" s="194">
        <f t="shared" si="277"/>
        <v>53375.583333333328</v>
      </c>
      <c r="T286" s="193">
        <f t="shared" si="277"/>
        <v>59042.875</v>
      </c>
      <c r="U286" s="193">
        <f t="shared" si="277"/>
        <v>59042.875</v>
      </c>
      <c r="V286" s="193">
        <f t="shared" si="277"/>
        <v>64710.166666666664</v>
      </c>
      <c r="W286" s="193">
        <f t="shared" si="277"/>
        <v>64710.166666666664</v>
      </c>
      <c r="X286" s="193">
        <f t="shared" si="277"/>
        <v>64710.166666666664</v>
      </c>
      <c r="Y286" s="193">
        <f t="shared" si="277"/>
        <v>70377.458333333328</v>
      </c>
      <c r="Z286" s="193">
        <f t="shared" si="277"/>
        <v>70377.458333333328</v>
      </c>
      <c r="AA286" s="193">
        <f t="shared" si="277"/>
        <v>76044.75</v>
      </c>
      <c r="AB286" s="193">
        <f t="shared" si="277"/>
        <v>76044.75</v>
      </c>
      <c r="AC286" s="193">
        <f t="shared" si="277"/>
        <v>76044.75</v>
      </c>
      <c r="AD286" s="193">
        <f t="shared" si="277"/>
        <v>76044.75</v>
      </c>
      <c r="AE286" s="194">
        <f t="shared" si="277"/>
        <v>88924.958333333328</v>
      </c>
      <c r="AF286" s="193">
        <f t="shared" si="277"/>
        <v>88924.958333333328</v>
      </c>
      <c r="AG286" s="193">
        <f t="shared" si="277"/>
        <v>88924.958333333328</v>
      </c>
      <c r="AH286" s="193">
        <f t="shared" si="277"/>
        <v>88924.958333333328</v>
      </c>
      <c r="AI286" s="193">
        <f t="shared" si="277"/>
        <v>94592.25</v>
      </c>
      <c r="AJ286" s="193">
        <f t="shared" si="277"/>
        <v>94592.25</v>
      </c>
      <c r="AK286" s="193">
        <f t="shared" si="277"/>
        <v>94592.25</v>
      </c>
      <c r="AL286" s="193">
        <f t="shared" si="277"/>
        <v>94592.25</v>
      </c>
      <c r="AM286" s="193">
        <f t="shared" si="277"/>
        <v>94592.25</v>
      </c>
      <c r="AN286" s="193">
        <f t="shared" si="277"/>
        <v>94592.25</v>
      </c>
      <c r="AO286" s="193">
        <f t="shared" si="277"/>
        <v>100259.54166666666</v>
      </c>
      <c r="AP286" s="193">
        <f t="shared" si="277"/>
        <v>100259.54166666666</v>
      </c>
      <c r="AQ286" s="31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31"/>
      <c r="BD286" s="31"/>
      <c r="BE286" s="22"/>
      <c r="BF286" s="22"/>
      <c r="BG286" s="22"/>
      <c r="BH286" s="31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</row>
    <row r="287" spans="1:79" ht="14.25" customHeight="1" outlineLevel="1" x14ac:dyDescent="0.25">
      <c r="A287" s="22"/>
      <c r="B287" s="46" t="s">
        <v>279</v>
      </c>
      <c r="C287" s="131"/>
      <c r="D287" s="22"/>
      <c r="E287" s="22"/>
      <c r="F287" s="195" t="s">
        <v>21</v>
      </c>
      <c r="G287" s="195"/>
      <c r="H287" s="195"/>
      <c r="I287" s="195"/>
      <c r="J287" s="196">
        <f t="shared" ref="J287:AP287" si="278">SUM(J284:J286)</f>
        <v>15451.208333333334</v>
      </c>
      <c r="K287" s="196">
        <f t="shared" si="278"/>
        <v>47735.416666666664</v>
      </c>
      <c r="L287" s="196">
        <f t="shared" si="278"/>
        <v>109567.625</v>
      </c>
      <c r="M287" s="196">
        <f t="shared" si="278"/>
        <v>141108.29166666666</v>
      </c>
      <c r="N287" s="196">
        <f t="shared" si="278"/>
        <v>118108.29166666666</v>
      </c>
      <c r="O287" s="196">
        <f t="shared" si="278"/>
        <v>171508.29166666666</v>
      </c>
      <c r="P287" s="196">
        <f t="shared" si="278"/>
        <v>221908.29166666666</v>
      </c>
      <c r="Q287" s="196">
        <f t="shared" si="278"/>
        <v>299708.29166666663</v>
      </c>
      <c r="R287" s="196">
        <f t="shared" si="278"/>
        <v>344908.29166666663</v>
      </c>
      <c r="S287" s="197">
        <f t="shared" si="278"/>
        <v>474375.58333333331</v>
      </c>
      <c r="T287" s="196">
        <f t="shared" si="278"/>
        <v>600842.875</v>
      </c>
      <c r="U287" s="196">
        <f t="shared" si="278"/>
        <v>719442.875</v>
      </c>
      <c r="V287" s="196">
        <f t="shared" si="278"/>
        <v>838510.16666666663</v>
      </c>
      <c r="W287" s="196">
        <f t="shared" si="278"/>
        <v>948910.16666666663</v>
      </c>
      <c r="X287" s="196">
        <f t="shared" si="278"/>
        <v>1054910.1666666667</v>
      </c>
      <c r="Y287" s="196">
        <f t="shared" si="278"/>
        <v>1159177.4583333333</v>
      </c>
      <c r="Z287" s="196">
        <f t="shared" si="278"/>
        <v>1252577.4583333333</v>
      </c>
      <c r="AA287" s="196">
        <f t="shared" si="278"/>
        <v>1346444.75</v>
      </c>
      <c r="AB287" s="196">
        <f t="shared" si="278"/>
        <v>1426444.75</v>
      </c>
      <c r="AC287" s="196">
        <f t="shared" si="278"/>
        <v>1502044.75</v>
      </c>
      <c r="AD287" s="196">
        <f t="shared" si="278"/>
        <v>1573244.75</v>
      </c>
      <c r="AE287" s="197">
        <f t="shared" si="278"/>
        <v>1653524.9583333333</v>
      </c>
      <c r="AF287" s="196">
        <f t="shared" si="278"/>
        <v>1716524.9583333333</v>
      </c>
      <c r="AG287" s="196">
        <f t="shared" si="278"/>
        <v>1775124.9583333333</v>
      </c>
      <c r="AH287" s="196">
        <f t="shared" si="278"/>
        <v>1829924.9583333333</v>
      </c>
      <c r="AI287" s="196">
        <f t="shared" si="278"/>
        <v>1885992.25</v>
      </c>
      <c r="AJ287" s="196">
        <f t="shared" si="278"/>
        <v>1934192.25</v>
      </c>
      <c r="AK287" s="196">
        <f t="shared" si="278"/>
        <v>1979392.25</v>
      </c>
      <c r="AL287" s="196">
        <f t="shared" si="278"/>
        <v>2022392.25</v>
      </c>
      <c r="AM287" s="196">
        <f t="shared" si="278"/>
        <v>2060192.25</v>
      </c>
      <c r="AN287" s="196">
        <f t="shared" si="278"/>
        <v>2095792.25</v>
      </c>
      <c r="AO287" s="196">
        <f t="shared" si="278"/>
        <v>2134059.5416666665</v>
      </c>
      <c r="AP287" s="196">
        <f t="shared" si="278"/>
        <v>2166659.5416666665</v>
      </c>
      <c r="AQ287" s="31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31"/>
      <c r="BD287" s="31"/>
      <c r="BE287" s="22"/>
      <c r="BF287" s="22"/>
      <c r="BG287" s="22"/>
      <c r="BH287" s="31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</row>
    <row r="288" spans="1:79" ht="14.25" customHeight="1" outlineLevel="1" x14ac:dyDescent="0.25">
      <c r="A288" s="46"/>
      <c r="B288" s="22" t="s">
        <v>281</v>
      </c>
      <c r="C288" s="164">
        <v>6000</v>
      </c>
      <c r="D288" s="22"/>
      <c r="E288" s="22"/>
      <c r="F288" s="139" t="s">
        <v>265</v>
      </c>
      <c r="G288" s="139"/>
      <c r="H288" s="139"/>
      <c r="I288" s="139"/>
      <c r="J288" s="126">
        <f t="shared" ref="J288:AP288" si="279">J282-J287</f>
        <v>-3441.2083333333339</v>
      </c>
      <c r="K288" s="126">
        <f t="shared" si="279"/>
        <v>10569.583333333336</v>
      </c>
      <c r="L288" s="126">
        <f t="shared" si="279"/>
        <v>59428.975000000006</v>
      </c>
      <c r="M288" s="140">
        <f t="shared" si="279"/>
        <v>73887.308333333349</v>
      </c>
      <c r="N288" s="140">
        <f t="shared" si="279"/>
        <v>43888.308333333349</v>
      </c>
      <c r="O288" s="140">
        <f t="shared" si="279"/>
        <v>113485.90833333335</v>
      </c>
      <c r="P288" s="140">
        <f t="shared" si="279"/>
        <v>179083.50833333339</v>
      </c>
      <c r="Q288" s="140">
        <f t="shared" si="279"/>
        <v>280279.70833333337</v>
      </c>
      <c r="R288" s="140">
        <f t="shared" si="279"/>
        <v>339077.50833333342</v>
      </c>
      <c r="S288" s="141">
        <f t="shared" si="279"/>
        <v>494604.41666666669</v>
      </c>
      <c r="T288" s="140">
        <f t="shared" si="279"/>
        <v>646131.32500000019</v>
      </c>
      <c r="U288" s="140">
        <f t="shared" si="279"/>
        <v>800525.72500000009</v>
      </c>
      <c r="V288" s="140">
        <f t="shared" si="279"/>
        <v>942453.03333333356</v>
      </c>
      <c r="W288" s="140">
        <f t="shared" si="279"/>
        <v>1086047.6333333333</v>
      </c>
      <c r="X288" s="140">
        <f t="shared" si="279"/>
        <v>1224042.6333333331</v>
      </c>
      <c r="Y288" s="140">
        <f t="shared" si="279"/>
        <v>1346770.7416666669</v>
      </c>
      <c r="Z288" s="140">
        <f t="shared" si="279"/>
        <v>1468366.3416666666</v>
      </c>
      <c r="AA288" s="140">
        <f t="shared" si="279"/>
        <v>1577494.85</v>
      </c>
      <c r="AB288" s="140">
        <f t="shared" si="279"/>
        <v>1681490.85</v>
      </c>
      <c r="AC288" s="140">
        <f t="shared" si="279"/>
        <v>1779887.25</v>
      </c>
      <c r="AD288" s="140">
        <f t="shared" si="279"/>
        <v>1872684.0499999998</v>
      </c>
      <c r="AE288" s="141">
        <f t="shared" si="279"/>
        <v>1947400.4416666671</v>
      </c>
      <c r="AF288" s="140">
        <f t="shared" si="279"/>
        <v>2029397.4416666671</v>
      </c>
      <c r="AG288" s="140">
        <f t="shared" si="279"/>
        <v>2105794.8416666668</v>
      </c>
      <c r="AH288" s="140">
        <f t="shared" si="279"/>
        <v>2176992.041666667</v>
      </c>
      <c r="AI288" s="140">
        <f t="shared" si="279"/>
        <v>2236922.35</v>
      </c>
      <c r="AJ288" s="140">
        <f t="shared" si="279"/>
        <v>2299720.1500000004</v>
      </c>
      <c r="AK288" s="140">
        <f t="shared" si="279"/>
        <v>2358517.9500000002</v>
      </c>
      <c r="AL288" s="140">
        <f t="shared" si="279"/>
        <v>2414515.9500000002</v>
      </c>
      <c r="AM288" s="140">
        <f t="shared" si="279"/>
        <v>2463714.1500000004</v>
      </c>
      <c r="AN288" s="140">
        <f t="shared" si="279"/>
        <v>2510112.5500000007</v>
      </c>
      <c r="AO288" s="140">
        <f t="shared" si="279"/>
        <v>2546843.6583333337</v>
      </c>
      <c r="AP288" s="140">
        <f t="shared" si="279"/>
        <v>2589242.0583333331</v>
      </c>
      <c r="AQ288" s="29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29"/>
      <c r="BD288" s="29"/>
      <c r="BE288" s="46"/>
      <c r="BF288" s="46"/>
      <c r="BG288" s="46"/>
      <c r="BH288" s="29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</row>
    <row r="289" spans="1:79" ht="14.25" customHeight="1" outlineLevel="1" x14ac:dyDescent="0.25">
      <c r="A289" s="46"/>
      <c r="B289" s="22" t="s">
        <v>282</v>
      </c>
      <c r="C289" s="186">
        <v>0.83330000000000004</v>
      </c>
      <c r="D289" s="46"/>
      <c r="E289" s="22"/>
      <c r="F289" s="180" t="s">
        <v>23</v>
      </c>
      <c r="G289" s="139"/>
      <c r="H289" s="179"/>
      <c r="I289" s="179"/>
      <c r="J289" s="19">
        <f t="shared" ref="J289:AP289" si="280">(J288/J282)</f>
        <v>-0.28652858728837083</v>
      </c>
      <c r="K289" s="19">
        <f t="shared" si="280"/>
        <v>0.18128090786953668</v>
      </c>
      <c r="L289" s="19">
        <f t="shared" si="280"/>
        <v>0.35165781441756816</v>
      </c>
      <c r="M289" s="19">
        <f t="shared" si="280"/>
        <v>0.34366893244947033</v>
      </c>
      <c r="N289" s="19">
        <f t="shared" si="280"/>
        <v>0.27092116953894924</v>
      </c>
      <c r="O289" s="19">
        <f t="shared" si="280"/>
        <v>0.39820427339690895</v>
      </c>
      <c r="P289" s="19">
        <f t="shared" si="280"/>
        <v>0.4466014226059819</v>
      </c>
      <c r="Q289" s="19">
        <f t="shared" si="280"/>
        <v>0.48325087473074163</v>
      </c>
      <c r="R289" s="19">
        <f t="shared" si="280"/>
        <v>0.49573764299395306</v>
      </c>
      <c r="S289" s="58">
        <f t="shared" si="280"/>
        <v>0.5104382099389736</v>
      </c>
      <c r="T289" s="19">
        <f t="shared" si="280"/>
        <v>0.51815933721804353</v>
      </c>
      <c r="U289" s="19">
        <f t="shared" si="280"/>
        <v>0.52667254113012596</v>
      </c>
      <c r="V289" s="19">
        <f t="shared" si="280"/>
        <v>0.52918164358103159</v>
      </c>
      <c r="W289" s="19">
        <f t="shared" si="280"/>
        <v>0.53369540799977933</v>
      </c>
      <c r="X289" s="19">
        <f t="shared" si="280"/>
        <v>0.53710749662447299</v>
      </c>
      <c r="Y289" s="19">
        <f t="shared" si="280"/>
        <v>0.53742960116520633</v>
      </c>
      <c r="Z289" s="19">
        <f t="shared" si="280"/>
        <v>0.53965331502498015</v>
      </c>
      <c r="AA289" s="19">
        <f t="shared" si="280"/>
        <v>0.53951006717101824</v>
      </c>
      <c r="AB289" s="19">
        <f t="shared" si="280"/>
        <v>0.54103143256893738</v>
      </c>
      <c r="AC289" s="19">
        <f t="shared" si="280"/>
        <v>0.54232910675784873</v>
      </c>
      <c r="AD289" s="19">
        <f t="shared" si="280"/>
        <v>0.5434482714790857</v>
      </c>
      <c r="AE289" s="58">
        <f t="shared" si="280"/>
        <v>0.54080555005851183</v>
      </c>
      <c r="AF289" s="19">
        <f t="shared" si="280"/>
        <v>0.54176174115797671</v>
      </c>
      <c r="AG289" s="19">
        <f t="shared" si="280"/>
        <v>0.54260199905874551</v>
      </c>
      <c r="AH289" s="19">
        <f t="shared" si="280"/>
        <v>0.54330849420306604</v>
      </c>
      <c r="AI289" s="19">
        <f t="shared" si="280"/>
        <v>0.54255849733099004</v>
      </c>
      <c r="AJ289" s="19">
        <f t="shared" si="280"/>
        <v>0.54316668195591389</v>
      </c>
      <c r="AK289" s="19">
        <f t="shared" si="280"/>
        <v>0.5436991180684192</v>
      </c>
      <c r="AL289" s="19">
        <f t="shared" si="280"/>
        <v>0.54418884528645417</v>
      </c>
      <c r="AM289" s="19">
        <f t="shared" si="280"/>
        <v>0.54459883387507757</v>
      </c>
      <c r="AN289" s="19">
        <f t="shared" si="280"/>
        <v>0.54497708029050018</v>
      </c>
      <c r="AO289" s="19">
        <f t="shared" si="280"/>
        <v>0.54409235771706055</v>
      </c>
      <c r="AP289" s="19">
        <f t="shared" si="280"/>
        <v>0.54442717198634494</v>
      </c>
      <c r="AQ289" s="29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29"/>
      <c r="BD289" s="29"/>
      <c r="BE289" s="46"/>
      <c r="BF289" s="46"/>
      <c r="BG289" s="46"/>
      <c r="BH289" s="29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</row>
    <row r="290" spans="1:79" ht="14.25" customHeight="1" outlineLevel="1" x14ac:dyDescent="0.25">
      <c r="A290" s="22"/>
      <c r="B290" s="22" t="s">
        <v>283</v>
      </c>
      <c r="C290" s="116">
        <f>C288*C289</f>
        <v>4999.8</v>
      </c>
      <c r="D290" s="22"/>
      <c r="E290" s="22"/>
      <c r="F290" s="82"/>
      <c r="G290" s="82"/>
      <c r="H290" s="82"/>
      <c r="I290" s="82"/>
      <c r="J290" s="82"/>
      <c r="K290" s="82"/>
      <c r="L290" s="22"/>
      <c r="M290" s="22"/>
      <c r="N290" s="22"/>
      <c r="O290" s="22"/>
      <c r="P290" s="22"/>
      <c r="Q290" s="22"/>
      <c r="R290" s="22"/>
      <c r="S290" s="31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31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31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31"/>
      <c r="BD290" s="31"/>
      <c r="BE290" s="22"/>
      <c r="BF290" s="22"/>
      <c r="BG290" s="22"/>
      <c r="BH290" s="31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</row>
    <row r="291" spans="1:79" ht="14.25" customHeight="1" outlineLevel="1" x14ac:dyDescent="0.25">
      <c r="A291" s="22"/>
      <c r="B291" s="22" t="s">
        <v>236</v>
      </c>
      <c r="C291" s="162">
        <v>9</v>
      </c>
      <c r="D291" s="22" t="s">
        <v>284</v>
      </c>
      <c r="E291" s="22"/>
      <c r="F291" s="82" t="s">
        <v>288</v>
      </c>
      <c r="G291" s="82"/>
      <c r="H291" s="82"/>
      <c r="I291" s="82"/>
      <c r="J291" s="82"/>
      <c r="K291" s="82"/>
      <c r="L291" s="22"/>
      <c r="M291" s="116"/>
      <c r="N291" s="116"/>
      <c r="O291" s="116"/>
      <c r="P291" s="116"/>
      <c r="Q291" s="116">
        <f t="shared" ref="Q291:AP291" si="281">H282</f>
        <v>0</v>
      </c>
      <c r="R291" s="116">
        <f t="shared" si="281"/>
        <v>0</v>
      </c>
      <c r="S291" s="125">
        <f t="shared" si="281"/>
        <v>12010</v>
      </c>
      <c r="T291" s="116">
        <f t="shared" si="281"/>
        <v>58305</v>
      </c>
      <c r="U291" s="116">
        <f t="shared" si="281"/>
        <v>168996.6</v>
      </c>
      <c r="V291" s="116">
        <f t="shared" si="281"/>
        <v>214995.6</v>
      </c>
      <c r="W291" s="116">
        <f t="shared" si="281"/>
        <v>161996.6</v>
      </c>
      <c r="X291" s="116">
        <f t="shared" si="281"/>
        <v>284994.2</v>
      </c>
      <c r="Y291" s="116">
        <f t="shared" si="281"/>
        <v>400991.80000000005</v>
      </c>
      <c r="Z291" s="116">
        <f t="shared" si="281"/>
        <v>579988</v>
      </c>
      <c r="AA291" s="116">
        <f t="shared" si="281"/>
        <v>683985.8</v>
      </c>
      <c r="AB291" s="116">
        <f t="shared" si="281"/>
        <v>968980</v>
      </c>
      <c r="AC291" s="116">
        <f t="shared" si="281"/>
        <v>1246974.2000000002</v>
      </c>
      <c r="AD291" s="116">
        <f t="shared" si="281"/>
        <v>1519968.6</v>
      </c>
      <c r="AE291" s="125">
        <f t="shared" si="281"/>
        <v>1780963.2000000002</v>
      </c>
      <c r="AF291" s="116">
        <f t="shared" si="281"/>
        <v>2034957.8</v>
      </c>
      <c r="AG291" s="116">
        <f t="shared" si="281"/>
        <v>2278952.7999999998</v>
      </c>
      <c r="AH291" s="116">
        <f t="shared" si="281"/>
        <v>2505948.2000000002</v>
      </c>
      <c r="AI291" s="116">
        <f t="shared" si="281"/>
        <v>2720943.8</v>
      </c>
      <c r="AJ291" s="116">
        <f t="shared" si="281"/>
        <v>2923939.6</v>
      </c>
      <c r="AK291" s="116">
        <f t="shared" si="281"/>
        <v>3107935.6</v>
      </c>
      <c r="AL291" s="116">
        <f t="shared" si="281"/>
        <v>3281932</v>
      </c>
      <c r="AM291" s="116">
        <f t="shared" si="281"/>
        <v>3445928.8</v>
      </c>
      <c r="AN291" s="116">
        <f t="shared" si="281"/>
        <v>3600925.4000000004</v>
      </c>
      <c r="AO291" s="116">
        <f t="shared" si="281"/>
        <v>3745922.4000000004</v>
      </c>
      <c r="AP291" s="116">
        <f t="shared" si="281"/>
        <v>3880919.8</v>
      </c>
      <c r="AQ291" s="31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31"/>
      <c r="BD291" s="31"/>
      <c r="BE291" s="22"/>
      <c r="BF291" s="22"/>
      <c r="BG291" s="22"/>
      <c r="BH291" s="31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</row>
    <row r="292" spans="1:79" ht="14.25" customHeight="1" outlineLevel="1" x14ac:dyDescent="0.25">
      <c r="A292" s="22"/>
      <c r="B292" s="22" t="s">
        <v>238</v>
      </c>
      <c r="C292" s="164">
        <v>2200</v>
      </c>
      <c r="D292" s="131"/>
      <c r="E292" s="22"/>
      <c r="F292" s="165" t="s">
        <v>289</v>
      </c>
      <c r="G292" s="82"/>
      <c r="H292" s="82"/>
      <c r="I292" s="82"/>
      <c r="J292" s="82"/>
      <c r="K292" s="157">
        <f t="shared" ref="K292:AP292" si="282">J285+K286+J284</f>
        <v>28331.416666666664</v>
      </c>
      <c r="L292" s="157">
        <f t="shared" si="282"/>
        <v>60615.625</v>
      </c>
      <c r="M292" s="157">
        <f t="shared" si="282"/>
        <v>121108.29166666666</v>
      </c>
      <c r="N292" s="157">
        <f t="shared" si="282"/>
        <v>141108.29166666666</v>
      </c>
      <c r="O292" s="157">
        <f t="shared" si="282"/>
        <v>118108.29166666666</v>
      </c>
      <c r="P292" s="157">
        <f t="shared" si="282"/>
        <v>171508.29166666666</v>
      </c>
      <c r="Q292" s="157">
        <f t="shared" si="282"/>
        <v>221908.29166666666</v>
      </c>
      <c r="R292" s="157">
        <f t="shared" si="282"/>
        <v>299708.29166666663</v>
      </c>
      <c r="S292" s="158">
        <f t="shared" si="282"/>
        <v>350575.58333333331</v>
      </c>
      <c r="T292" s="157">
        <f t="shared" si="282"/>
        <v>480042.875</v>
      </c>
      <c r="U292" s="157">
        <f t="shared" si="282"/>
        <v>600842.875</v>
      </c>
      <c r="V292" s="157">
        <f t="shared" si="282"/>
        <v>725110.16666666674</v>
      </c>
      <c r="W292" s="157">
        <f t="shared" si="282"/>
        <v>838510.16666666674</v>
      </c>
      <c r="X292" s="157">
        <f t="shared" si="282"/>
        <v>948910.16666666663</v>
      </c>
      <c r="Y292" s="157">
        <f t="shared" si="282"/>
        <v>1060577.4583333335</v>
      </c>
      <c r="Z292" s="157">
        <f t="shared" si="282"/>
        <v>1159177.4583333335</v>
      </c>
      <c r="AA292" s="157">
        <f t="shared" si="282"/>
        <v>1258244.75</v>
      </c>
      <c r="AB292" s="157">
        <f t="shared" si="282"/>
        <v>1346444.75</v>
      </c>
      <c r="AC292" s="157">
        <f t="shared" si="282"/>
        <v>1426444.75</v>
      </c>
      <c r="AD292" s="157">
        <f t="shared" si="282"/>
        <v>1502044.75</v>
      </c>
      <c r="AE292" s="158">
        <f t="shared" si="282"/>
        <v>1586124.9583333335</v>
      </c>
      <c r="AF292" s="157">
        <f t="shared" si="282"/>
        <v>1653524.9583333335</v>
      </c>
      <c r="AG292" s="157">
        <f t="shared" si="282"/>
        <v>1716524.9583333335</v>
      </c>
      <c r="AH292" s="157">
        <f t="shared" si="282"/>
        <v>1775124.9583333335</v>
      </c>
      <c r="AI292" s="157">
        <f t="shared" si="282"/>
        <v>1835592.25</v>
      </c>
      <c r="AJ292" s="157">
        <f t="shared" si="282"/>
        <v>1885992.25</v>
      </c>
      <c r="AK292" s="157">
        <f t="shared" si="282"/>
        <v>1934192.25</v>
      </c>
      <c r="AL292" s="157">
        <f t="shared" si="282"/>
        <v>1979392.25</v>
      </c>
      <c r="AM292" s="157">
        <f t="shared" si="282"/>
        <v>2022392.25</v>
      </c>
      <c r="AN292" s="157">
        <f t="shared" si="282"/>
        <v>2060192.25</v>
      </c>
      <c r="AO292" s="157">
        <f t="shared" si="282"/>
        <v>2101459.541666667</v>
      </c>
      <c r="AP292" s="157">
        <f t="shared" si="282"/>
        <v>2134059.541666667</v>
      </c>
      <c r="AQ292" s="31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31"/>
      <c r="BD292" s="31"/>
      <c r="BE292" s="22"/>
      <c r="BF292" s="22"/>
      <c r="BG292" s="22"/>
      <c r="BH292" s="31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</row>
    <row r="293" spans="1:79" ht="14.25" customHeight="1" outlineLevel="1" x14ac:dyDescent="0.25">
      <c r="A293" s="46"/>
      <c r="B293" s="22" t="s">
        <v>239</v>
      </c>
      <c r="C293" s="162">
        <v>1</v>
      </c>
      <c r="D293" s="22" t="s">
        <v>284</v>
      </c>
      <c r="E293" s="22"/>
      <c r="F293" s="139" t="s">
        <v>290</v>
      </c>
      <c r="G293" s="139"/>
      <c r="H293" s="139"/>
      <c r="I293" s="139"/>
      <c r="J293" s="139"/>
      <c r="K293" s="140">
        <f t="shared" ref="K293:AP293" si="283">K291-K292</f>
        <v>-28331.416666666664</v>
      </c>
      <c r="L293" s="140">
        <f t="shared" si="283"/>
        <v>-60615.625</v>
      </c>
      <c r="M293" s="140">
        <f t="shared" si="283"/>
        <v>-121108.29166666666</v>
      </c>
      <c r="N293" s="140">
        <f t="shared" si="283"/>
        <v>-141108.29166666666</v>
      </c>
      <c r="O293" s="140">
        <f t="shared" si="283"/>
        <v>-118108.29166666666</v>
      </c>
      <c r="P293" s="140">
        <f t="shared" si="283"/>
        <v>-171508.29166666666</v>
      </c>
      <c r="Q293" s="140">
        <f t="shared" si="283"/>
        <v>-221908.29166666666</v>
      </c>
      <c r="R293" s="140">
        <f t="shared" si="283"/>
        <v>-299708.29166666663</v>
      </c>
      <c r="S293" s="141">
        <f t="shared" si="283"/>
        <v>-338565.58333333331</v>
      </c>
      <c r="T293" s="140">
        <f t="shared" si="283"/>
        <v>-421737.875</v>
      </c>
      <c r="U293" s="140">
        <f t="shared" si="283"/>
        <v>-431846.27500000002</v>
      </c>
      <c r="V293" s="140">
        <f t="shared" si="283"/>
        <v>-510114.56666666677</v>
      </c>
      <c r="W293" s="140">
        <f t="shared" si="283"/>
        <v>-676513.56666666677</v>
      </c>
      <c r="X293" s="140">
        <f t="shared" si="283"/>
        <v>-663915.96666666656</v>
      </c>
      <c r="Y293" s="140">
        <f t="shared" si="283"/>
        <v>-659585.65833333344</v>
      </c>
      <c r="Z293" s="140">
        <f t="shared" si="283"/>
        <v>-579189.45833333349</v>
      </c>
      <c r="AA293" s="140">
        <f t="shared" si="283"/>
        <v>-574258.94999999995</v>
      </c>
      <c r="AB293" s="140">
        <f t="shared" si="283"/>
        <v>-377464.75</v>
      </c>
      <c r="AC293" s="140">
        <f t="shared" si="283"/>
        <v>-179470.54999999981</v>
      </c>
      <c r="AD293" s="140">
        <f t="shared" si="283"/>
        <v>17923.850000000093</v>
      </c>
      <c r="AE293" s="141">
        <f t="shared" si="283"/>
        <v>194838.2416666667</v>
      </c>
      <c r="AF293" s="140">
        <f t="shared" si="283"/>
        <v>381432.84166666656</v>
      </c>
      <c r="AG293" s="140">
        <f t="shared" si="283"/>
        <v>562427.84166666633</v>
      </c>
      <c r="AH293" s="140">
        <f t="shared" si="283"/>
        <v>730823.2416666667</v>
      </c>
      <c r="AI293" s="140">
        <f t="shared" si="283"/>
        <v>885351.54999999981</v>
      </c>
      <c r="AJ293" s="140">
        <f t="shared" si="283"/>
        <v>1037947.3500000001</v>
      </c>
      <c r="AK293" s="140">
        <f t="shared" si="283"/>
        <v>1173743.3500000001</v>
      </c>
      <c r="AL293" s="140">
        <f t="shared" si="283"/>
        <v>1302539.75</v>
      </c>
      <c r="AM293" s="140">
        <f t="shared" si="283"/>
        <v>1423536.5499999998</v>
      </c>
      <c r="AN293" s="140">
        <f t="shared" si="283"/>
        <v>1540733.1500000004</v>
      </c>
      <c r="AO293" s="140">
        <f t="shared" si="283"/>
        <v>1644462.8583333334</v>
      </c>
      <c r="AP293" s="140">
        <f t="shared" si="283"/>
        <v>1746860.2583333328</v>
      </c>
      <c r="AQ293" s="29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29"/>
      <c r="BD293" s="29"/>
      <c r="BE293" s="46"/>
      <c r="BF293" s="46"/>
      <c r="BG293" s="46"/>
      <c r="BH293" s="29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</row>
    <row r="294" spans="1:79" ht="14.25" customHeight="1" outlineLevel="1" x14ac:dyDescent="0.25">
      <c r="A294" s="22"/>
      <c r="B294" s="46" t="s">
        <v>83</v>
      </c>
      <c r="C294" s="22"/>
      <c r="D294" s="22"/>
      <c r="E294" s="22"/>
      <c r="F294" s="82"/>
      <c r="G294" s="82"/>
      <c r="H294" s="82"/>
      <c r="I294" s="82"/>
      <c r="J294" s="82"/>
      <c r="K294" s="82"/>
      <c r="L294" s="22"/>
      <c r="M294" s="22"/>
      <c r="N294" s="22"/>
      <c r="O294" s="22"/>
      <c r="P294" s="22"/>
      <c r="Q294" s="22"/>
      <c r="R294" s="22"/>
      <c r="S294" s="31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31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31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31"/>
      <c r="BD294" s="31"/>
      <c r="BE294" s="22"/>
      <c r="BF294" s="22"/>
      <c r="BG294" s="22"/>
      <c r="BH294" s="31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</row>
    <row r="295" spans="1:79" ht="14.25" customHeight="1" outlineLevel="1" x14ac:dyDescent="0.25">
      <c r="A295" s="22"/>
      <c r="B295" s="22" t="s">
        <v>291</v>
      </c>
      <c r="C295" s="162">
        <v>100</v>
      </c>
      <c r="D295" s="22"/>
      <c r="E295" s="22"/>
      <c r="F295" s="82"/>
      <c r="G295" s="82"/>
      <c r="H295" s="82"/>
      <c r="I295" s="82"/>
      <c r="J295" s="82"/>
      <c r="K295" s="82"/>
      <c r="L295" s="22"/>
      <c r="M295" s="22"/>
      <c r="N295" s="22"/>
      <c r="O295" s="22"/>
      <c r="P295" s="22"/>
      <c r="Q295" s="22"/>
      <c r="R295" s="22"/>
      <c r="S295" s="31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31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31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31"/>
      <c r="BD295" s="31"/>
      <c r="BE295" s="22"/>
      <c r="BF295" s="22"/>
      <c r="BG295" s="22"/>
      <c r="BH295" s="31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</row>
    <row r="296" spans="1:79" ht="14.25" customHeight="1" outlineLevel="1" x14ac:dyDescent="0.25">
      <c r="A296" s="22"/>
      <c r="B296" s="22" t="s">
        <v>292</v>
      </c>
      <c r="C296" s="162">
        <v>6</v>
      </c>
      <c r="D296" s="22"/>
      <c r="E296" s="22"/>
      <c r="F296" s="139" t="s">
        <v>241</v>
      </c>
      <c r="G296" s="82"/>
      <c r="H296" s="82"/>
      <c r="I296" s="82"/>
      <c r="J296" s="82"/>
      <c r="K296" s="82"/>
      <c r="L296" s="22"/>
      <c r="M296" s="22"/>
      <c r="N296" s="22"/>
      <c r="O296" s="22"/>
      <c r="P296" s="22"/>
      <c r="Q296" s="22"/>
      <c r="R296" s="22"/>
      <c r="S296" s="31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31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31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31"/>
      <c r="BD296" s="31"/>
      <c r="BE296" s="22"/>
      <c r="BF296" s="22"/>
      <c r="BG296" s="22"/>
      <c r="BH296" s="31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</row>
    <row r="297" spans="1:79" ht="14.25" customHeight="1" outlineLevel="1" x14ac:dyDescent="0.25">
      <c r="A297" s="22"/>
      <c r="B297" s="22"/>
      <c r="C297" s="22"/>
      <c r="D297" s="22"/>
      <c r="E297" s="22"/>
      <c r="F297" s="82" t="s">
        <v>293</v>
      </c>
      <c r="G297" s="82"/>
      <c r="H297" s="82"/>
      <c r="I297" s="82"/>
      <c r="J297" s="116">
        <f t="shared" ref="J297:AP297" si="284">J282</f>
        <v>12010</v>
      </c>
      <c r="K297" s="116">
        <f t="shared" si="284"/>
        <v>58305</v>
      </c>
      <c r="L297" s="116">
        <f t="shared" si="284"/>
        <v>168996.6</v>
      </c>
      <c r="M297" s="116">
        <f t="shared" si="284"/>
        <v>214995.6</v>
      </c>
      <c r="N297" s="116">
        <f t="shared" si="284"/>
        <v>161996.6</v>
      </c>
      <c r="O297" s="116">
        <f t="shared" si="284"/>
        <v>284994.2</v>
      </c>
      <c r="P297" s="116">
        <f t="shared" si="284"/>
        <v>400991.80000000005</v>
      </c>
      <c r="Q297" s="116">
        <f t="shared" si="284"/>
        <v>579988</v>
      </c>
      <c r="R297" s="116">
        <f t="shared" si="284"/>
        <v>683985.8</v>
      </c>
      <c r="S297" s="125">
        <f t="shared" si="284"/>
        <v>968980</v>
      </c>
      <c r="T297" s="116">
        <f t="shared" si="284"/>
        <v>1246974.2000000002</v>
      </c>
      <c r="U297" s="116">
        <f t="shared" si="284"/>
        <v>1519968.6</v>
      </c>
      <c r="V297" s="116">
        <f t="shared" si="284"/>
        <v>1780963.2000000002</v>
      </c>
      <c r="W297" s="116">
        <f t="shared" si="284"/>
        <v>2034957.8</v>
      </c>
      <c r="X297" s="116">
        <f t="shared" si="284"/>
        <v>2278952.7999999998</v>
      </c>
      <c r="Y297" s="116">
        <f t="shared" si="284"/>
        <v>2505948.2000000002</v>
      </c>
      <c r="Z297" s="116">
        <f t="shared" si="284"/>
        <v>2720943.8</v>
      </c>
      <c r="AA297" s="116">
        <f t="shared" si="284"/>
        <v>2923939.6</v>
      </c>
      <c r="AB297" s="116">
        <f t="shared" si="284"/>
        <v>3107935.6</v>
      </c>
      <c r="AC297" s="116">
        <f t="shared" si="284"/>
        <v>3281932</v>
      </c>
      <c r="AD297" s="116">
        <f t="shared" si="284"/>
        <v>3445928.8</v>
      </c>
      <c r="AE297" s="125">
        <f t="shared" si="284"/>
        <v>3600925.4000000004</v>
      </c>
      <c r="AF297" s="116">
        <f t="shared" si="284"/>
        <v>3745922.4000000004</v>
      </c>
      <c r="AG297" s="116">
        <f t="shared" si="284"/>
        <v>3880919.8</v>
      </c>
      <c r="AH297" s="116">
        <f t="shared" si="284"/>
        <v>4006917</v>
      </c>
      <c r="AI297" s="116">
        <f t="shared" si="284"/>
        <v>4122914.6</v>
      </c>
      <c r="AJ297" s="116">
        <f t="shared" si="284"/>
        <v>4233912.4000000004</v>
      </c>
      <c r="AK297" s="116">
        <f t="shared" si="284"/>
        <v>4337910.2</v>
      </c>
      <c r="AL297" s="116">
        <f t="shared" si="284"/>
        <v>4436908.2</v>
      </c>
      <c r="AM297" s="116">
        <f t="shared" si="284"/>
        <v>4523906.4000000004</v>
      </c>
      <c r="AN297" s="116">
        <f t="shared" si="284"/>
        <v>4605904.8000000007</v>
      </c>
      <c r="AO297" s="116">
        <f t="shared" si="284"/>
        <v>4680903.2</v>
      </c>
      <c r="AP297" s="116">
        <f t="shared" si="284"/>
        <v>4755901.5999999996</v>
      </c>
      <c r="AQ297" s="31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31"/>
      <c r="BD297" s="31"/>
      <c r="BE297" s="22"/>
      <c r="BF297" s="22"/>
      <c r="BG297" s="22"/>
      <c r="BH297" s="31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</row>
    <row r="298" spans="1:79" ht="14.25" customHeight="1" outlineLevel="1" x14ac:dyDescent="0.25">
      <c r="A298" s="22"/>
      <c r="B298" s="22"/>
      <c r="C298" s="22"/>
      <c r="D298" s="22"/>
      <c r="E298" s="22"/>
      <c r="F298" s="82" t="s">
        <v>294</v>
      </c>
      <c r="G298" s="82"/>
      <c r="H298" s="82"/>
      <c r="I298" s="82"/>
      <c r="J298" s="116">
        <f t="shared" ref="J298:AP298" si="285">J285+J284</f>
        <v>5044</v>
      </c>
      <c r="K298" s="116">
        <f t="shared" si="285"/>
        <v>24448</v>
      </c>
      <c r="L298" s="116">
        <f t="shared" si="285"/>
        <v>73400</v>
      </c>
      <c r="M298" s="116">
        <f t="shared" si="285"/>
        <v>93400</v>
      </c>
      <c r="N298" s="116">
        <f t="shared" si="285"/>
        <v>70400</v>
      </c>
      <c r="O298" s="116">
        <f t="shared" si="285"/>
        <v>123800</v>
      </c>
      <c r="P298" s="116">
        <f t="shared" si="285"/>
        <v>174200</v>
      </c>
      <c r="Q298" s="116">
        <f t="shared" si="285"/>
        <v>252000</v>
      </c>
      <c r="R298" s="116">
        <f t="shared" si="285"/>
        <v>297200</v>
      </c>
      <c r="S298" s="125">
        <f t="shared" si="285"/>
        <v>421000</v>
      </c>
      <c r="T298" s="116">
        <f t="shared" si="285"/>
        <v>541800</v>
      </c>
      <c r="U298" s="116">
        <f t="shared" si="285"/>
        <v>660400</v>
      </c>
      <c r="V298" s="116">
        <f t="shared" si="285"/>
        <v>773800</v>
      </c>
      <c r="W298" s="116">
        <f t="shared" si="285"/>
        <v>884200</v>
      </c>
      <c r="X298" s="116">
        <f t="shared" si="285"/>
        <v>990200</v>
      </c>
      <c r="Y298" s="116">
        <f t="shared" si="285"/>
        <v>1088800</v>
      </c>
      <c r="Z298" s="116">
        <f t="shared" si="285"/>
        <v>1182200</v>
      </c>
      <c r="AA298" s="116">
        <f t="shared" si="285"/>
        <v>1270400</v>
      </c>
      <c r="AB298" s="116">
        <f t="shared" si="285"/>
        <v>1350400</v>
      </c>
      <c r="AC298" s="116">
        <f t="shared" si="285"/>
        <v>1426000</v>
      </c>
      <c r="AD298" s="116">
        <f t="shared" si="285"/>
        <v>1497200</v>
      </c>
      <c r="AE298" s="125">
        <f t="shared" si="285"/>
        <v>1564600</v>
      </c>
      <c r="AF298" s="116">
        <f t="shared" si="285"/>
        <v>1627600</v>
      </c>
      <c r="AG298" s="116">
        <f t="shared" si="285"/>
        <v>1686200</v>
      </c>
      <c r="AH298" s="116">
        <f t="shared" si="285"/>
        <v>1741000</v>
      </c>
      <c r="AI298" s="116">
        <f t="shared" si="285"/>
        <v>1791400</v>
      </c>
      <c r="AJ298" s="116">
        <f t="shared" si="285"/>
        <v>1839600</v>
      </c>
      <c r="AK298" s="116">
        <f t="shared" si="285"/>
        <v>1884800</v>
      </c>
      <c r="AL298" s="116">
        <f t="shared" si="285"/>
        <v>1927800</v>
      </c>
      <c r="AM298" s="116">
        <f t="shared" si="285"/>
        <v>1965600</v>
      </c>
      <c r="AN298" s="116">
        <f t="shared" si="285"/>
        <v>2001200</v>
      </c>
      <c r="AO298" s="116">
        <f t="shared" si="285"/>
        <v>2033800</v>
      </c>
      <c r="AP298" s="116">
        <f t="shared" si="285"/>
        <v>2066400</v>
      </c>
      <c r="AQ298" s="31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31"/>
      <c r="BD298" s="31"/>
      <c r="BE298" s="22"/>
      <c r="BF298" s="22"/>
      <c r="BG298" s="22"/>
      <c r="BH298" s="31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</row>
    <row r="299" spans="1:79" ht="14.25" customHeight="1" outlineLevel="1" x14ac:dyDescent="0.25">
      <c r="A299" s="22"/>
      <c r="B299" s="22"/>
      <c r="C299" s="22"/>
      <c r="D299" s="22"/>
      <c r="E299" s="22"/>
      <c r="F299" s="82"/>
      <c r="G299" s="82"/>
      <c r="H299" s="82"/>
      <c r="I299" s="82"/>
      <c r="J299" s="116"/>
      <c r="K299" s="116"/>
      <c r="L299" s="116"/>
      <c r="M299" s="116"/>
      <c r="N299" s="116"/>
      <c r="O299" s="116"/>
      <c r="P299" s="116"/>
      <c r="Q299" s="116"/>
      <c r="R299" s="116"/>
      <c r="S299" s="125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25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31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31"/>
      <c r="BD299" s="31"/>
      <c r="BE299" s="22"/>
      <c r="BF299" s="22"/>
      <c r="BG299" s="22"/>
      <c r="BH299" s="31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</row>
    <row r="300" spans="1:79" ht="14.25" customHeight="1" outlineLevel="1" x14ac:dyDescent="0.25">
      <c r="A300" s="142"/>
      <c r="B300" s="142"/>
      <c r="C300" s="142"/>
      <c r="D300" s="142"/>
      <c r="E300" s="142"/>
      <c r="F300" s="148" t="s">
        <v>244</v>
      </c>
      <c r="G300" s="143"/>
      <c r="H300" s="143"/>
      <c r="I300" s="143"/>
      <c r="J300" s="144"/>
      <c r="K300" s="144"/>
      <c r="L300" s="144"/>
      <c r="M300" s="144"/>
      <c r="N300" s="144"/>
      <c r="O300" s="144"/>
      <c r="P300" s="144"/>
      <c r="Q300" s="144"/>
      <c r="R300" s="144"/>
      <c r="S300" s="145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5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6"/>
      <c r="AR300" s="142"/>
      <c r="AS300" s="142"/>
      <c r="AT300" s="142"/>
      <c r="AU300" s="142"/>
      <c r="AV300" s="142"/>
      <c r="AW300" s="142"/>
      <c r="AX300" s="142"/>
      <c r="AY300" s="142"/>
      <c r="AZ300" s="142"/>
      <c r="BA300" s="142"/>
      <c r="BB300" s="142"/>
      <c r="BC300" s="146"/>
      <c r="BD300" s="146"/>
      <c r="BE300" s="142"/>
      <c r="BF300" s="142"/>
      <c r="BG300" s="142"/>
      <c r="BH300" s="146"/>
      <c r="BI300" s="142"/>
      <c r="BJ300" s="142"/>
      <c r="BK300" s="142"/>
      <c r="BL300" s="142"/>
      <c r="BM300" s="142"/>
      <c r="BN300" s="142"/>
      <c r="BO300" s="142"/>
      <c r="BP300" s="142"/>
      <c r="BQ300" s="142"/>
      <c r="BR300" s="142"/>
      <c r="BS300" s="142"/>
      <c r="BT300" s="142"/>
      <c r="BU300" s="142"/>
      <c r="BV300" s="142"/>
      <c r="BW300" s="142"/>
      <c r="BX300" s="142"/>
      <c r="BY300" s="142"/>
      <c r="BZ300" s="142"/>
      <c r="CA300" s="142"/>
    </row>
    <row r="301" spans="1:79" ht="14.25" customHeight="1" outlineLevel="1" x14ac:dyDescent="0.25">
      <c r="A301" s="142"/>
      <c r="B301" s="142"/>
      <c r="C301" s="142"/>
      <c r="D301" s="142"/>
      <c r="E301" s="142"/>
      <c r="F301" s="143" t="s">
        <v>295</v>
      </c>
      <c r="G301" s="143"/>
      <c r="H301" s="143"/>
      <c r="I301" s="143"/>
      <c r="J301" s="144">
        <f>SUM(G297:J297)</f>
        <v>12010</v>
      </c>
      <c r="K301" s="144">
        <f>SUM(G297:K297)</f>
        <v>70315</v>
      </c>
      <c r="L301" s="144">
        <f>SUM(G297:L297)</f>
        <v>239311.6</v>
      </c>
      <c r="M301" s="144">
        <f>SUM(G297:M297)</f>
        <v>454307.2</v>
      </c>
      <c r="N301" s="144">
        <f>SUM(G297:N297)</f>
        <v>616303.80000000005</v>
      </c>
      <c r="O301" s="144">
        <f t="shared" ref="O301:AP301" si="286">SUM(G297:O297)</f>
        <v>901298</v>
      </c>
      <c r="P301" s="144">
        <f t="shared" si="286"/>
        <v>1302289.8</v>
      </c>
      <c r="Q301" s="144">
        <f t="shared" si="286"/>
        <v>1882277.8</v>
      </c>
      <c r="R301" s="144">
        <f t="shared" si="286"/>
        <v>2566263.6</v>
      </c>
      <c r="S301" s="145">
        <f t="shared" si="286"/>
        <v>3523233.6</v>
      </c>
      <c r="T301" s="144">
        <f t="shared" si="286"/>
        <v>4711902.8000000007</v>
      </c>
      <c r="U301" s="144">
        <f t="shared" si="286"/>
        <v>6062874.8000000007</v>
      </c>
      <c r="V301" s="144">
        <f t="shared" si="286"/>
        <v>7628842.4000000013</v>
      </c>
      <c r="W301" s="144">
        <f t="shared" si="286"/>
        <v>9501803.5999999996</v>
      </c>
      <c r="X301" s="144">
        <f t="shared" si="286"/>
        <v>11495762.199999999</v>
      </c>
      <c r="Y301" s="144">
        <f t="shared" si="286"/>
        <v>13600718.599999998</v>
      </c>
      <c r="Z301" s="144">
        <f t="shared" si="286"/>
        <v>15741674.399999999</v>
      </c>
      <c r="AA301" s="144">
        <f t="shared" si="286"/>
        <v>17981628.200000003</v>
      </c>
      <c r="AB301" s="144">
        <f t="shared" si="286"/>
        <v>20120583.800000004</v>
      </c>
      <c r="AC301" s="144">
        <f t="shared" si="286"/>
        <v>22155541.600000001</v>
      </c>
      <c r="AD301" s="144">
        <f t="shared" si="286"/>
        <v>24081501.800000001</v>
      </c>
      <c r="AE301" s="145">
        <f t="shared" si="286"/>
        <v>25901464</v>
      </c>
      <c r="AF301" s="144">
        <f t="shared" si="286"/>
        <v>27612428.600000001</v>
      </c>
      <c r="AG301" s="144">
        <f t="shared" si="286"/>
        <v>29214395.599999998</v>
      </c>
      <c r="AH301" s="144">
        <f t="shared" si="286"/>
        <v>30715364.400000002</v>
      </c>
      <c r="AI301" s="144">
        <f t="shared" si="286"/>
        <v>32117335.200000003</v>
      </c>
      <c r="AJ301" s="144">
        <f t="shared" si="286"/>
        <v>33427308</v>
      </c>
      <c r="AK301" s="144">
        <f t="shared" si="286"/>
        <v>34657282.600000001</v>
      </c>
      <c r="AL301" s="144">
        <f t="shared" si="286"/>
        <v>35812258.800000004</v>
      </c>
      <c r="AM301" s="144">
        <f t="shared" si="286"/>
        <v>36890236.399999999</v>
      </c>
      <c r="AN301" s="144">
        <f t="shared" si="286"/>
        <v>37895215.799999997</v>
      </c>
      <c r="AO301" s="144">
        <f t="shared" si="286"/>
        <v>38830196.600000009</v>
      </c>
      <c r="AP301" s="144">
        <f t="shared" si="286"/>
        <v>39705178.399999999</v>
      </c>
      <c r="AQ301" s="146"/>
      <c r="AR301" s="142"/>
      <c r="AS301" s="142"/>
      <c r="AT301" s="142"/>
      <c r="AU301" s="142"/>
      <c r="AV301" s="142"/>
      <c r="AW301" s="142"/>
      <c r="AX301" s="142"/>
      <c r="AY301" s="142"/>
      <c r="AZ301" s="142"/>
      <c r="BA301" s="142"/>
      <c r="BB301" s="142"/>
      <c r="BC301" s="146"/>
      <c r="BD301" s="146"/>
      <c r="BE301" s="142"/>
      <c r="BF301" s="142"/>
      <c r="BG301" s="142"/>
      <c r="BH301" s="146"/>
      <c r="BI301" s="142"/>
      <c r="BJ301" s="142"/>
      <c r="BK301" s="142"/>
      <c r="BL301" s="142"/>
      <c r="BM301" s="142"/>
      <c r="BN301" s="142"/>
      <c r="BO301" s="142"/>
      <c r="BP301" s="142"/>
      <c r="BQ301" s="142"/>
      <c r="BR301" s="142"/>
      <c r="BS301" s="142"/>
      <c r="BT301" s="142"/>
      <c r="BU301" s="142"/>
      <c r="BV301" s="142"/>
      <c r="BW301" s="142"/>
      <c r="BX301" s="142"/>
      <c r="BY301" s="142"/>
      <c r="BZ301" s="142"/>
      <c r="CA301" s="142"/>
    </row>
    <row r="302" spans="1:79" ht="14.25" customHeight="1" outlineLevel="1" x14ac:dyDescent="0.25">
      <c r="A302" s="142"/>
      <c r="B302" s="142"/>
      <c r="C302" s="142"/>
      <c r="D302" s="142"/>
      <c r="E302" s="142"/>
      <c r="F302" s="143" t="s">
        <v>296</v>
      </c>
      <c r="G302" s="143"/>
      <c r="H302" s="143"/>
      <c r="I302" s="143"/>
      <c r="J302" s="144">
        <f t="shared" ref="J302:AP302" si="287">J298</f>
        <v>5044</v>
      </c>
      <c r="K302" s="144">
        <f t="shared" si="287"/>
        <v>24448</v>
      </c>
      <c r="L302" s="144">
        <f t="shared" si="287"/>
        <v>73400</v>
      </c>
      <c r="M302" s="144">
        <f t="shared" si="287"/>
        <v>93400</v>
      </c>
      <c r="N302" s="144">
        <f t="shared" si="287"/>
        <v>70400</v>
      </c>
      <c r="O302" s="144">
        <f t="shared" si="287"/>
        <v>123800</v>
      </c>
      <c r="P302" s="144">
        <f t="shared" si="287"/>
        <v>174200</v>
      </c>
      <c r="Q302" s="144">
        <f t="shared" si="287"/>
        <v>252000</v>
      </c>
      <c r="R302" s="144">
        <f t="shared" si="287"/>
        <v>297200</v>
      </c>
      <c r="S302" s="145">
        <f t="shared" si="287"/>
        <v>421000</v>
      </c>
      <c r="T302" s="144">
        <f t="shared" si="287"/>
        <v>541800</v>
      </c>
      <c r="U302" s="144">
        <f t="shared" si="287"/>
        <v>660400</v>
      </c>
      <c r="V302" s="144">
        <f t="shared" si="287"/>
        <v>773800</v>
      </c>
      <c r="W302" s="144">
        <f t="shared" si="287"/>
        <v>884200</v>
      </c>
      <c r="X302" s="144">
        <f t="shared" si="287"/>
        <v>990200</v>
      </c>
      <c r="Y302" s="144">
        <f t="shared" si="287"/>
        <v>1088800</v>
      </c>
      <c r="Z302" s="144">
        <f t="shared" si="287"/>
        <v>1182200</v>
      </c>
      <c r="AA302" s="144">
        <f t="shared" si="287"/>
        <v>1270400</v>
      </c>
      <c r="AB302" s="144">
        <f t="shared" si="287"/>
        <v>1350400</v>
      </c>
      <c r="AC302" s="144">
        <f t="shared" si="287"/>
        <v>1426000</v>
      </c>
      <c r="AD302" s="144">
        <f t="shared" si="287"/>
        <v>1497200</v>
      </c>
      <c r="AE302" s="145">
        <f t="shared" si="287"/>
        <v>1564600</v>
      </c>
      <c r="AF302" s="144">
        <f t="shared" si="287"/>
        <v>1627600</v>
      </c>
      <c r="AG302" s="144">
        <f t="shared" si="287"/>
        <v>1686200</v>
      </c>
      <c r="AH302" s="144">
        <f t="shared" si="287"/>
        <v>1741000</v>
      </c>
      <c r="AI302" s="144">
        <f t="shared" si="287"/>
        <v>1791400</v>
      </c>
      <c r="AJ302" s="144">
        <f t="shared" si="287"/>
        <v>1839600</v>
      </c>
      <c r="AK302" s="144">
        <f t="shared" si="287"/>
        <v>1884800</v>
      </c>
      <c r="AL302" s="144">
        <f t="shared" si="287"/>
        <v>1927800</v>
      </c>
      <c r="AM302" s="144">
        <f t="shared" si="287"/>
        <v>1965600</v>
      </c>
      <c r="AN302" s="144">
        <f t="shared" si="287"/>
        <v>2001200</v>
      </c>
      <c r="AO302" s="144">
        <f t="shared" si="287"/>
        <v>2033800</v>
      </c>
      <c r="AP302" s="144">
        <f t="shared" si="287"/>
        <v>2066400</v>
      </c>
      <c r="AQ302" s="146"/>
      <c r="AR302" s="142"/>
      <c r="AS302" s="142"/>
      <c r="AT302" s="142"/>
      <c r="AU302" s="142"/>
      <c r="AV302" s="142"/>
      <c r="AW302" s="142"/>
      <c r="AX302" s="142"/>
      <c r="AY302" s="142"/>
      <c r="AZ302" s="142"/>
      <c r="BA302" s="142"/>
      <c r="BB302" s="142"/>
      <c r="BC302" s="146"/>
      <c r="BD302" s="146"/>
      <c r="BE302" s="142"/>
      <c r="BF302" s="142"/>
      <c r="BG302" s="142"/>
      <c r="BH302" s="146"/>
      <c r="BI302" s="142"/>
      <c r="BJ302" s="142"/>
      <c r="BK302" s="142"/>
      <c r="BL302" s="142"/>
      <c r="BM302" s="142"/>
      <c r="BN302" s="142"/>
      <c r="BO302" s="142"/>
      <c r="BP302" s="142"/>
      <c r="BQ302" s="142"/>
      <c r="BR302" s="142"/>
      <c r="BS302" s="142"/>
      <c r="BT302" s="142"/>
      <c r="BU302" s="142"/>
      <c r="BV302" s="142"/>
      <c r="BW302" s="142"/>
      <c r="BX302" s="142"/>
      <c r="BY302" s="142"/>
      <c r="BZ302" s="142"/>
      <c r="CA302" s="142"/>
    </row>
    <row r="303" spans="1:79" ht="14.25" customHeight="1" outlineLevel="1" x14ac:dyDescent="0.25">
      <c r="A303" s="142"/>
      <c r="B303" s="142"/>
      <c r="C303" s="142"/>
      <c r="D303" s="142"/>
      <c r="E303" s="142"/>
      <c r="F303" s="143"/>
      <c r="G303" s="143"/>
      <c r="H303" s="143"/>
      <c r="I303" s="143"/>
      <c r="J303" s="144"/>
      <c r="K303" s="144"/>
      <c r="L303" s="144"/>
      <c r="M303" s="144"/>
      <c r="N303" s="144"/>
      <c r="O303" s="144"/>
      <c r="P303" s="144"/>
      <c r="Q303" s="144"/>
      <c r="R303" s="144"/>
      <c r="S303" s="145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5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6"/>
      <c r="AR303" s="142"/>
      <c r="AS303" s="142"/>
      <c r="AT303" s="142"/>
      <c r="AU303" s="142"/>
      <c r="AV303" s="142"/>
      <c r="AW303" s="142"/>
      <c r="AX303" s="142"/>
      <c r="AY303" s="142"/>
      <c r="AZ303" s="142"/>
      <c r="BA303" s="142"/>
      <c r="BB303" s="142"/>
      <c r="BC303" s="146"/>
      <c r="BD303" s="146"/>
      <c r="BE303" s="142"/>
      <c r="BF303" s="142"/>
      <c r="BG303" s="142"/>
      <c r="BH303" s="146"/>
      <c r="BI303" s="142"/>
      <c r="BJ303" s="142"/>
      <c r="BK303" s="142"/>
      <c r="BL303" s="142"/>
      <c r="BM303" s="142"/>
      <c r="BN303" s="142"/>
      <c r="BO303" s="142"/>
      <c r="BP303" s="142"/>
      <c r="BQ303" s="142"/>
      <c r="BR303" s="142"/>
      <c r="BS303" s="142"/>
      <c r="BT303" s="142"/>
      <c r="BU303" s="142"/>
      <c r="BV303" s="142"/>
      <c r="BW303" s="142"/>
      <c r="BX303" s="142"/>
      <c r="BY303" s="142"/>
      <c r="BZ303" s="142"/>
      <c r="CA303" s="142"/>
    </row>
    <row r="304" spans="1:79" ht="14.25" customHeight="1" outlineLevel="1" x14ac:dyDescent="0.25">
      <c r="A304" s="142"/>
      <c r="B304" s="142"/>
      <c r="C304" s="142"/>
      <c r="D304" s="142"/>
      <c r="E304" s="46"/>
      <c r="F304" s="139" t="s">
        <v>297</v>
      </c>
      <c r="G304" s="139"/>
      <c r="H304" s="139"/>
      <c r="I304" s="139"/>
      <c r="J304" s="140"/>
      <c r="K304" s="140"/>
      <c r="L304" s="140"/>
      <c r="M304" s="140"/>
      <c r="N304" s="140"/>
      <c r="O304" s="140"/>
      <c r="P304" s="140"/>
      <c r="Q304" s="140"/>
      <c r="R304" s="140"/>
      <c r="S304" s="141"/>
      <c r="T304" s="140"/>
      <c r="U304" s="140"/>
      <c r="V304" s="140"/>
      <c r="W304" s="140"/>
      <c r="X304" s="140"/>
      <c r="Y304" s="140"/>
      <c r="Z304" s="140"/>
      <c r="AA304" s="140"/>
      <c r="AB304" s="140"/>
      <c r="AC304" s="140"/>
      <c r="AD304" s="140"/>
      <c r="AE304" s="141"/>
      <c r="AF304" s="140"/>
      <c r="AG304" s="140"/>
      <c r="AH304" s="140"/>
      <c r="AI304" s="140"/>
      <c r="AJ304" s="140"/>
      <c r="AK304" s="140"/>
      <c r="AL304" s="140"/>
      <c r="AM304" s="140"/>
      <c r="AN304" s="140"/>
      <c r="AO304" s="140"/>
      <c r="AP304" s="140"/>
      <c r="AQ304" s="146"/>
      <c r="AR304" s="142"/>
      <c r="AS304" s="142"/>
      <c r="AT304" s="142"/>
      <c r="AU304" s="142"/>
      <c r="AV304" s="142"/>
      <c r="AW304" s="142"/>
      <c r="AX304" s="142"/>
      <c r="AY304" s="142"/>
      <c r="AZ304" s="142"/>
      <c r="BA304" s="142"/>
      <c r="BB304" s="142"/>
      <c r="BC304" s="146"/>
      <c r="BD304" s="146"/>
      <c r="BE304" s="142"/>
      <c r="BF304" s="142"/>
      <c r="BG304" s="142"/>
      <c r="BH304" s="146"/>
      <c r="BI304" s="142"/>
      <c r="BJ304" s="142"/>
      <c r="BK304" s="142"/>
      <c r="BL304" s="142"/>
      <c r="BM304" s="142"/>
      <c r="BN304" s="142"/>
      <c r="BO304" s="142"/>
      <c r="BP304" s="142"/>
      <c r="BQ304" s="142"/>
      <c r="BR304" s="142"/>
      <c r="BS304" s="142"/>
      <c r="BT304" s="142"/>
      <c r="BU304" s="142"/>
      <c r="BV304" s="142"/>
      <c r="BW304" s="142"/>
      <c r="BX304" s="142"/>
      <c r="BY304" s="142"/>
      <c r="BZ304" s="142"/>
      <c r="CA304" s="142"/>
    </row>
    <row r="305" spans="1:79" ht="14.25" customHeight="1" outlineLevel="1" x14ac:dyDescent="0.25">
      <c r="A305" s="142"/>
      <c r="B305" s="142"/>
      <c r="C305" s="142"/>
      <c r="D305" s="142"/>
      <c r="E305" s="22"/>
      <c r="F305" s="82" t="s">
        <v>298</v>
      </c>
      <c r="G305" s="82"/>
      <c r="H305" s="82"/>
      <c r="I305" s="82"/>
      <c r="J305" s="82"/>
      <c r="K305" s="80">
        <f t="shared" ref="K305:AP305" si="288">ROUNDUP(K275/$C295,0)</f>
        <v>0</v>
      </c>
      <c r="L305" s="80">
        <f t="shared" si="288"/>
        <v>1</v>
      </c>
      <c r="M305" s="80">
        <f t="shared" si="288"/>
        <v>1</v>
      </c>
      <c r="N305" s="80">
        <f t="shared" si="288"/>
        <v>1</v>
      </c>
      <c r="O305" s="80">
        <f t="shared" si="288"/>
        <v>1</v>
      </c>
      <c r="P305" s="80">
        <f t="shared" si="288"/>
        <v>1</v>
      </c>
      <c r="Q305" s="80">
        <f t="shared" si="288"/>
        <v>1</v>
      </c>
      <c r="R305" s="80">
        <f t="shared" si="288"/>
        <v>2</v>
      </c>
      <c r="S305" s="198">
        <f t="shared" si="288"/>
        <v>2</v>
      </c>
      <c r="T305" s="80">
        <f t="shared" si="288"/>
        <v>3</v>
      </c>
      <c r="U305" s="80">
        <f t="shared" si="288"/>
        <v>3</v>
      </c>
      <c r="V305" s="80">
        <f t="shared" si="288"/>
        <v>4</v>
      </c>
      <c r="W305" s="80">
        <f t="shared" si="288"/>
        <v>4</v>
      </c>
      <c r="X305" s="80">
        <f t="shared" si="288"/>
        <v>4</v>
      </c>
      <c r="Y305" s="80">
        <f t="shared" si="288"/>
        <v>5</v>
      </c>
      <c r="Z305" s="80">
        <f t="shared" si="288"/>
        <v>5</v>
      </c>
      <c r="AA305" s="80">
        <f t="shared" si="288"/>
        <v>6</v>
      </c>
      <c r="AB305" s="80">
        <f t="shared" si="288"/>
        <v>6</v>
      </c>
      <c r="AC305" s="80">
        <f t="shared" si="288"/>
        <v>6</v>
      </c>
      <c r="AD305" s="80">
        <f t="shared" si="288"/>
        <v>6</v>
      </c>
      <c r="AE305" s="198">
        <f t="shared" si="288"/>
        <v>7</v>
      </c>
      <c r="AF305" s="80">
        <f t="shared" si="288"/>
        <v>7</v>
      </c>
      <c r="AG305" s="80">
        <f t="shared" si="288"/>
        <v>7</v>
      </c>
      <c r="AH305" s="80">
        <f t="shared" si="288"/>
        <v>7</v>
      </c>
      <c r="AI305" s="80">
        <f t="shared" si="288"/>
        <v>8</v>
      </c>
      <c r="AJ305" s="80">
        <f t="shared" si="288"/>
        <v>8</v>
      </c>
      <c r="AK305" s="80">
        <f t="shared" si="288"/>
        <v>8</v>
      </c>
      <c r="AL305" s="80">
        <f t="shared" si="288"/>
        <v>8</v>
      </c>
      <c r="AM305" s="80">
        <f t="shared" si="288"/>
        <v>8</v>
      </c>
      <c r="AN305" s="80">
        <f t="shared" si="288"/>
        <v>8</v>
      </c>
      <c r="AO305" s="80">
        <f t="shared" si="288"/>
        <v>9</v>
      </c>
      <c r="AP305" s="80">
        <f t="shared" si="288"/>
        <v>9</v>
      </c>
      <c r="AQ305" s="146"/>
      <c r="AR305" s="142"/>
      <c r="AS305" s="142"/>
      <c r="AT305" s="142"/>
      <c r="AU305" s="142"/>
      <c r="AV305" s="142"/>
      <c r="AW305" s="142"/>
      <c r="AX305" s="142"/>
      <c r="AY305" s="142"/>
      <c r="AZ305" s="142"/>
      <c r="BA305" s="142"/>
      <c r="BB305" s="142"/>
      <c r="BC305" s="146"/>
      <c r="BD305" s="146"/>
      <c r="BE305" s="142"/>
      <c r="BF305" s="142"/>
      <c r="BG305" s="142"/>
      <c r="BH305" s="146"/>
      <c r="BI305" s="142"/>
      <c r="BJ305" s="142"/>
      <c r="BK305" s="142"/>
      <c r="BL305" s="142"/>
      <c r="BM305" s="142"/>
      <c r="BN305" s="142"/>
      <c r="BO305" s="142"/>
      <c r="BP305" s="142"/>
      <c r="BQ305" s="142"/>
      <c r="BR305" s="142"/>
      <c r="BS305" s="142"/>
      <c r="BT305" s="142"/>
      <c r="BU305" s="142"/>
      <c r="BV305" s="142"/>
      <c r="BW305" s="142"/>
      <c r="BX305" s="142"/>
      <c r="BY305" s="142"/>
      <c r="BZ305" s="142"/>
      <c r="CA305" s="142"/>
    </row>
    <row r="306" spans="1:79" ht="14.25" customHeight="1" outlineLevel="1" x14ac:dyDescent="0.25">
      <c r="A306" s="46"/>
      <c r="B306" s="46"/>
      <c r="C306" s="46"/>
      <c r="D306" s="46"/>
      <c r="E306" s="22"/>
      <c r="F306" s="82" t="s">
        <v>299</v>
      </c>
      <c r="G306" s="82"/>
      <c r="H306" s="82"/>
      <c r="I306" s="82"/>
      <c r="J306" s="82"/>
      <c r="K306" s="80">
        <f t="shared" ref="K306:AP306" si="289">ROUNDUP(K305/$C296,0)</f>
        <v>0</v>
      </c>
      <c r="L306" s="80">
        <f t="shared" si="289"/>
        <v>1</v>
      </c>
      <c r="M306" s="80">
        <f t="shared" si="289"/>
        <v>1</v>
      </c>
      <c r="N306" s="80">
        <f t="shared" si="289"/>
        <v>1</v>
      </c>
      <c r="O306" s="80">
        <f t="shared" si="289"/>
        <v>1</v>
      </c>
      <c r="P306" s="80">
        <f t="shared" si="289"/>
        <v>1</v>
      </c>
      <c r="Q306" s="80">
        <f t="shared" si="289"/>
        <v>1</v>
      </c>
      <c r="R306" s="80">
        <f t="shared" si="289"/>
        <v>1</v>
      </c>
      <c r="S306" s="198">
        <f t="shared" si="289"/>
        <v>1</v>
      </c>
      <c r="T306" s="80">
        <f t="shared" si="289"/>
        <v>1</v>
      </c>
      <c r="U306" s="80">
        <f t="shared" si="289"/>
        <v>1</v>
      </c>
      <c r="V306" s="80">
        <f t="shared" si="289"/>
        <v>1</v>
      </c>
      <c r="W306" s="80">
        <f t="shared" si="289"/>
        <v>1</v>
      </c>
      <c r="X306" s="80">
        <f t="shared" si="289"/>
        <v>1</v>
      </c>
      <c r="Y306" s="80">
        <f t="shared" si="289"/>
        <v>1</v>
      </c>
      <c r="Z306" s="80">
        <f t="shared" si="289"/>
        <v>1</v>
      </c>
      <c r="AA306" s="80">
        <f t="shared" si="289"/>
        <v>1</v>
      </c>
      <c r="AB306" s="80">
        <f t="shared" si="289"/>
        <v>1</v>
      </c>
      <c r="AC306" s="80">
        <f t="shared" si="289"/>
        <v>1</v>
      </c>
      <c r="AD306" s="80">
        <f t="shared" si="289"/>
        <v>1</v>
      </c>
      <c r="AE306" s="198">
        <f t="shared" si="289"/>
        <v>2</v>
      </c>
      <c r="AF306" s="80">
        <f t="shared" si="289"/>
        <v>2</v>
      </c>
      <c r="AG306" s="80">
        <f t="shared" si="289"/>
        <v>2</v>
      </c>
      <c r="AH306" s="80">
        <f t="shared" si="289"/>
        <v>2</v>
      </c>
      <c r="AI306" s="80">
        <f t="shared" si="289"/>
        <v>2</v>
      </c>
      <c r="AJ306" s="80">
        <f t="shared" si="289"/>
        <v>2</v>
      </c>
      <c r="AK306" s="80">
        <f t="shared" si="289"/>
        <v>2</v>
      </c>
      <c r="AL306" s="80">
        <f t="shared" si="289"/>
        <v>2</v>
      </c>
      <c r="AM306" s="80">
        <f t="shared" si="289"/>
        <v>2</v>
      </c>
      <c r="AN306" s="80">
        <f t="shared" si="289"/>
        <v>2</v>
      </c>
      <c r="AO306" s="80">
        <f t="shared" si="289"/>
        <v>2</v>
      </c>
      <c r="AP306" s="80">
        <f t="shared" si="289"/>
        <v>2</v>
      </c>
      <c r="AQ306" s="29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29"/>
      <c r="BD306" s="29"/>
      <c r="BE306" s="46"/>
      <c r="BF306" s="46"/>
      <c r="BG306" s="46"/>
      <c r="BH306" s="29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</row>
    <row r="307" spans="1:79" ht="14.25" customHeight="1" outlineLevel="1" x14ac:dyDescent="0.25">
      <c r="A307" s="22"/>
      <c r="B307" s="22"/>
      <c r="C307" s="22"/>
      <c r="D307" s="22"/>
      <c r="E307" s="22"/>
      <c r="F307" s="80"/>
      <c r="G307" s="82"/>
      <c r="H307" s="82"/>
      <c r="I307" s="82"/>
      <c r="J307" s="82"/>
      <c r="K307" s="82"/>
      <c r="L307" s="22"/>
      <c r="M307" s="22"/>
      <c r="N307" s="22"/>
      <c r="O307" s="22"/>
      <c r="P307" s="22"/>
      <c r="Q307" s="22"/>
      <c r="R307" s="22"/>
      <c r="S307" s="31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31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31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31"/>
      <c r="BD307" s="31"/>
      <c r="BE307" s="22"/>
      <c r="BF307" s="22"/>
      <c r="BG307" s="22"/>
      <c r="BH307" s="31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</row>
    <row r="308" spans="1:79" ht="14.25" customHeight="1" outlineLevel="1" x14ac:dyDescent="0.25">
      <c r="A308" s="22"/>
      <c r="B308" s="22"/>
      <c r="C308" s="22"/>
      <c r="D308" s="22"/>
      <c r="E308" s="22"/>
      <c r="F308" s="80"/>
      <c r="G308" s="82"/>
      <c r="H308" s="82"/>
      <c r="I308" s="82"/>
      <c r="J308" s="82"/>
      <c r="K308" s="82"/>
      <c r="L308" s="22"/>
      <c r="M308" s="22"/>
      <c r="N308" s="22"/>
      <c r="O308" s="22"/>
      <c r="P308" s="22"/>
      <c r="Q308" s="22"/>
      <c r="R308" s="22"/>
      <c r="S308" s="31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31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31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31"/>
      <c r="BD308" s="31"/>
      <c r="BE308" s="22"/>
      <c r="BF308" s="22"/>
      <c r="BG308" s="22"/>
      <c r="BH308" s="31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</row>
    <row r="309" spans="1:79" ht="14.25" customHeight="1" outlineLevel="1" x14ac:dyDescent="0.25">
      <c r="A309" s="22"/>
      <c r="B309" s="22"/>
      <c r="C309" s="22"/>
      <c r="D309" s="22"/>
      <c r="E309" s="22"/>
      <c r="F309" s="80"/>
      <c r="G309" s="82"/>
      <c r="H309" s="82"/>
      <c r="I309" s="82"/>
      <c r="J309" s="82"/>
      <c r="K309" s="82"/>
      <c r="L309" s="22"/>
      <c r="M309" s="22"/>
      <c r="N309" s="22"/>
      <c r="O309" s="22"/>
      <c r="P309" s="22"/>
      <c r="Q309" s="22"/>
      <c r="R309" s="22"/>
      <c r="S309" s="31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31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31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31"/>
      <c r="BD309" s="31"/>
      <c r="BE309" s="22"/>
      <c r="BF309" s="22"/>
      <c r="BG309" s="22"/>
      <c r="BH309" s="31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</row>
    <row r="310" spans="1:79" ht="14.25" customHeight="1" x14ac:dyDescent="0.25">
      <c r="A310" s="22"/>
      <c r="B310" s="22"/>
      <c r="C310" s="22"/>
      <c r="D310" s="22"/>
      <c r="E310" s="22"/>
      <c r="F310" s="80"/>
      <c r="G310" s="82"/>
      <c r="H310" s="82"/>
      <c r="I310" s="82"/>
      <c r="J310" s="82"/>
      <c r="K310" s="82"/>
      <c r="L310" s="22"/>
      <c r="M310" s="22"/>
      <c r="N310" s="22"/>
      <c r="O310" s="22"/>
      <c r="P310" s="22"/>
      <c r="Q310" s="22"/>
      <c r="R310" s="22"/>
      <c r="S310" s="31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31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31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31"/>
      <c r="BD310" s="31"/>
      <c r="BE310" s="22"/>
      <c r="BF310" s="22"/>
      <c r="BG310" s="22"/>
      <c r="BH310" s="31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</row>
    <row r="311" spans="1:79" ht="14.25" customHeight="1" x14ac:dyDescent="0.25">
      <c r="A311" s="30"/>
      <c r="B311" s="30" t="s">
        <v>16</v>
      </c>
      <c r="C311" s="30"/>
      <c r="D311" s="30"/>
      <c r="E311" s="30"/>
      <c r="F311" s="110"/>
      <c r="G311" s="138"/>
      <c r="H311" s="138"/>
      <c r="I311" s="138"/>
      <c r="J311" s="138"/>
      <c r="K311" s="138"/>
      <c r="L311" s="30"/>
      <c r="M311" s="30"/>
      <c r="N311" s="126">
        <f t="shared" ref="N311:AP311" si="290">N318+N319</f>
        <v>0</v>
      </c>
      <c r="O311" s="126">
        <f t="shared" si="290"/>
        <v>0</v>
      </c>
      <c r="P311" s="126">
        <f t="shared" si="290"/>
        <v>0</v>
      </c>
      <c r="Q311" s="126">
        <f t="shared" si="290"/>
        <v>42500</v>
      </c>
      <c r="R311" s="126">
        <f t="shared" si="290"/>
        <v>85000</v>
      </c>
      <c r="S311" s="127">
        <f t="shared" si="290"/>
        <v>170000</v>
      </c>
      <c r="T311" s="126">
        <f t="shared" si="290"/>
        <v>255000</v>
      </c>
      <c r="U311" s="126">
        <f t="shared" si="290"/>
        <v>340000</v>
      </c>
      <c r="V311" s="126">
        <f t="shared" si="290"/>
        <v>425000</v>
      </c>
      <c r="W311" s="126">
        <f t="shared" si="290"/>
        <v>510000</v>
      </c>
      <c r="X311" s="126">
        <f t="shared" si="290"/>
        <v>595000</v>
      </c>
      <c r="Y311" s="126">
        <f t="shared" si="290"/>
        <v>680000</v>
      </c>
      <c r="Z311" s="126">
        <f t="shared" si="290"/>
        <v>765000</v>
      </c>
      <c r="AA311" s="126">
        <f t="shared" si="290"/>
        <v>850000</v>
      </c>
      <c r="AB311" s="126">
        <f t="shared" si="290"/>
        <v>935000</v>
      </c>
      <c r="AC311" s="126">
        <f t="shared" si="290"/>
        <v>1020000</v>
      </c>
      <c r="AD311" s="126">
        <f t="shared" si="290"/>
        <v>1105000</v>
      </c>
      <c r="AE311" s="127">
        <f t="shared" si="290"/>
        <v>1190000</v>
      </c>
      <c r="AF311" s="126">
        <f t="shared" si="290"/>
        <v>1275000</v>
      </c>
      <c r="AG311" s="126">
        <f t="shared" si="290"/>
        <v>1360000</v>
      </c>
      <c r="AH311" s="126">
        <f t="shared" si="290"/>
        <v>1445000</v>
      </c>
      <c r="AI311" s="126">
        <f t="shared" si="290"/>
        <v>1530000</v>
      </c>
      <c r="AJ311" s="126">
        <f t="shared" si="290"/>
        <v>1615000</v>
      </c>
      <c r="AK311" s="126">
        <f t="shared" si="290"/>
        <v>1700000</v>
      </c>
      <c r="AL311" s="126">
        <f t="shared" si="290"/>
        <v>1785000</v>
      </c>
      <c r="AM311" s="126">
        <f t="shared" si="290"/>
        <v>1870000</v>
      </c>
      <c r="AN311" s="126">
        <f t="shared" si="290"/>
        <v>1955000</v>
      </c>
      <c r="AO311" s="126">
        <f t="shared" si="290"/>
        <v>2040000</v>
      </c>
      <c r="AP311" s="126">
        <f t="shared" si="290"/>
        <v>2125000</v>
      </c>
      <c r="AQ311" s="111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111"/>
      <c r="BD311" s="111"/>
      <c r="BE311" s="30"/>
      <c r="BF311" s="30"/>
      <c r="BG311" s="30"/>
      <c r="BH311" s="111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</row>
    <row r="312" spans="1:79" ht="14.25" customHeight="1" outlineLevel="1" x14ac:dyDescent="0.25">
      <c r="A312" s="22"/>
      <c r="B312" s="22"/>
      <c r="C312" s="22">
        <v>2025</v>
      </c>
      <c r="D312" s="22">
        <v>2026</v>
      </c>
      <c r="E312" s="22">
        <v>2027</v>
      </c>
      <c r="F312" s="82"/>
      <c r="G312" s="82"/>
      <c r="H312" s="82"/>
      <c r="I312" s="82"/>
      <c r="J312" s="82"/>
      <c r="K312" s="82"/>
      <c r="L312" s="22"/>
      <c r="M312" s="22"/>
      <c r="N312" s="22"/>
      <c r="O312" s="22"/>
      <c r="P312" s="22"/>
      <c r="Q312" s="22"/>
      <c r="R312" s="22"/>
      <c r="S312" s="31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31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31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31"/>
      <c r="BD312" s="31"/>
      <c r="BE312" s="22"/>
      <c r="BF312" s="22"/>
      <c r="BG312" s="22"/>
      <c r="BH312" s="31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</row>
    <row r="313" spans="1:79" ht="14.25" customHeight="1" outlineLevel="1" x14ac:dyDescent="0.25">
      <c r="A313" s="22"/>
      <c r="B313" s="22" t="s">
        <v>273</v>
      </c>
      <c r="C313" s="162">
        <v>25</v>
      </c>
      <c r="D313" s="22"/>
      <c r="E313" s="22"/>
      <c r="F313" s="82" t="s">
        <v>300</v>
      </c>
      <c r="G313" s="82"/>
      <c r="H313" s="82"/>
      <c r="I313" s="82"/>
      <c r="J313" s="82"/>
      <c r="K313" s="82"/>
      <c r="L313" s="163">
        <v>40</v>
      </c>
      <c r="M313" s="11"/>
      <c r="N313" s="11"/>
      <c r="O313" s="11"/>
      <c r="P313" s="11"/>
      <c r="Q313" s="11">
        <f t="shared" ref="Q313:R313" si="291">P313+$C314</f>
        <v>25</v>
      </c>
      <c r="R313" s="11">
        <f t="shared" si="291"/>
        <v>50</v>
      </c>
      <c r="S313" s="50">
        <f t="shared" ref="S313:AD313" si="292">R313+$D314</f>
        <v>100</v>
      </c>
      <c r="T313" s="11">
        <f t="shared" si="292"/>
        <v>150</v>
      </c>
      <c r="U313" s="11">
        <f t="shared" si="292"/>
        <v>200</v>
      </c>
      <c r="V313" s="11">
        <f t="shared" si="292"/>
        <v>250</v>
      </c>
      <c r="W313" s="11">
        <f t="shared" si="292"/>
        <v>300</v>
      </c>
      <c r="X313" s="11">
        <f t="shared" si="292"/>
        <v>350</v>
      </c>
      <c r="Y313" s="11">
        <f t="shared" si="292"/>
        <v>400</v>
      </c>
      <c r="Z313" s="11">
        <f t="shared" si="292"/>
        <v>450</v>
      </c>
      <c r="AA313" s="11">
        <f t="shared" si="292"/>
        <v>500</v>
      </c>
      <c r="AB313" s="11">
        <f t="shared" si="292"/>
        <v>550</v>
      </c>
      <c r="AC313" s="11">
        <f t="shared" si="292"/>
        <v>600</v>
      </c>
      <c r="AD313" s="11">
        <f t="shared" si="292"/>
        <v>650</v>
      </c>
      <c r="AE313" s="50">
        <f>AD313+$E314</f>
        <v>700</v>
      </c>
      <c r="AF313" s="11">
        <f t="shared" ref="AF313:AP313" si="293">AE313+$D314</f>
        <v>750</v>
      </c>
      <c r="AG313" s="11">
        <f t="shared" si="293"/>
        <v>800</v>
      </c>
      <c r="AH313" s="11">
        <f t="shared" si="293"/>
        <v>850</v>
      </c>
      <c r="AI313" s="11">
        <f t="shared" si="293"/>
        <v>900</v>
      </c>
      <c r="AJ313" s="11">
        <f t="shared" si="293"/>
        <v>950</v>
      </c>
      <c r="AK313" s="11">
        <f t="shared" si="293"/>
        <v>1000</v>
      </c>
      <c r="AL313" s="11">
        <f t="shared" si="293"/>
        <v>1050</v>
      </c>
      <c r="AM313" s="11">
        <f t="shared" si="293"/>
        <v>1100</v>
      </c>
      <c r="AN313" s="11">
        <f t="shared" si="293"/>
        <v>1150</v>
      </c>
      <c r="AO313" s="11">
        <f t="shared" si="293"/>
        <v>1200</v>
      </c>
      <c r="AP313" s="11">
        <f t="shared" si="293"/>
        <v>1250</v>
      </c>
      <c r="AQ313" s="31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31"/>
      <c r="BD313" s="31"/>
      <c r="BE313" s="22"/>
      <c r="BF313" s="22"/>
      <c r="BG313" s="22"/>
      <c r="BH313" s="31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</row>
    <row r="314" spans="1:79" ht="14.25" customHeight="1" outlineLevel="1" x14ac:dyDescent="0.25">
      <c r="A314" s="22"/>
      <c r="B314" s="22" t="s">
        <v>234</v>
      </c>
      <c r="C314" s="162">
        <v>25</v>
      </c>
      <c r="D314" s="199">
        <v>50</v>
      </c>
      <c r="E314" s="199">
        <v>50</v>
      </c>
      <c r="F314" s="82" t="s">
        <v>301</v>
      </c>
      <c r="G314" s="82"/>
      <c r="H314" s="82"/>
      <c r="I314" s="82"/>
      <c r="J314" s="82"/>
      <c r="K314" s="82"/>
      <c r="L314" s="163"/>
      <c r="M314" s="11"/>
      <c r="N314" s="11"/>
      <c r="O314" s="11"/>
      <c r="P314" s="11"/>
      <c r="Q314" s="11">
        <f t="shared" ref="Q314:AP314" si="294">Q313*$C317</f>
        <v>15</v>
      </c>
      <c r="R314" s="11">
        <f t="shared" si="294"/>
        <v>30</v>
      </c>
      <c r="S314" s="50">
        <f t="shared" si="294"/>
        <v>60</v>
      </c>
      <c r="T314" s="11">
        <f t="shared" si="294"/>
        <v>90</v>
      </c>
      <c r="U314" s="11">
        <f t="shared" si="294"/>
        <v>120</v>
      </c>
      <c r="V314" s="11">
        <f t="shared" si="294"/>
        <v>150</v>
      </c>
      <c r="W314" s="11">
        <f t="shared" si="294"/>
        <v>180</v>
      </c>
      <c r="X314" s="11">
        <f t="shared" si="294"/>
        <v>210</v>
      </c>
      <c r="Y314" s="11">
        <f t="shared" si="294"/>
        <v>240</v>
      </c>
      <c r="Z314" s="11">
        <f t="shared" si="294"/>
        <v>270</v>
      </c>
      <c r="AA314" s="11">
        <f t="shared" si="294"/>
        <v>300</v>
      </c>
      <c r="AB314" s="11">
        <f t="shared" si="294"/>
        <v>330</v>
      </c>
      <c r="AC314" s="11">
        <f t="shared" si="294"/>
        <v>360</v>
      </c>
      <c r="AD314" s="11">
        <f t="shared" si="294"/>
        <v>390</v>
      </c>
      <c r="AE314" s="50">
        <f t="shared" si="294"/>
        <v>420</v>
      </c>
      <c r="AF314" s="11">
        <f t="shared" si="294"/>
        <v>450</v>
      </c>
      <c r="AG314" s="11">
        <f t="shared" si="294"/>
        <v>480</v>
      </c>
      <c r="AH314" s="11">
        <f t="shared" si="294"/>
        <v>510</v>
      </c>
      <c r="AI314" s="11">
        <f t="shared" si="294"/>
        <v>540</v>
      </c>
      <c r="AJ314" s="11">
        <f t="shared" si="294"/>
        <v>570</v>
      </c>
      <c r="AK314" s="11">
        <f t="shared" si="294"/>
        <v>600</v>
      </c>
      <c r="AL314" s="11">
        <f t="shared" si="294"/>
        <v>630</v>
      </c>
      <c r="AM314" s="11">
        <f t="shared" si="294"/>
        <v>660</v>
      </c>
      <c r="AN314" s="11">
        <f t="shared" si="294"/>
        <v>690</v>
      </c>
      <c r="AO314" s="11">
        <f t="shared" si="294"/>
        <v>720</v>
      </c>
      <c r="AP314" s="11">
        <f t="shared" si="294"/>
        <v>750</v>
      </c>
      <c r="AQ314" s="31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31"/>
      <c r="BD314" s="31"/>
      <c r="BE314" s="22"/>
      <c r="BF314" s="22"/>
      <c r="BG314" s="22"/>
      <c r="BH314" s="31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</row>
    <row r="315" spans="1:79" ht="14.25" customHeight="1" outlineLevel="1" x14ac:dyDescent="0.25">
      <c r="A315" s="22"/>
      <c r="B315" s="22" t="s">
        <v>302</v>
      </c>
      <c r="C315" s="162">
        <v>4</v>
      </c>
      <c r="D315" s="22"/>
      <c r="E315" s="22"/>
      <c r="F315" s="82" t="s">
        <v>303</v>
      </c>
      <c r="G315" s="82"/>
      <c r="H315" s="82"/>
      <c r="I315" s="82"/>
      <c r="J315" s="82"/>
      <c r="K315" s="82"/>
      <c r="L315" s="163"/>
      <c r="M315" s="11"/>
      <c r="N315" s="11"/>
      <c r="O315" s="11"/>
      <c r="P315" s="11"/>
      <c r="Q315" s="11">
        <f t="shared" ref="Q315:AP315" si="295">P315+(P313*$C315)-Q316</f>
        <v>0</v>
      </c>
      <c r="R315" s="11">
        <f t="shared" si="295"/>
        <v>100</v>
      </c>
      <c r="S315" s="50">
        <f t="shared" si="295"/>
        <v>300</v>
      </c>
      <c r="T315" s="11">
        <f t="shared" si="295"/>
        <v>700</v>
      </c>
      <c r="U315" s="11">
        <f t="shared" si="295"/>
        <v>1300</v>
      </c>
      <c r="V315" s="11">
        <f t="shared" si="295"/>
        <v>2100</v>
      </c>
      <c r="W315" s="11">
        <f t="shared" si="295"/>
        <v>3100</v>
      </c>
      <c r="X315" s="11">
        <f t="shared" si="295"/>
        <v>4300</v>
      </c>
      <c r="Y315" s="11">
        <f t="shared" si="295"/>
        <v>5600</v>
      </c>
      <c r="Z315" s="11">
        <f t="shared" si="295"/>
        <v>7000</v>
      </c>
      <c r="AA315" s="11">
        <f t="shared" si="295"/>
        <v>8400</v>
      </c>
      <c r="AB315" s="11">
        <f t="shared" si="295"/>
        <v>9800</v>
      </c>
      <c r="AC315" s="11">
        <f t="shared" si="295"/>
        <v>11200</v>
      </c>
      <c r="AD315" s="11">
        <f t="shared" si="295"/>
        <v>12600</v>
      </c>
      <c r="AE315" s="50">
        <f t="shared" si="295"/>
        <v>14000</v>
      </c>
      <c r="AF315" s="11">
        <f t="shared" si="295"/>
        <v>15400</v>
      </c>
      <c r="AG315" s="11">
        <f t="shared" si="295"/>
        <v>16800</v>
      </c>
      <c r="AH315" s="11">
        <f t="shared" si="295"/>
        <v>18200</v>
      </c>
      <c r="AI315" s="11">
        <f t="shared" si="295"/>
        <v>19600</v>
      </c>
      <c r="AJ315" s="11">
        <f t="shared" si="295"/>
        <v>21000</v>
      </c>
      <c r="AK315" s="11">
        <f t="shared" si="295"/>
        <v>22400</v>
      </c>
      <c r="AL315" s="11">
        <f t="shared" si="295"/>
        <v>23800</v>
      </c>
      <c r="AM315" s="11">
        <f t="shared" si="295"/>
        <v>25200</v>
      </c>
      <c r="AN315" s="11">
        <f t="shared" si="295"/>
        <v>26600</v>
      </c>
      <c r="AO315" s="11">
        <f t="shared" si="295"/>
        <v>28000</v>
      </c>
      <c r="AP315" s="11">
        <f t="shared" si="295"/>
        <v>29400</v>
      </c>
      <c r="AQ315" s="31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31"/>
      <c r="BD315" s="31"/>
      <c r="BE315" s="22"/>
      <c r="BF315" s="22"/>
      <c r="BG315" s="22"/>
      <c r="BH315" s="31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</row>
    <row r="316" spans="1:79" ht="14.25" customHeight="1" outlineLevel="1" x14ac:dyDescent="0.25">
      <c r="A316" s="22"/>
      <c r="B316" s="22" t="s">
        <v>304</v>
      </c>
      <c r="C316" s="162">
        <v>9</v>
      </c>
      <c r="D316" s="22"/>
      <c r="E316" s="22"/>
      <c r="F316" s="82" t="s">
        <v>305</v>
      </c>
      <c r="G316" s="82"/>
      <c r="H316" s="82"/>
      <c r="I316" s="82"/>
      <c r="J316" s="82"/>
      <c r="K316" s="82"/>
      <c r="L316" s="163"/>
      <c r="M316" s="11"/>
      <c r="N316" s="11"/>
      <c r="O316" s="11"/>
      <c r="P316" s="11"/>
      <c r="Q316" s="11"/>
      <c r="R316" s="11"/>
      <c r="S316" s="50"/>
      <c r="T316" s="11"/>
      <c r="U316" s="11"/>
      <c r="V316" s="11"/>
      <c r="W316" s="11">
        <f t="shared" ref="W316:AP316" si="296">O313*$C315</f>
        <v>0</v>
      </c>
      <c r="X316" s="11">
        <f t="shared" si="296"/>
        <v>0</v>
      </c>
      <c r="Y316" s="11">
        <f t="shared" si="296"/>
        <v>100</v>
      </c>
      <c r="Z316" s="11">
        <f t="shared" si="296"/>
        <v>200</v>
      </c>
      <c r="AA316" s="11">
        <f t="shared" si="296"/>
        <v>400</v>
      </c>
      <c r="AB316" s="11">
        <f t="shared" si="296"/>
        <v>600</v>
      </c>
      <c r="AC316" s="11">
        <f t="shared" si="296"/>
        <v>800</v>
      </c>
      <c r="AD316" s="11">
        <f t="shared" si="296"/>
        <v>1000</v>
      </c>
      <c r="AE316" s="50">
        <f t="shared" si="296"/>
        <v>1200</v>
      </c>
      <c r="AF316" s="11">
        <f t="shared" si="296"/>
        <v>1400</v>
      </c>
      <c r="AG316" s="11">
        <f t="shared" si="296"/>
        <v>1600</v>
      </c>
      <c r="AH316" s="11">
        <f t="shared" si="296"/>
        <v>1800</v>
      </c>
      <c r="AI316" s="11">
        <f t="shared" si="296"/>
        <v>2000</v>
      </c>
      <c r="AJ316" s="11">
        <f t="shared" si="296"/>
        <v>2200</v>
      </c>
      <c r="AK316" s="11">
        <f t="shared" si="296"/>
        <v>2400</v>
      </c>
      <c r="AL316" s="11">
        <f t="shared" si="296"/>
        <v>2600</v>
      </c>
      <c r="AM316" s="11">
        <f t="shared" si="296"/>
        <v>2800</v>
      </c>
      <c r="AN316" s="11">
        <f t="shared" si="296"/>
        <v>3000</v>
      </c>
      <c r="AO316" s="11">
        <f t="shared" si="296"/>
        <v>3200</v>
      </c>
      <c r="AP316" s="11">
        <f t="shared" si="296"/>
        <v>3400</v>
      </c>
      <c r="AQ316" s="31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31"/>
      <c r="BD316" s="31"/>
      <c r="BE316" s="22"/>
      <c r="BF316" s="22"/>
      <c r="BG316" s="22"/>
      <c r="BH316" s="31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</row>
    <row r="317" spans="1:79" ht="14.25" customHeight="1" outlineLevel="1" x14ac:dyDescent="0.25">
      <c r="A317" s="22"/>
      <c r="B317" s="22" t="s">
        <v>306</v>
      </c>
      <c r="C317" s="186">
        <v>0.6</v>
      </c>
      <c r="D317" s="22"/>
      <c r="E317" s="22"/>
      <c r="F317" s="82"/>
      <c r="G317" s="82"/>
      <c r="H317" s="82"/>
      <c r="I317" s="82"/>
      <c r="J317" s="82"/>
      <c r="K317" s="82"/>
      <c r="L317" s="11"/>
      <c r="M317" s="11"/>
      <c r="N317" s="11"/>
      <c r="O317" s="11"/>
      <c r="P317" s="11"/>
      <c r="Q317" s="11"/>
      <c r="R317" s="11"/>
      <c r="S317" s="50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50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31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31"/>
      <c r="BD317" s="31"/>
      <c r="BE317" s="22"/>
      <c r="BF317" s="22"/>
      <c r="BG317" s="22"/>
      <c r="BH317" s="31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</row>
    <row r="318" spans="1:79" ht="14.25" customHeight="1" outlineLevel="1" x14ac:dyDescent="0.25">
      <c r="A318" s="22"/>
      <c r="B318" s="22" t="s">
        <v>307</v>
      </c>
      <c r="C318" s="164">
        <v>2000</v>
      </c>
      <c r="D318" s="22"/>
      <c r="E318" s="22"/>
      <c r="F318" s="82" t="s">
        <v>308</v>
      </c>
      <c r="G318" s="82"/>
      <c r="H318" s="130"/>
      <c r="I318" s="130"/>
      <c r="J318" s="130"/>
      <c r="K318" s="130"/>
      <c r="L318" s="163"/>
      <c r="M318" s="11"/>
      <c r="N318" s="116">
        <f t="shared" ref="N318:AP318" si="297">N314*$C318</f>
        <v>0</v>
      </c>
      <c r="O318" s="116">
        <f t="shared" si="297"/>
        <v>0</v>
      </c>
      <c r="P318" s="116">
        <f t="shared" si="297"/>
        <v>0</v>
      </c>
      <c r="Q318" s="116">
        <f t="shared" si="297"/>
        <v>30000</v>
      </c>
      <c r="R318" s="116">
        <f t="shared" si="297"/>
        <v>60000</v>
      </c>
      <c r="S318" s="125">
        <f t="shared" si="297"/>
        <v>120000</v>
      </c>
      <c r="T318" s="116">
        <f t="shared" si="297"/>
        <v>180000</v>
      </c>
      <c r="U318" s="116">
        <f t="shared" si="297"/>
        <v>240000</v>
      </c>
      <c r="V318" s="116">
        <f t="shared" si="297"/>
        <v>300000</v>
      </c>
      <c r="W318" s="116">
        <f t="shared" si="297"/>
        <v>360000</v>
      </c>
      <c r="X318" s="116">
        <f t="shared" si="297"/>
        <v>420000</v>
      </c>
      <c r="Y318" s="116">
        <f t="shared" si="297"/>
        <v>480000</v>
      </c>
      <c r="Z318" s="116">
        <f t="shared" si="297"/>
        <v>540000</v>
      </c>
      <c r="AA318" s="116">
        <f t="shared" si="297"/>
        <v>600000</v>
      </c>
      <c r="AB318" s="116">
        <f t="shared" si="297"/>
        <v>660000</v>
      </c>
      <c r="AC318" s="116">
        <f t="shared" si="297"/>
        <v>720000</v>
      </c>
      <c r="AD318" s="116">
        <f t="shared" si="297"/>
        <v>780000</v>
      </c>
      <c r="AE318" s="125">
        <f t="shared" si="297"/>
        <v>840000</v>
      </c>
      <c r="AF318" s="116">
        <f t="shared" si="297"/>
        <v>900000</v>
      </c>
      <c r="AG318" s="116">
        <f t="shared" si="297"/>
        <v>960000</v>
      </c>
      <c r="AH318" s="116">
        <f t="shared" si="297"/>
        <v>1020000</v>
      </c>
      <c r="AI318" s="116">
        <f t="shared" si="297"/>
        <v>1080000</v>
      </c>
      <c r="AJ318" s="116">
        <f t="shared" si="297"/>
        <v>1140000</v>
      </c>
      <c r="AK318" s="116">
        <f t="shared" si="297"/>
        <v>1200000</v>
      </c>
      <c r="AL318" s="116">
        <f t="shared" si="297"/>
        <v>1260000</v>
      </c>
      <c r="AM318" s="116">
        <f t="shared" si="297"/>
        <v>1320000</v>
      </c>
      <c r="AN318" s="116">
        <f t="shared" si="297"/>
        <v>1380000</v>
      </c>
      <c r="AO318" s="116">
        <f t="shared" si="297"/>
        <v>1440000</v>
      </c>
      <c r="AP318" s="116">
        <f t="shared" si="297"/>
        <v>1500000</v>
      </c>
      <c r="AQ318" s="31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31"/>
      <c r="BD318" s="31"/>
      <c r="BE318" s="22"/>
      <c r="BF318" s="22"/>
      <c r="BG318" s="22"/>
      <c r="BH318" s="31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</row>
    <row r="319" spans="1:79" ht="14.25" customHeight="1" outlineLevel="1" x14ac:dyDescent="0.25">
      <c r="A319" s="22"/>
      <c r="B319" s="22" t="s">
        <v>309</v>
      </c>
      <c r="C319" s="162">
        <v>325</v>
      </c>
      <c r="D319" s="22"/>
      <c r="E319" s="22"/>
      <c r="F319" s="82" t="s">
        <v>310</v>
      </c>
      <c r="G319" s="82"/>
      <c r="H319" s="82"/>
      <c r="I319" s="82"/>
      <c r="J319" s="82"/>
      <c r="K319" s="82"/>
      <c r="L319" s="177"/>
      <c r="M319" s="116">
        <f t="shared" ref="M319:AP319" si="298">M313*$C323</f>
        <v>0</v>
      </c>
      <c r="N319" s="116">
        <f t="shared" si="298"/>
        <v>0</v>
      </c>
      <c r="O319" s="116">
        <f t="shared" si="298"/>
        <v>0</v>
      </c>
      <c r="P319" s="116">
        <f t="shared" si="298"/>
        <v>0</v>
      </c>
      <c r="Q319" s="116">
        <f t="shared" si="298"/>
        <v>12500</v>
      </c>
      <c r="R319" s="116">
        <f t="shared" si="298"/>
        <v>25000</v>
      </c>
      <c r="S319" s="125">
        <f t="shared" si="298"/>
        <v>50000</v>
      </c>
      <c r="T319" s="116">
        <f t="shared" si="298"/>
        <v>75000</v>
      </c>
      <c r="U319" s="116">
        <f t="shared" si="298"/>
        <v>100000</v>
      </c>
      <c r="V319" s="116">
        <f t="shared" si="298"/>
        <v>125000</v>
      </c>
      <c r="W319" s="116">
        <f t="shared" si="298"/>
        <v>150000</v>
      </c>
      <c r="X319" s="116">
        <f t="shared" si="298"/>
        <v>175000</v>
      </c>
      <c r="Y319" s="116">
        <f t="shared" si="298"/>
        <v>200000</v>
      </c>
      <c r="Z319" s="116">
        <f t="shared" si="298"/>
        <v>225000</v>
      </c>
      <c r="AA319" s="116">
        <f t="shared" si="298"/>
        <v>250000</v>
      </c>
      <c r="AB319" s="116">
        <f t="shared" si="298"/>
        <v>275000</v>
      </c>
      <c r="AC319" s="116">
        <f t="shared" si="298"/>
        <v>300000</v>
      </c>
      <c r="AD319" s="116">
        <f t="shared" si="298"/>
        <v>325000</v>
      </c>
      <c r="AE319" s="125">
        <f t="shared" si="298"/>
        <v>350000</v>
      </c>
      <c r="AF319" s="116">
        <f t="shared" si="298"/>
        <v>375000</v>
      </c>
      <c r="AG319" s="116">
        <f t="shared" si="298"/>
        <v>400000</v>
      </c>
      <c r="AH319" s="116">
        <f t="shared" si="298"/>
        <v>425000</v>
      </c>
      <c r="AI319" s="116">
        <f t="shared" si="298"/>
        <v>450000</v>
      </c>
      <c r="AJ319" s="116">
        <f t="shared" si="298"/>
        <v>475000</v>
      </c>
      <c r="AK319" s="116">
        <f t="shared" si="298"/>
        <v>500000</v>
      </c>
      <c r="AL319" s="116">
        <f t="shared" si="298"/>
        <v>525000</v>
      </c>
      <c r="AM319" s="116">
        <f t="shared" si="298"/>
        <v>550000</v>
      </c>
      <c r="AN319" s="116">
        <f t="shared" si="298"/>
        <v>575000</v>
      </c>
      <c r="AO319" s="116">
        <f t="shared" si="298"/>
        <v>600000</v>
      </c>
      <c r="AP319" s="116">
        <f t="shared" si="298"/>
        <v>625000</v>
      </c>
      <c r="AQ319" s="31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31"/>
      <c r="BD319" s="31"/>
      <c r="BE319" s="22"/>
      <c r="BF319" s="22"/>
      <c r="BG319" s="22"/>
      <c r="BH319" s="31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</row>
    <row r="320" spans="1:79" ht="14.25" customHeight="1" outlineLevel="1" x14ac:dyDescent="0.25">
      <c r="A320" s="22"/>
      <c r="B320" s="22" t="s">
        <v>311</v>
      </c>
      <c r="C320" s="116">
        <f>C319*C$315</f>
        <v>1300</v>
      </c>
      <c r="D320" s="11"/>
      <c r="E320" s="22"/>
      <c r="F320" s="82" t="s">
        <v>312</v>
      </c>
      <c r="G320" s="82"/>
      <c r="H320" s="82"/>
      <c r="I320" s="82"/>
      <c r="J320" s="82"/>
      <c r="K320" s="82"/>
      <c r="L320" s="177"/>
      <c r="M320" s="116"/>
      <c r="N320" s="116">
        <f t="shared" ref="N320:AP320" si="299">N314*$C321</f>
        <v>0</v>
      </c>
      <c r="O320" s="116">
        <f t="shared" si="299"/>
        <v>0</v>
      </c>
      <c r="P320" s="116">
        <f t="shared" si="299"/>
        <v>0</v>
      </c>
      <c r="Q320" s="116">
        <f t="shared" si="299"/>
        <v>9000</v>
      </c>
      <c r="R320" s="116">
        <f t="shared" si="299"/>
        <v>18000</v>
      </c>
      <c r="S320" s="125">
        <f t="shared" si="299"/>
        <v>36000</v>
      </c>
      <c r="T320" s="116">
        <f t="shared" si="299"/>
        <v>54000</v>
      </c>
      <c r="U320" s="116">
        <f t="shared" si="299"/>
        <v>72000</v>
      </c>
      <c r="V320" s="116">
        <f t="shared" si="299"/>
        <v>90000</v>
      </c>
      <c r="W320" s="116">
        <f t="shared" si="299"/>
        <v>108000</v>
      </c>
      <c r="X320" s="116">
        <f t="shared" si="299"/>
        <v>126000</v>
      </c>
      <c r="Y320" s="116">
        <f t="shared" si="299"/>
        <v>144000</v>
      </c>
      <c r="Z320" s="116">
        <f t="shared" si="299"/>
        <v>162000</v>
      </c>
      <c r="AA320" s="116">
        <f t="shared" si="299"/>
        <v>180000</v>
      </c>
      <c r="AB320" s="116">
        <f t="shared" si="299"/>
        <v>198000</v>
      </c>
      <c r="AC320" s="116">
        <f t="shared" si="299"/>
        <v>216000</v>
      </c>
      <c r="AD320" s="116">
        <f t="shared" si="299"/>
        <v>234000</v>
      </c>
      <c r="AE320" s="125">
        <f t="shared" si="299"/>
        <v>252000</v>
      </c>
      <c r="AF320" s="116">
        <f t="shared" si="299"/>
        <v>270000</v>
      </c>
      <c r="AG320" s="116">
        <f t="shared" si="299"/>
        <v>288000</v>
      </c>
      <c r="AH320" s="116">
        <f t="shared" si="299"/>
        <v>306000</v>
      </c>
      <c r="AI320" s="116">
        <f t="shared" si="299"/>
        <v>324000</v>
      </c>
      <c r="AJ320" s="116">
        <f t="shared" si="299"/>
        <v>342000</v>
      </c>
      <c r="AK320" s="116">
        <f t="shared" si="299"/>
        <v>360000</v>
      </c>
      <c r="AL320" s="116">
        <f t="shared" si="299"/>
        <v>378000</v>
      </c>
      <c r="AM320" s="116">
        <f t="shared" si="299"/>
        <v>396000</v>
      </c>
      <c r="AN320" s="116">
        <f t="shared" si="299"/>
        <v>414000</v>
      </c>
      <c r="AO320" s="116">
        <f t="shared" si="299"/>
        <v>432000</v>
      </c>
      <c r="AP320" s="116">
        <f t="shared" si="299"/>
        <v>450000</v>
      </c>
      <c r="AQ320" s="31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31"/>
      <c r="BD320" s="31"/>
      <c r="BE320" s="22"/>
      <c r="BF320" s="22"/>
      <c r="BG320" s="22"/>
      <c r="BH320" s="31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</row>
    <row r="321" spans="1:79" ht="14.25" customHeight="1" outlineLevel="1" x14ac:dyDescent="0.25">
      <c r="A321" s="22"/>
      <c r="B321" s="22" t="s">
        <v>313</v>
      </c>
      <c r="C321" s="164">
        <v>600</v>
      </c>
      <c r="D321" s="22"/>
      <c r="E321" s="46"/>
      <c r="F321" s="82" t="s">
        <v>314</v>
      </c>
      <c r="G321" s="82"/>
      <c r="H321" s="82"/>
      <c r="I321" s="82"/>
      <c r="J321" s="82"/>
      <c r="K321" s="82"/>
      <c r="L321" s="178"/>
      <c r="M321" s="157">
        <f t="shared" ref="M321:AP321" si="300">M313*$C321</f>
        <v>0</v>
      </c>
      <c r="N321" s="157">
        <f t="shared" si="300"/>
        <v>0</v>
      </c>
      <c r="O321" s="157">
        <f t="shared" si="300"/>
        <v>0</v>
      </c>
      <c r="P321" s="157">
        <f t="shared" si="300"/>
        <v>0</v>
      </c>
      <c r="Q321" s="157">
        <f t="shared" si="300"/>
        <v>15000</v>
      </c>
      <c r="R321" s="157">
        <f t="shared" si="300"/>
        <v>30000</v>
      </c>
      <c r="S321" s="158">
        <f t="shared" si="300"/>
        <v>60000</v>
      </c>
      <c r="T321" s="157">
        <f t="shared" si="300"/>
        <v>90000</v>
      </c>
      <c r="U321" s="157">
        <f t="shared" si="300"/>
        <v>120000</v>
      </c>
      <c r="V321" s="157">
        <f t="shared" si="300"/>
        <v>150000</v>
      </c>
      <c r="W321" s="157">
        <f t="shared" si="300"/>
        <v>180000</v>
      </c>
      <c r="X321" s="157">
        <f t="shared" si="300"/>
        <v>210000</v>
      </c>
      <c r="Y321" s="157">
        <f t="shared" si="300"/>
        <v>240000</v>
      </c>
      <c r="Z321" s="157">
        <f t="shared" si="300"/>
        <v>270000</v>
      </c>
      <c r="AA321" s="157">
        <f t="shared" si="300"/>
        <v>300000</v>
      </c>
      <c r="AB321" s="157">
        <f t="shared" si="300"/>
        <v>330000</v>
      </c>
      <c r="AC321" s="157">
        <f t="shared" si="300"/>
        <v>360000</v>
      </c>
      <c r="AD321" s="157">
        <f t="shared" si="300"/>
        <v>390000</v>
      </c>
      <c r="AE321" s="158">
        <f t="shared" si="300"/>
        <v>420000</v>
      </c>
      <c r="AF321" s="157">
        <f t="shared" si="300"/>
        <v>450000</v>
      </c>
      <c r="AG321" s="157">
        <f t="shared" si="300"/>
        <v>480000</v>
      </c>
      <c r="AH321" s="157">
        <f t="shared" si="300"/>
        <v>510000</v>
      </c>
      <c r="AI321" s="157">
        <f t="shared" si="300"/>
        <v>540000</v>
      </c>
      <c r="AJ321" s="157">
        <f t="shared" si="300"/>
        <v>570000</v>
      </c>
      <c r="AK321" s="157">
        <f t="shared" si="300"/>
        <v>600000</v>
      </c>
      <c r="AL321" s="157">
        <f t="shared" si="300"/>
        <v>630000</v>
      </c>
      <c r="AM321" s="157">
        <f t="shared" si="300"/>
        <v>660000</v>
      </c>
      <c r="AN321" s="157">
        <f t="shared" si="300"/>
        <v>690000</v>
      </c>
      <c r="AO321" s="157">
        <f t="shared" si="300"/>
        <v>720000</v>
      </c>
      <c r="AP321" s="157">
        <f t="shared" si="300"/>
        <v>750000</v>
      </c>
      <c r="AQ321" s="31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31"/>
      <c r="BD321" s="31"/>
      <c r="BE321" s="22"/>
      <c r="BF321" s="22"/>
      <c r="BG321" s="22"/>
      <c r="BH321" s="31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</row>
    <row r="322" spans="1:79" ht="14.25" customHeight="1" outlineLevel="1" x14ac:dyDescent="0.25">
      <c r="A322" s="46"/>
      <c r="B322" s="22" t="s">
        <v>315</v>
      </c>
      <c r="C322" s="164">
        <v>125</v>
      </c>
      <c r="D322" s="46"/>
      <c r="E322" s="22"/>
      <c r="F322" s="139" t="s">
        <v>22</v>
      </c>
      <c r="G322" s="139"/>
      <c r="H322" s="139"/>
      <c r="I322" s="139"/>
      <c r="J322" s="139"/>
      <c r="K322" s="139"/>
      <c r="L322" s="126">
        <f t="shared" ref="L322:N322" si="301">L319-L321</f>
        <v>0</v>
      </c>
      <c r="M322" s="140">
        <f t="shared" si="301"/>
        <v>0</v>
      </c>
      <c r="N322" s="140">
        <f t="shared" si="301"/>
        <v>0</v>
      </c>
      <c r="O322" s="140">
        <f t="shared" ref="O322:AP322" si="302">O318+O319-O320-O321</f>
        <v>0</v>
      </c>
      <c r="P322" s="140">
        <f t="shared" si="302"/>
        <v>0</v>
      </c>
      <c r="Q322" s="140">
        <f t="shared" si="302"/>
        <v>18500</v>
      </c>
      <c r="R322" s="140">
        <f t="shared" si="302"/>
        <v>37000</v>
      </c>
      <c r="S322" s="141">
        <f t="shared" si="302"/>
        <v>74000</v>
      </c>
      <c r="T322" s="140">
        <f t="shared" si="302"/>
        <v>111000</v>
      </c>
      <c r="U322" s="140">
        <f t="shared" si="302"/>
        <v>148000</v>
      </c>
      <c r="V322" s="140">
        <f t="shared" si="302"/>
        <v>185000</v>
      </c>
      <c r="W322" s="140">
        <f t="shared" si="302"/>
        <v>222000</v>
      </c>
      <c r="X322" s="140">
        <f t="shared" si="302"/>
        <v>259000</v>
      </c>
      <c r="Y322" s="140">
        <f t="shared" si="302"/>
        <v>296000</v>
      </c>
      <c r="Z322" s="140">
        <f t="shared" si="302"/>
        <v>333000</v>
      </c>
      <c r="AA322" s="140">
        <f t="shared" si="302"/>
        <v>370000</v>
      </c>
      <c r="AB322" s="140">
        <f t="shared" si="302"/>
        <v>407000</v>
      </c>
      <c r="AC322" s="140">
        <f t="shared" si="302"/>
        <v>444000</v>
      </c>
      <c r="AD322" s="140">
        <f t="shared" si="302"/>
        <v>481000</v>
      </c>
      <c r="AE322" s="141">
        <f t="shared" si="302"/>
        <v>518000</v>
      </c>
      <c r="AF322" s="140">
        <f t="shared" si="302"/>
        <v>555000</v>
      </c>
      <c r="AG322" s="140">
        <f t="shared" si="302"/>
        <v>592000</v>
      </c>
      <c r="AH322" s="140">
        <f t="shared" si="302"/>
        <v>629000</v>
      </c>
      <c r="AI322" s="140">
        <f t="shared" si="302"/>
        <v>666000</v>
      </c>
      <c r="AJ322" s="140">
        <f t="shared" si="302"/>
        <v>703000</v>
      </c>
      <c r="AK322" s="140">
        <f t="shared" si="302"/>
        <v>740000</v>
      </c>
      <c r="AL322" s="140">
        <f t="shared" si="302"/>
        <v>777000</v>
      </c>
      <c r="AM322" s="140">
        <f t="shared" si="302"/>
        <v>814000</v>
      </c>
      <c r="AN322" s="140">
        <f t="shared" si="302"/>
        <v>851000</v>
      </c>
      <c r="AO322" s="140">
        <f t="shared" si="302"/>
        <v>888000</v>
      </c>
      <c r="AP322" s="140">
        <f t="shared" si="302"/>
        <v>925000</v>
      </c>
      <c r="AQ322" s="29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29"/>
      <c r="BD322" s="29"/>
      <c r="BE322" s="46"/>
      <c r="BF322" s="46"/>
      <c r="BG322" s="46"/>
      <c r="BH322" s="29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</row>
    <row r="323" spans="1:79" ht="14.25" customHeight="1" outlineLevel="1" x14ac:dyDescent="0.25">
      <c r="A323" s="22"/>
      <c r="B323" s="22" t="s">
        <v>316</v>
      </c>
      <c r="C323" s="164">
        <f>C322*C$315</f>
        <v>500</v>
      </c>
      <c r="D323" s="22"/>
      <c r="E323" s="22"/>
      <c r="F323" s="166" t="s">
        <v>23</v>
      </c>
      <c r="G323" s="166"/>
      <c r="H323" s="166"/>
      <c r="I323" s="166"/>
      <c r="J323" s="166"/>
      <c r="K323" s="166"/>
      <c r="L323" s="43"/>
      <c r="M323" s="167"/>
      <c r="N323" s="167"/>
      <c r="O323" s="167" t="e">
        <f t="shared" ref="O323:AP323" si="303">O322/(O319+O318)</f>
        <v>#DIV/0!</v>
      </c>
      <c r="P323" s="167" t="e">
        <f t="shared" si="303"/>
        <v>#DIV/0!</v>
      </c>
      <c r="Q323" s="167">
        <f t="shared" si="303"/>
        <v>0.43529411764705883</v>
      </c>
      <c r="R323" s="167">
        <f t="shared" si="303"/>
        <v>0.43529411764705883</v>
      </c>
      <c r="S323" s="168">
        <f t="shared" si="303"/>
        <v>0.43529411764705883</v>
      </c>
      <c r="T323" s="167">
        <f t="shared" si="303"/>
        <v>0.43529411764705883</v>
      </c>
      <c r="U323" s="167">
        <f t="shared" si="303"/>
        <v>0.43529411764705883</v>
      </c>
      <c r="V323" s="167">
        <f t="shared" si="303"/>
        <v>0.43529411764705883</v>
      </c>
      <c r="W323" s="167">
        <f t="shared" si="303"/>
        <v>0.43529411764705883</v>
      </c>
      <c r="X323" s="167">
        <f t="shared" si="303"/>
        <v>0.43529411764705883</v>
      </c>
      <c r="Y323" s="167">
        <f t="shared" si="303"/>
        <v>0.43529411764705883</v>
      </c>
      <c r="Z323" s="167">
        <f t="shared" si="303"/>
        <v>0.43529411764705883</v>
      </c>
      <c r="AA323" s="167">
        <f t="shared" si="303"/>
        <v>0.43529411764705883</v>
      </c>
      <c r="AB323" s="167">
        <f t="shared" si="303"/>
        <v>0.43529411764705883</v>
      </c>
      <c r="AC323" s="167">
        <f t="shared" si="303"/>
        <v>0.43529411764705883</v>
      </c>
      <c r="AD323" s="167">
        <f t="shared" si="303"/>
        <v>0.43529411764705883</v>
      </c>
      <c r="AE323" s="168">
        <f t="shared" si="303"/>
        <v>0.43529411764705883</v>
      </c>
      <c r="AF323" s="167">
        <f t="shared" si="303"/>
        <v>0.43529411764705883</v>
      </c>
      <c r="AG323" s="167">
        <f t="shared" si="303"/>
        <v>0.43529411764705883</v>
      </c>
      <c r="AH323" s="167">
        <f t="shared" si="303"/>
        <v>0.43529411764705883</v>
      </c>
      <c r="AI323" s="167">
        <f t="shared" si="303"/>
        <v>0.43529411764705883</v>
      </c>
      <c r="AJ323" s="167">
        <f t="shared" si="303"/>
        <v>0.43529411764705883</v>
      </c>
      <c r="AK323" s="167">
        <f t="shared" si="303"/>
        <v>0.43529411764705883</v>
      </c>
      <c r="AL323" s="167">
        <f t="shared" si="303"/>
        <v>0.43529411764705883</v>
      </c>
      <c r="AM323" s="167">
        <f t="shared" si="303"/>
        <v>0.43529411764705883</v>
      </c>
      <c r="AN323" s="167">
        <f t="shared" si="303"/>
        <v>0.43529411764705883</v>
      </c>
      <c r="AO323" s="167">
        <f t="shared" si="303"/>
        <v>0.43529411764705883</v>
      </c>
      <c r="AP323" s="167">
        <f t="shared" si="303"/>
        <v>0.43529411764705883</v>
      </c>
      <c r="AQ323" s="31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31"/>
      <c r="BD323" s="31"/>
      <c r="BE323" s="22"/>
      <c r="BF323" s="22"/>
      <c r="BG323" s="22"/>
      <c r="BH323" s="31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</row>
    <row r="324" spans="1:79" ht="14.25" customHeight="1" outlineLevel="1" x14ac:dyDescent="0.25">
      <c r="A324" s="22"/>
      <c r="B324" s="22" t="s">
        <v>236</v>
      </c>
      <c r="C324" s="162">
        <v>2</v>
      </c>
      <c r="D324" s="22" t="s">
        <v>284</v>
      </c>
      <c r="E324" s="22"/>
      <c r="F324" s="80"/>
      <c r="G324" s="82"/>
      <c r="H324" s="82"/>
      <c r="I324" s="82"/>
      <c r="J324" s="82"/>
      <c r="K324" s="82"/>
      <c r="L324" s="22"/>
      <c r="M324" s="22"/>
      <c r="N324" s="22"/>
      <c r="O324" s="22"/>
      <c r="P324" s="22"/>
      <c r="Q324" s="22"/>
      <c r="R324" s="22"/>
      <c r="S324" s="31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31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31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31"/>
      <c r="BD324" s="31"/>
      <c r="BE324" s="22"/>
      <c r="BF324" s="22"/>
      <c r="BG324" s="22"/>
      <c r="BH324" s="31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</row>
    <row r="325" spans="1:79" ht="14.25" customHeight="1" outlineLevel="1" x14ac:dyDescent="0.25">
      <c r="A325" s="22"/>
      <c r="B325" s="22" t="s">
        <v>239</v>
      </c>
      <c r="C325" s="162">
        <v>1</v>
      </c>
      <c r="D325" s="22" t="s">
        <v>284</v>
      </c>
      <c r="E325" s="46"/>
      <c r="F325" s="82" t="s">
        <v>236</v>
      </c>
      <c r="G325" s="82"/>
      <c r="H325" s="200"/>
      <c r="I325" s="200"/>
      <c r="J325" s="200"/>
      <c r="K325" s="200"/>
      <c r="L325" s="22"/>
      <c r="M325" s="116"/>
      <c r="N325" s="116"/>
      <c r="O325" s="201">
        <f t="shared" ref="O325:AP325" si="304">M319+M318</f>
        <v>0</v>
      </c>
      <c r="P325" s="201">
        <f t="shared" si="304"/>
        <v>0</v>
      </c>
      <c r="Q325" s="201">
        <f t="shared" si="304"/>
        <v>0</v>
      </c>
      <c r="R325" s="201">
        <f t="shared" si="304"/>
        <v>0</v>
      </c>
      <c r="S325" s="202">
        <f t="shared" si="304"/>
        <v>42500</v>
      </c>
      <c r="T325" s="201">
        <f t="shared" si="304"/>
        <v>85000</v>
      </c>
      <c r="U325" s="201">
        <f t="shared" si="304"/>
        <v>170000</v>
      </c>
      <c r="V325" s="201">
        <f t="shared" si="304"/>
        <v>255000</v>
      </c>
      <c r="W325" s="201">
        <f t="shared" si="304"/>
        <v>340000</v>
      </c>
      <c r="X325" s="201">
        <f t="shared" si="304"/>
        <v>425000</v>
      </c>
      <c r="Y325" s="201">
        <f t="shared" si="304"/>
        <v>510000</v>
      </c>
      <c r="Z325" s="201">
        <f t="shared" si="304"/>
        <v>595000</v>
      </c>
      <c r="AA325" s="201">
        <f t="shared" si="304"/>
        <v>680000</v>
      </c>
      <c r="AB325" s="201">
        <f t="shared" si="304"/>
        <v>765000</v>
      </c>
      <c r="AC325" s="201">
        <f t="shared" si="304"/>
        <v>850000</v>
      </c>
      <c r="AD325" s="201">
        <f t="shared" si="304"/>
        <v>935000</v>
      </c>
      <c r="AE325" s="202">
        <f t="shared" si="304"/>
        <v>1020000</v>
      </c>
      <c r="AF325" s="201">
        <f t="shared" si="304"/>
        <v>1105000</v>
      </c>
      <c r="AG325" s="201">
        <f t="shared" si="304"/>
        <v>1190000</v>
      </c>
      <c r="AH325" s="201">
        <f t="shared" si="304"/>
        <v>1275000</v>
      </c>
      <c r="AI325" s="201">
        <f t="shared" si="304"/>
        <v>1360000</v>
      </c>
      <c r="AJ325" s="201">
        <f t="shared" si="304"/>
        <v>1445000</v>
      </c>
      <c r="AK325" s="201">
        <f t="shared" si="304"/>
        <v>1530000</v>
      </c>
      <c r="AL325" s="201">
        <f t="shared" si="304"/>
        <v>1615000</v>
      </c>
      <c r="AM325" s="201">
        <f t="shared" si="304"/>
        <v>1700000</v>
      </c>
      <c r="AN325" s="201">
        <f t="shared" si="304"/>
        <v>1785000</v>
      </c>
      <c r="AO325" s="201">
        <f t="shared" si="304"/>
        <v>1870000</v>
      </c>
      <c r="AP325" s="201">
        <f t="shared" si="304"/>
        <v>1955000</v>
      </c>
      <c r="AQ325" s="31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31"/>
      <c r="BD325" s="31"/>
      <c r="BE325" s="22"/>
      <c r="BF325" s="22"/>
      <c r="BG325" s="22"/>
      <c r="BH325" s="31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</row>
    <row r="326" spans="1:79" ht="14.25" customHeight="1" outlineLevel="1" x14ac:dyDescent="0.25">
      <c r="A326" s="46"/>
      <c r="B326" s="46"/>
      <c r="C326" s="46"/>
      <c r="D326" s="46"/>
      <c r="E326" s="46"/>
      <c r="F326" s="82" t="s">
        <v>239</v>
      </c>
      <c r="G326" s="82"/>
      <c r="H326" s="82"/>
      <c r="I326" s="82"/>
      <c r="J326" s="82"/>
      <c r="K326" s="82"/>
      <c r="L326" s="22"/>
      <c r="M326" s="157">
        <f t="shared" ref="M326:N326" si="305">L321</f>
        <v>0</v>
      </c>
      <c r="N326" s="157">
        <f t="shared" si="305"/>
        <v>0</v>
      </c>
      <c r="O326" s="157">
        <f t="shared" ref="O326:AP326" si="306">N321+N320</f>
        <v>0</v>
      </c>
      <c r="P326" s="157">
        <f t="shared" si="306"/>
        <v>0</v>
      </c>
      <c r="Q326" s="157">
        <f t="shared" si="306"/>
        <v>0</v>
      </c>
      <c r="R326" s="157">
        <f t="shared" si="306"/>
        <v>24000</v>
      </c>
      <c r="S326" s="158">
        <f t="shared" si="306"/>
        <v>48000</v>
      </c>
      <c r="T326" s="157">
        <f t="shared" si="306"/>
        <v>96000</v>
      </c>
      <c r="U326" s="157">
        <f t="shared" si="306"/>
        <v>144000</v>
      </c>
      <c r="V326" s="157">
        <f t="shared" si="306"/>
        <v>192000</v>
      </c>
      <c r="W326" s="157">
        <f t="shared" si="306"/>
        <v>240000</v>
      </c>
      <c r="X326" s="157">
        <f t="shared" si="306"/>
        <v>288000</v>
      </c>
      <c r="Y326" s="157">
        <f t="shared" si="306"/>
        <v>336000</v>
      </c>
      <c r="Z326" s="157">
        <f t="shared" si="306"/>
        <v>384000</v>
      </c>
      <c r="AA326" s="157">
        <f t="shared" si="306"/>
        <v>432000</v>
      </c>
      <c r="AB326" s="157">
        <f t="shared" si="306"/>
        <v>480000</v>
      </c>
      <c r="AC326" s="157">
        <f t="shared" si="306"/>
        <v>528000</v>
      </c>
      <c r="AD326" s="157">
        <f t="shared" si="306"/>
        <v>576000</v>
      </c>
      <c r="AE326" s="158">
        <f t="shared" si="306"/>
        <v>624000</v>
      </c>
      <c r="AF326" s="157">
        <f t="shared" si="306"/>
        <v>672000</v>
      </c>
      <c r="AG326" s="157">
        <f t="shared" si="306"/>
        <v>720000</v>
      </c>
      <c r="AH326" s="157">
        <f t="shared" si="306"/>
        <v>768000</v>
      </c>
      <c r="AI326" s="157">
        <f t="shared" si="306"/>
        <v>816000</v>
      </c>
      <c r="AJ326" s="157">
        <f t="shared" si="306"/>
        <v>864000</v>
      </c>
      <c r="AK326" s="157">
        <f t="shared" si="306"/>
        <v>912000</v>
      </c>
      <c r="AL326" s="157">
        <f t="shared" si="306"/>
        <v>960000</v>
      </c>
      <c r="AM326" s="157">
        <f t="shared" si="306"/>
        <v>1008000</v>
      </c>
      <c r="AN326" s="157">
        <f t="shared" si="306"/>
        <v>1056000</v>
      </c>
      <c r="AO326" s="157">
        <f t="shared" si="306"/>
        <v>1104000</v>
      </c>
      <c r="AP326" s="157">
        <f t="shared" si="306"/>
        <v>1152000</v>
      </c>
      <c r="AQ326" s="29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29"/>
      <c r="BD326" s="29"/>
      <c r="BE326" s="46"/>
      <c r="BF326" s="46"/>
      <c r="BG326" s="46"/>
      <c r="BH326" s="29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</row>
    <row r="327" spans="1:79" ht="14.25" customHeight="1" outlineLevel="1" x14ac:dyDescent="0.25">
      <c r="A327" s="22"/>
      <c r="B327" s="22"/>
      <c r="C327" s="22"/>
      <c r="D327" s="22"/>
      <c r="E327" s="22"/>
      <c r="F327" s="139" t="s">
        <v>240</v>
      </c>
      <c r="G327" s="139"/>
      <c r="H327" s="139"/>
      <c r="I327" s="139"/>
      <c r="J327" s="139"/>
      <c r="K327" s="139"/>
      <c r="L327" s="46"/>
      <c r="M327" s="140">
        <f t="shared" ref="M327:AP327" si="307">M325-M326</f>
        <v>0</v>
      </c>
      <c r="N327" s="140">
        <f t="shared" si="307"/>
        <v>0</v>
      </c>
      <c r="O327" s="140">
        <f t="shared" si="307"/>
        <v>0</v>
      </c>
      <c r="P327" s="140">
        <f t="shared" si="307"/>
        <v>0</v>
      </c>
      <c r="Q327" s="140">
        <f t="shared" si="307"/>
        <v>0</v>
      </c>
      <c r="R327" s="140">
        <f t="shared" si="307"/>
        <v>-24000</v>
      </c>
      <c r="S327" s="141">
        <f t="shared" si="307"/>
        <v>-5500</v>
      </c>
      <c r="T327" s="140">
        <f t="shared" si="307"/>
        <v>-11000</v>
      </c>
      <c r="U327" s="140">
        <f t="shared" si="307"/>
        <v>26000</v>
      </c>
      <c r="V327" s="140">
        <f t="shared" si="307"/>
        <v>63000</v>
      </c>
      <c r="W327" s="140">
        <f t="shared" si="307"/>
        <v>100000</v>
      </c>
      <c r="X327" s="140">
        <f t="shared" si="307"/>
        <v>137000</v>
      </c>
      <c r="Y327" s="140">
        <f t="shared" si="307"/>
        <v>174000</v>
      </c>
      <c r="Z327" s="140">
        <f t="shared" si="307"/>
        <v>211000</v>
      </c>
      <c r="AA327" s="140">
        <f t="shared" si="307"/>
        <v>248000</v>
      </c>
      <c r="AB327" s="140">
        <f t="shared" si="307"/>
        <v>285000</v>
      </c>
      <c r="AC327" s="140">
        <f t="shared" si="307"/>
        <v>322000</v>
      </c>
      <c r="AD327" s="140">
        <f t="shared" si="307"/>
        <v>359000</v>
      </c>
      <c r="AE327" s="141">
        <f t="shared" si="307"/>
        <v>396000</v>
      </c>
      <c r="AF327" s="140">
        <f t="shared" si="307"/>
        <v>433000</v>
      </c>
      <c r="AG327" s="140">
        <f t="shared" si="307"/>
        <v>470000</v>
      </c>
      <c r="AH327" s="140">
        <f t="shared" si="307"/>
        <v>507000</v>
      </c>
      <c r="AI327" s="140">
        <f t="shared" si="307"/>
        <v>544000</v>
      </c>
      <c r="AJ327" s="140">
        <f t="shared" si="307"/>
        <v>581000</v>
      </c>
      <c r="AK327" s="140">
        <f t="shared" si="307"/>
        <v>618000</v>
      </c>
      <c r="AL327" s="140">
        <f t="shared" si="307"/>
        <v>655000</v>
      </c>
      <c r="AM327" s="140">
        <f t="shared" si="307"/>
        <v>692000</v>
      </c>
      <c r="AN327" s="140">
        <f t="shared" si="307"/>
        <v>729000</v>
      </c>
      <c r="AO327" s="140">
        <f t="shared" si="307"/>
        <v>766000</v>
      </c>
      <c r="AP327" s="140">
        <f t="shared" si="307"/>
        <v>803000</v>
      </c>
      <c r="AQ327" s="31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31"/>
      <c r="BD327" s="31"/>
      <c r="BE327" s="22"/>
      <c r="BF327" s="22"/>
      <c r="BG327" s="22"/>
      <c r="BH327" s="31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</row>
    <row r="328" spans="1:79" ht="14.25" customHeight="1" outlineLevel="1" x14ac:dyDescent="0.25">
      <c r="A328" s="142"/>
      <c r="B328" s="142"/>
      <c r="C328" s="142"/>
      <c r="D328" s="142"/>
      <c r="E328" s="142"/>
      <c r="F328" s="82"/>
      <c r="G328" s="82"/>
      <c r="H328" s="82"/>
      <c r="I328" s="82"/>
      <c r="J328" s="82"/>
      <c r="K328" s="82"/>
      <c r="L328" s="22"/>
      <c r="M328" s="22"/>
      <c r="N328" s="22"/>
      <c r="O328" s="22"/>
      <c r="P328" s="22"/>
      <c r="Q328" s="22"/>
      <c r="R328" s="22"/>
      <c r="S328" s="31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31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146"/>
      <c r="AR328" s="142"/>
      <c r="AS328" s="142"/>
      <c r="AT328" s="142"/>
      <c r="AU328" s="142"/>
      <c r="AV328" s="142"/>
      <c r="AW328" s="142"/>
      <c r="AX328" s="142"/>
      <c r="AY328" s="142"/>
      <c r="AZ328" s="142"/>
      <c r="BA328" s="142"/>
      <c r="BB328" s="142"/>
      <c r="BC328" s="146"/>
      <c r="BD328" s="146"/>
      <c r="BE328" s="142"/>
      <c r="BF328" s="142"/>
      <c r="BG328" s="142"/>
      <c r="BH328" s="146"/>
      <c r="BI328" s="142"/>
      <c r="BJ328" s="142"/>
      <c r="BK328" s="142"/>
      <c r="BL328" s="142"/>
      <c r="BM328" s="142"/>
      <c r="BN328" s="142"/>
      <c r="BO328" s="142"/>
      <c r="BP328" s="142"/>
      <c r="BQ328" s="142"/>
      <c r="BR328" s="142"/>
      <c r="BS328" s="142"/>
      <c r="BT328" s="142"/>
      <c r="BU328" s="142"/>
      <c r="BV328" s="142"/>
      <c r="BW328" s="142"/>
      <c r="BX328" s="142"/>
      <c r="BY328" s="142"/>
      <c r="BZ328" s="142"/>
      <c r="CA328" s="142"/>
    </row>
    <row r="329" spans="1:79" ht="14.25" customHeight="1" outlineLevel="1" x14ac:dyDescent="0.25">
      <c r="A329" s="22"/>
      <c r="B329" s="22"/>
      <c r="C329" s="22"/>
      <c r="D329" s="22"/>
      <c r="E329" s="22"/>
      <c r="F329" s="139" t="s">
        <v>241</v>
      </c>
      <c r="G329" s="82"/>
      <c r="H329" s="82"/>
      <c r="I329" s="82"/>
      <c r="J329" s="82"/>
      <c r="K329" s="82"/>
      <c r="L329" s="22"/>
      <c r="M329" s="22"/>
      <c r="N329" s="22"/>
      <c r="O329" s="22"/>
      <c r="P329" s="22"/>
      <c r="Q329" s="22"/>
      <c r="R329" s="22"/>
      <c r="S329" s="31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31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31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31"/>
      <c r="BD329" s="31"/>
      <c r="BE329" s="22"/>
      <c r="BF329" s="22"/>
      <c r="BG329" s="22"/>
      <c r="BH329" s="31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</row>
    <row r="330" spans="1:79" ht="14.25" customHeight="1" outlineLevel="1" x14ac:dyDescent="0.25">
      <c r="A330" s="22"/>
      <c r="B330" s="22"/>
      <c r="C330" s="22"/>
      <c r="D330" s="22"/>
      <c r="E330" s="22"/>
      <c r="F330" s="82" t="s">
        <v>242</v>
      </c>
      <c r="G330" s="82"/>
      <c r="H330" s="82"/>
      <c r="I330" s="82"/>
      <c r="J330" s="82"/>
      <c r="K330" s="116">
        <f t="shared" ref="K330:AP330" si="308">K318+K319</f>
        <v>0</v>
      </c>
      <c r="L330" s="116">
        <f t="shared" si="308"/>
        <v>0</v>
      </c>
      <c r="M330" s="116">
        <f t="shared" si="308"/>
        <v>0</v>
      </c>
      <c r="N330" s="116">
        <f t="shared" si="308"/>
        <v>0</v>
      </c>
      <c r="O330" s="116">
        <f t="shared" si="308"/>
        <v>0</v>
      </c>
      <c r="P330" s="116">
        <f t="shared" si="308"/>
        <v>0</v>
      </c>
      <c r="Q330" s="116">
        <f t="shared" si="308"/>
        <v>42500</v>
      </c>
      <c r="R330" s="116">
        <f t="shared" si="308"/>
        <v>85000</v>
      </c>
      <c r="S330" s="125">
        <f t="shared" si="308"/>
        <v>170000</v>
      </c>
      <c r="T330" s="116">
        <f t="shared" si="308"/>
        <v>255000</v>
      </c>
      <c r="U330" s="116">
        <f t="shared" si="308"/>
        <v>340000</v>
      </c>
      <c r="V330" s="116">
        <f t="shared" si="308"/>
        <v>425000</v>
      </c>
      <c r="W330" s="116">
        <f t="shared" si="308"/>
        <v>510000</v>
      </c>
      <c r="X330" s="116">
        <f t="shared" si="308"/>
        <v>595000</v>
      </c>
      <c r="Y330" s="116">
        <f t="shared" si="308"/>
        <v>680000</v>
      </c>
      <c r="Z330" s="116">
        <f t="shared" si="308"/>
        <v>765000</v>
      </c>
      <c r="AA330" s="116">
        <f t="shared" si="308"/>
        <v>850000</v>
      </c>
      <c r="AB330" s="116">
        <f t="shared" si="308"/>
        <v>935000</v>
      </c>
      <c r="AC330" s="116">
        <f t="shared" si="308"/>
        <v>1020000</v>
      </c>
      <c r="AD330" s="116">
        <f t="shared" si="308"/>
        <v>1105000</v>
      </c>
      <c r="AE330" s="125">
        <f t="shared" si="308"/>
        <v>1190000</v>
      </c>
      <c r="AF330" s="116">
        <f t="shared" si="308"/>
        <v>1275000</v>
      </c>
      <c r="AG330" s="116">
        <f t="shared" si="308"/>
        <v>1360000</v>
      </c>
      <c r="AH330" s="116">
        <f t="shared" si="308"/>
        <v>1445000</v>
      </c>
      <c r="AI330" s="116">
        <f t="shared" si="308"/>
        <v>1530000</v>
      </c>
      <c r="AJ330" s="116">
        <f t="shared" si="308"/>
        <v>1615000</v>
      </c>
      <c r="AK330" s="116">
        <f t="shared" si="308"/>
        <v>1700000</v>
      </c>
      <c r="AL330" s="116">
        <f t="shared" si="308"/>
        <v>1785000</v>
      </c>
      <c r="AM330" s="116">
        <f t="shared" si="308"/>
        <v>1870000</v>
      </c>
      <c r="AN330" s="116">
        <f t="shared" si="308"/>
        <v>1955000</v>
      </c>
      <c r="AO330" s="116">
        <f t="shared" si="308"/>
        <v>2040000</v>
      </c>
      <c r="AP330" s="116">
        <f t="shared" si="308"/>
        <v>2125000</v>
      </c>
      <c r="AQ330" s="31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31"/>
      <c r="BD330" s="31"/>
      <c r="BE330" s="22"/>
      <c r="BF330" s="22"/>
      <c r="BG330" s="22"/>
      <c r="BH330" s="31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</row>
    <row r="331" spans="1:79" ht="14.25" customHeight="1" outlineLevel="1" x14ac:dyDescent="0.25">
      <c r="A331" s="22"/>
      <c r="B331" s="22"/>
      <c r="C331" s="22"/>
      <c r="D331" s="22"/>
      <c r="E331" s="22"/>
      <c r="F331" s="82" t="s">
        <v>243</v>
      </c>
      <c r="G331" s="82"/>
      <c r="H331" s="82"/>
      <c r="I331" s="82"/>
      <c r="J331" s="82"/>
      <c r="K331" s="82"/>
      <c r="L331" s="22"/>
      <c r="M331" s="116">
        <f>M321</f>
        <v>0</v>
      </c>
      <c r="N331" s="116">
        <f t="shared" ref="N331:AP331" si="309">N320+N321</f>
        <v>0</v>
      </c>
      <c r="O331" s="116">
        <f t="shared" si="309"/>
        <v>0</v>
      </c>
      <c r="P331" s="116">
        <f t="shared" si="309"/>
        <v>0</v>
      </c>
      <c r="Q331" s="116">
        <f t="shared" si="309"/>
        <v>24000</v>
      </c>
      <c r="R331" s="116">
        <f t="shared" si="309"/>
        <v>48000</v>
      </c>
      <c r="S331" s="125">
        <f t="shared" si="309"/>
        <v>96000</v>
      </c>
      <c r="T331" s="116">
        <f t="shared" si="309"/>
        <v>144000</v>
      </c>
      <c r="U331" s="116">
        <f t="shared" si="309"/>
        <v>192000</v>
      </c>
      <c r="V331" s="116">
        <f t="shared" si="309"/>
        <v>240000</v>
      </c>
      <c r="W331" s="116">
        <f t="shared" si="309"/>
        <v>288000</v>
      </c>
      <c r="X331" s="116">
        <f t="shared" si="309"/>
        <v>336000</v>
      </c>
      <c r="Y331" s="116">
        <f t="shared" si="309"/>
        <v>384000</v>
      </c>
      <c r="Z331" s="116">
        <f t="shared" si="309"/>
        <v>432000</v>
      </c>
      <c r="AA331" s="116">
        <f t="shared" si="309"/>
        <v>480000</v>
      </c>
      <c r="AB331" s="116">
        <f t="shared" si="309"/>
        <v>528000</v>
      </c>
      <c r="AC331" s="116">
        <f t="shared" si="309"/>
        <v>576000</v>
      </c>
      <c r="AD331" s="116">
        <f t="shared" si="309"/>
        <v>624000</v>
      </c>
      <c r="AE331" s="125">
        <f t="shared" si="309"/>
        <v>672000</v>
      </c>
      <c r="AF331" s="116">
        <f t="shared" si="309"/>
        <v>720000</v>
      </c>
      <c r="AG331" s="116">
        <f t="shared" si="309"/>
        <v>768000</v>
      </c>
      <c r="AH331" s="116">
        <f t="shared" si="309"/>
        <v>816000</v>
      </c>
      <c r="AI331" s="116">
        <f t="shared" si="309"/>
        <v>864000</v>
      </c>
      <c r="AJ331" s="116">
        <f t="shared" si="309"/>
        <v>912000</v>
      </c>
      <c r="AK331" s="116">
        <f t="shared" si="309"/>
        <v>960000</v>
      </c>
      <c r="AL331" s="116">
        <f t="shared" si="309"/>
        <v>1008000</v>
      </c>
      <c r="AM331" s="116">
        <f t="shared" si="309"/>
        <v>1056000</v>
      </c>
      <c r="AN331" s="116">
        <f t="shared" si="309"/>
        <v>1104000</v>
      </c>
      <c r="AO331" s="116">
        <f t="shared" si="309"/>
        <v>1152000</v>
      </c>
      <c r="AP331" s="116">
        <f t="shared" si="309"/>
        <v>1200000</v>
      </c>
      <c r="AQ331" s="31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31"/>
      <c r="BD331" s="31"/>
      <c r="BE331" s="22"/>
      <c r="BF331" s="22"/>
      <c r="BG331" s="22"/>
      <c r="BH331" s="31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</row>
    <row r="332" spans="1:79" ht="14.25" customHeight="1" outlineLevel="1" x14ac:dyDescent="0.25">
      <c r="A332" s="22"/>
      <c r="B332" s="22"/>
      <c r="C332" s="22"/>
      <c r="D332" s="22"/>
      <c r="E332" s="22"/>
      <c r="F332" s="143"/>
      <c r="G332" s="143"/>
      <c r="H332" s="143"/>
      <c r="I332" s="143"/>
      <c r="J332" s="143"/>
      <c r="K332" s="143"/>
      <c r="L332" s="142"/>
      <c r="M332" s="144"/>
      <c r="N332" s="144"/>
      <c r="O332" s="144"/>
      <c r="P332" s="144"/>
      <c r="Q332" s="144"/>
      <c r="R332" s="144"/>
      <c r="S332" s="145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5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31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31"/>
      <c r="BD332" s="31"/>
      <c r="BE332" s="22"/>
      <c r="BF332" s="22"/>
      <c r="BG332" s="22"/>
      <c r="BH332" s="31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</row>
    <row r="333" spans="1:79" ht="14.25" customHeight="1" outlineLevel="1" x14ac:dyDescent="0.25">
      <c r="A333" s="142"/>
      <c r="B333" s="142"/>
      <c r="C333" s="142"/>
      <c r="D333" s="142"/>
      <c r="E333" s="142"/>
      <c r="F333" s="148" t="s">
        <v>244</v>
      </c>
      <c r="G333" s="143"/>
      <c r="H333" s="143"/>
      <c r="I333" s="143"/>
      <c r="J333" s="143"/>
      <c r="K333" s="143"/>
      <c r="L333" s="142"/>
      <c r="M333" s="144"/>
      <c r="N333" s="144"/>
      <c r="O333" s="144"/>
      <c r="P333" s="144"/>
      <c r="Q333" s="144"/>
      <c r="R333" s="144"/>
      <c r="S333" s="145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5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6"/>
      <c r="AR333" s="142"/>
      <c r="AS333" s="142"/>
      <c r="AT333" s="142"/>
      <c r="AU333" s="142"/>
      <c r="AV333" s="142"/>
      <c r="AW333" s="142"/>
      <c r="AX333" s="142"/>
      <c r="AY333" s="142"/>
      <c r="AZ333" s="142"/>
      <c r="BA333" s="142"/>
      <c r="BB333" s="142"/>
      <c r="BC333" s="146"/>
      <c r="BD333" s="146"/>
      <c r="BE333" s="142"/>
      <c r="BF333" s="142"/>
      <c r="BG333" s="142"/>
      <c r="BH333" s="146"/>
      <c r="BI333" s="142"/>
      <c r="BJ333" s="142"/>
      <c r="BK333" s="142"/>
      <c r="BL333" s="142"/>
      <c r="BM333" s="142"/>
      <c r="BN333" s="142"/>
      <c r="BO333" s="142"/>
      <c r="BP333" s="142"/>
      <c r="BQ333" s="142"/>
      <c r="BR333" s="142"/>
      <c r="BS333" s="142"/>
      <c r="BT333" s="142"/>
      <c r="BU333" s="142"/>
      <c r="BV333" s="142"/>
      <c r="BW333" s="142"/>
      <c r="BX333" s="142"/>
      <c r="BY333" s="142"/>
      <c r="BZ333" s="142"/>
      <c r="CA333" s="142"/>
    </row>
    <row r="334" spans="1:79" ht="14.25" customHeight="1" outlineLevel="1" x14ac:dyDescent="0.25">
      <c r="A334" s="142"/>
      <c r="B334" s="142"/>
      <c r="C334" s="142"/>
      <c r="D334" s="142"/>
      <c r="E334" s="142"/>
      <c r="F334" s="143" t="s">
        <v>317</v>
      </c>
      <c r="G334" s="143"/>
      <c r="H334" s="143"/>
      <c r="I334" s="143"/>
      <c r="J334" s="143"/>
      <c r="K334" s="143"/>
      <c r="L334" s="142"/>
      <c r="M334" s="144"/>
      <c r="N334" s="144">
        <f t="shared" ref="N334:AP334" si="310">N330+M330</f>
        <v>0</v>
      </c>
      <c r="O334" s="144">
        <f t="shared" si="310"/>
        <v>0</v>
      </c>
      <c r="P334" s="144">
        <f t="shared" si="310"/>
        <v>0</v>
      </c>
      <c r="Q334" s="144">
        <f t="shared" si="310"/>
        <v>42500</v>
      </c>
      <c r="R334" s="144">
        <f t="shared" si="310"/>
        <v>127500</v>
      </c>
      <c r="S334" s="145">
        <f t="shared" si="310"/>
        <v>255000</v>
      </c>
      <c r="T334" s="144">
        <f t="shared" si="310"/>
        <v>425000</v>
      </c>
      <c r="U334" s="144">
        <f t="shared" si="310"/>
        <v>595000</v>
      </c>
      <c r="V334" s="144">
        <f t="shared" si="310"/>
        <v>765000</v>
      </c>
      <c r="W334" s="144">
        <f t="shared" si="310"/>
        <v>935000</v>
      </c>
      <c r="X334" s="144">
        <f t="shared" si="310"/>
        <v>1105000</v>
      </c>
      <c r="Y334" s="144">
        <f t="shared" si="310"/>
        <v>1275000</v>
      </c>
      <c r="Z334" s="144">
        <f t="shared" si="310"/>
        <v>1445000</v>
      </c>
      <c r="AA334" s="144">
        <f t="shared" si="310"/>
        <v>1615000</v>
      </c>
      <c r="AB334" s="144">
        <f t="shared" si="310"/>
        <v>1785000</v>
      </c>
      <c r="AC334" s="144">
        <f t="shared" si="310"/>
        <v>1955000</v>
      </c>
      <c r="AD334" s="144">
        <f t="shared" si="310"/>
        <v>2125000</v>
      </c>
      <c r="AE334" s="145">
        <f t="shared" si="310"/>
        <v>2295000</v>
      </c>
      <c r="AF334" s="144">
        <f t="shared" si="310"/>
        <v>2465000</v>
      </c>
      <c r="AG334" s="144">
        <f t="shared" si="310"/>
        <v>2635000</v>
      </c>
      <c r="AH334" s="144">
        <f t="shared" si="310"/>
        <v>2805000</v>
      </c>
      <c r="AI334" s="144">
        <f t="shared" si="310"/>
        <v>2975000</v>
      </c>
      <c r="AJ334" s="144">
        <f t="shared" si="310"/>
        <v>3145000</v>
      </c>
      <c r="AK334" s="144">
        <f t="shared" si="310"/>
        <v>3315000</v>
      </c>
      <c r="AL334" s="144">
        <f t="shared" si="310"/>
        <v>3485000</v>
      </c>
      <c r="AM334" s="144">
        <f t="shared" si="310"/>
        <v>3655000</v>
      </c>
      <c r="AN334" s="144">
        <f t="shared" si="310"/>
        <v>3825000</v>
      </c>
      <c r="AO334" s="144">
        <f t="shared" si="310"/>
        <v>3995000</v>
      </c>
      <c r="AP334" s="144">
        <f t="shared" si="310"/>
        <v>4165000</v>
      </c>
      <c r="AQ334" s="146"/>
      <c r="AR334" s="142"/>
      <c r="AS334" s="142"/>
      <c r="AT334" s="142"/>
      <c r="AU334" s="142"/>
      <c r="AV334" s="142"/>
      <c r="AW334" s="142"/>
      <c r="AX334" s="142"/>
      <c r="AY334" s="142"/>
      <c r="AZ334" s="142"/>
      <c r="BA334" s="142"/>
      <c r="BB334" s="142"/>
      <c r="BC334" s="146"/>
      <c r="BD334" s="146"/>
      <c r="BE334" s="142"/>
      <c r="BF334" s="142"/>
      <c r="BG334" s="142"/>
      <c r="BH334" s="146"/>
      <c r="BI334" s="142"/>
      <c r="BJ334" s="142"/>
      <c r="BK334" s="142"/>
      <c r="BL334" s="142"/>
      <c r="BM334" s="142"/>
      <c r="BN334" s="142"/>
      <c r="BO334" s="142"/>
      <c r="BP334" s="142"/>
      <c r="BQ334" s="142"/>
      <c r="BR334" s="142"/>
      <c r="BS334" s="142"/>
      <c r="BT334" s="142"/>
      <c r="BU334" s="142"/>
      <c r="BV334" s="142"/>
      <c r="BW334" s="142"/>
      <c r="BX334" s="142"/>
      <c r="BY334" s="142"/>
      <c r="BZ334" s="142"/>
      <c r="CA334" s="142"/>
    </row>
    <row r="335" spans="1:79" ht="14.25" customHeight="1" outlineLevel="1" x14ac:dyDescent="0.25">
      <c r="A335" s="142"/>
      <c r="B335" s="142"/>
      <c r="C335" s="142"/>
      <c r="D335" s="142"/>
      <c r="E335" s="142"/>
      <c r="F335" s="143" t="s">
        <v>318</v>
      </c>
      <c r="G335" s="143"/>
      <c r="H335" s="143"/>
      <c r="I335" s="143"/>
      <c r="J335" s="143"/>
      <c r="K335" s="143"/>
      <c r="L335" s="142"/>
      <c r="M335" s="144"/>
      <c r="N335" s="144">
        <f t="shared" ref="N335:AP335" si="311">N331</f>
        <v>0</v>
      </c>
      <c r="O335" s="144">
        <f t="shared" si="311"/>
        <v>0</v>
      </c>
      <c r="P335" s="144">
        <f t="shared" si="311"/>
        <v>0</v>
      </c>
      <c r="Q335" s="144">
        <f t="shared" si="311"/>
        <v>24000</v>
      </c>
      <c r="R335" s="144">
        <f t="shared" si="311"/>
        <v>48000</v>
      </c>
      <c r="S335" s="145">
        <f t="shared" si="311"/>
        <v>96000</v>
      </c>
      <c r="T335" s="144">
        <f t="shared" si="311"/>
        <v>144000</v>
      </c>
      <c r="U335" s="144">
        <f t="shared" si="311"/>
        <v>192000</v>
      </c>
      <c r="V335" s="144">
        <f t="shared" si="311"/>
        <v>240000</v>
      </c>
      <c r="W335" s="144">
        <f t="shared" si="311"/>
        <v>288000</v>
      </c>
      <c r="X335" s="144">
        <f t="shared" si="311"/>
        <v>336000</v>
      </c>
      <c r="Y335" s="144">
        <f t="shared" si="311"/>
        <v>384000</v>
      </c>
      <c r="Z335" s="144">
        <f t="shared" si="311"/>
        <v>432000</v>
      </c>
      <c r="AA335" s="144">
        <f t="shared" si="311"/>
        <v>480000</v>
      </c>
      <c r="AB335" s="144">
        <f t="shared" si="311"/>
        <v>528000</v>
      </c>
      <c r="AC335" s="144">
        <f t="shared" si="311"/>
        <v>576000</v>
      </c>
      <c r="AD335" s="144">
        <f t="shared" si="311"/>
        <v>624000</v>
      </c>
      <c r="AE335" s="145">
        <f t="shared" si="311"/>
        <v>672000</v>
      </c>
      <c r="AF335" s="144">
        <f t="shared" si="311"/>
        <v>720000</v>
      </c>
      <c r="AG335" s="144">
        <f t="shared" si="311"/>
        <v>768000</v>
      </c>
      <c r="AH335" s="144">
        <f t="shared" si="311"/>
        <v>816000</v>
      </c>
      <c r="AI335" s="144">
        <f t="shared" si="311"/>
        <v>864000</v>
      </c>
      <c r="AJ335" s="144">
        <f t="shared" si="311"/>
        <v>912000</v>
      </c>
      <c r="AK335" s="144">
        <f t="shared" si="311"/>
        <v>960000</v>
      </c>
      <c r="AL335" s="144">
        <f t="shared" si="311"/>
        <v>1008000</v>
      </c>
      <c r="AM335" s="144">
        <f t="shared" si="311"/>
        <v>1056000</v>
      </c>
      <c r="AN335" s="144">
        <f t="shared" si="311"/>
        <v>1104000</v>
      </c>
      <c r="AO335" s="144">
        <f t="shared" si="311"/>
        <v>1152000</v>
      </c>
      <c r="AP335" s="144">
        <f t="shared" si="311"/>
        <v>1200000</v>
      </c>
      <c r="AQ335" s="146"/>
      <c r="AR335" s="142"/>
      <c r="AS335" s="142"/>
      <c r="AT335" s="142"/>
      <c r="AU335" s="142"/>
      <c r="AV335" s="142"/>
      <c r="AW335" s="142"/>
      <c r="AX335" s="142"/>
      <c r="AY335" s="142"/>
      <c r="AZ335" s="142"/>
      <c r="BA335" s="142"/>
      <c r="BB335" s="142"/>
      <c r="BC335" s="146"/>
      <c r="BD335" s="146"/>
      <c r="BE335" s="142"/>
      <c r="BF335" s="142"/>
      <c r="BG335" s="142"/>
      <c r="BH335" s="146"/>
      <c r="BI335" s="142"/>
      <c r="BJ335" s="142"/>
      <c r="BK335" s="142"/>
      <c r="BL335" s="142"/>
      <c r="BM335" s="142"/>
      <c r="BN335" s="142"/>
      <c r="BO335" s="142"/>
      <c r="BP335" s="142"/>
      <c r="BQ335" s="142"/>
      <c r="BR335" s="142"/>
      <c r="BS335" s="142"/>
      <c r="BT335" s="142"/>
      <c r="BU335" s="142"/>
      <c r="BV335" s="142"/>
      <c r="BW335" s="142"/>
      <c r="BX335" s="142"/>
      <c r="BY335" s="142"/>
      <c r="BZ335" s="142"/>
      <c r="CA335" s="142"/>
    </row>
    <row r="336" spans="1:79" ht="14.25" customHeight="1" outlineLevel="1" x14ac:dyDescent="0.25">
      <c r="A336" s="22"/>
      <c r="B336" s="22"/>
      <c r="C336" s="22"/>
      <c r="D336" s="22"/>
      <c r="E336" s="22"/>
      <c r="F336" s="82"/>
      <c r="G336" s="82"/>
      <c r="H336" s="82"/>
      <c r="I336" s="82"/>
      <c r="J336" s="82"/>
      <c r="K336" s="82"/>
      <c r="L336" s="22"/>
      <c r="M336" s="22"/>
      <c r="N336" s="116"/>
      <c r="O336" s="116"/>
      <c r="P336" s="116"/>
      <c r="Q336" s="116"/>
      <c r="R336" s="116"/>
      <c r="S336" s="125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25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31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31"/>
      <c r="BD336" s="31"/>
      <c r="BE336" s="22"/>
      <c r="BF336" s="22"/>
      <c r="BG336" s="22"/>
      <c r="BH336" s="31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</row>
    <row r="337" spans="1:79" ht="14.25" customHeight="1" outlineLevel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31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31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31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31"/>
      <c r="BD337" s="31"/>
      <c r="BE337" s="22"/>
      <c r="BF337" s="22"/>
      <c r="BG337" s="22"/>
      <c r="BH337" s="31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</row>
    <row r="338" spans="1:79" ht="14.25" customHeight="1" x14ac:dyDescent="0.25">
      <c r="A338" s="22"/>
      <c r="B338" s="22"/>
      <c r="C338" s="22"/>
      <c r="D338" s="22"/>
      <c r="E338" s="22"/>
      <c r="F338" s="80"/>
      <c r="G338" s="82"/>
      <c r="H338" s="82"/>
      <c r="I338" s="82"/>
      <c r="J338" s="82"/>
      <c r="K338" s="82"/>
      <c r="L338" s="22"/>
      <c r="M338" s="22"/>
      <c r="N338" s="22"/>
      <c r="O338" s="22"/>
      <c r="P338" s="22"/>
      <c r="Q338" s="22"/>
      <c r="R338" s="22"/>
      <c r="S338" s="31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31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31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31"/>
      <c r="BD338" s="31"/>
      <c r="BE338" s="22"/>
      <c r="BF338" s="22"/>
      <c r="BG338" s="22"/>
      <c r="BH338" s="31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</row>
    <row r="339" spans="1:79" ht="14.25" customHeight="1" x14ac:dyDescent="0.25">
      <c r="A339" s="30"/>
      <c r="B339" s="30" t="s">
        <v>18</v>
      </c>
      <c r="C339" s="30"/>
      <c r="D339" s="30"/>
      <c r="E339" s="30"/>
      <c r="F339" s="110"/>
      <c r="G339" s="138"/>
      <c r="H339" s="138"/>
      <c r="I339" s="138"/>
      <c r="J339" s="138"/>
      <c r="K339" s="138"/>
      <c r="L339" s="30"/>
      <c r="M339" s="30"/>
      <c r="N339" s="30"/>
      <c r="O339" s="30"/>
      <c r="P339" s="30"/>
      <c r="Q339" s="30"/>
      <c r="R339" s="30"/>
      <c r="S339" s="111"/>
      <c r="T339" s="126">
        <f t="shared" ref="T339:AP339" si="312">T380</f>
        <v>0</v>
      </c>
      <c r="U339" s="126">
        <f t="shared" si="312"/>
        <v>0</v>
      </c>
      <c r="V339" s="126">
        <f t="shared" si="312"/>
        <v>0</v>
      </c>
      <c r="W339" s="126">
        <f t="shared" si="312"/>
        <v>0</v>
      </c>
      <c r="X339" s="126">
        <f t="shared" si="312"/>
        <v>0</v>
      </c>
      <c r="Y339" s="126">
        <f t="shared" si="312"/>
        <v>834900.00000000012</v>
      </c>
      <c r="Z339" s="126">
        <f t="shared" si="312"/>
        <v>834900.00000000012</v>
      </c>
      <c r="AA339" s="126">
        <f t="shared" si="312"/>
        <v>834900.00000000012</v>
      </c>
      <c r="AB339" s="126">
        <f t="shared" si="312"/>
        <v>1669800.0000000002</v>
      </c>
      <c r="AC339" s="126">
        <f t="shared" si="312"/>
        <v>1669800.0000000002</v>
      </c>
      <c r="AD339" s="126">
        <f t="shared" si="312"/>
        <v>1669800.0000000002</v>
      </c>
      <c r="AE339" s="127">
        <f t="shared" si="312"/>
        <v>2504700.0000000005</v>
      </c>
      <c r="AF339" s="126">
        <f t="shared" si="312"/>
        <v>2504700.0000000005</v>
      </c>
      <c r="AG339" s="126">
        <f t="shared" si="312"/>
        <v>3339600.0000000005</v>
      </c>
      <c r="AH339" s="126">
        <f t="shared" si="312"/>
        <v>3339600.0000000005</v>
      </c>
      <c r="AI339" s="126">
        <f t="shared" si="312"/>
        <v>4174500.0000000005</v>
      </c>
      <c r="AJ339" s="126">
        <f t="shared" si="312"/>
        <v>4174500.0000000005</v>
      </c>
      <c r="AK339" s="126">
        <f t="shared" si="312"/>
        <v>4174500.0000000005</v>
      </c>
      <c r="AL339" s="126">
        <f t="shared" si="312"/>
        <v>7025700</v>
      </c>
      <c r="AM339" s="126">
        <f t="shared" si="312"/>
        <v>7860600</v>
      </c>
      <c r="AN339" s="126">
        <f t="shared" si="312"/>
        <v>7860600</v>
      </c>
      <c r="AO339" s="126">
        <f t="shared" si="312"/>
        <v>7860600</v>
      </c>
      <c r="AP339" s="126">
        <f t="shared" si="312"/>
        <v>10711800</v>
      </c>
      <c r="AQ339" s="111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111"/>
      <c r="BD339" s="111"/>
      <c r="BE339" s="30"/>
      <c r="BF339" s="30"/>
      <c r="BG339" s="30"/>
      <c r="BH339" s="111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</row>
    <row r="340" spans="1:79" ht="14.25" hidden="1" customHeight="1" outlineLevel="1" x14ac:dyDescent="0.25">
      <c r="A340" s="46"/>
      <c r="B340" s="46"/>
      <c r="C340" s="46"/>
      <c r="D340" s="46"/>
      <c r="E340" s="46"/>
      <c r="F340" s="81"/>
      <c r="G340" s="139"/>
      <c r="H340" s="139"/>
      <c r="I340" s="139"/>
      <c r="J340" s="139"/>
      <c r="K340" s="139"/>
      <c r="L340" s="46"/>
      <c r="M340" s="46"/>
      <c r="N340" s="46"/>
      <c r="O340" s="46"/>
      <c r="P340" s="46"/>
      <c r="Q340" s="46"/>
      <c r="R340" s="46"/>
      <c r="S340" s="29"/>
      <c r="T340" s="140"/>
      <c r="U340" s="140"/>
      <c r="V340" s="140"/>
      <c r="W340" s="140"/>
      <c r="X340" s="140"/>
      <c r="Y340" s="140"/>
      <c r="Z340" s="140"/>
      <c r="AA340" s="140"/>
      <c r="AB340" s="140"/>
      <c r="AC340" s="140"/>
      <c r="AD340" s="140"/>
      <c r="AE340" s="141"/>
      <c r="AF340" s="140"/>
      <c r="AG340" s="140"/>
      <c r="AH340" s="140"/>
      <c r="AI340" s="140"/>
      <c r="AJ340" s="140"/>
      <c r="AK340" s="140"/>
      <c r="AL340" s="140"/>
      <c r="AM340" s="140"/>
      <c r="AN340" s="140"/>
      <c r="AO340" s="140"/>
      <c r="AP340" s="140"/>
      <c r="AQ340" s="29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29"/>
      <c r="BD340" s="29"/>
      <c r="BE340" s="46"/>
      <c r="BF340" s="46"/>
      <c r="BG340" s="46"/>
      <c r="BH340" s="29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</row>
    <row r="341" spans="1:79" ht="14.25" hidden="1" customHeight="1" outlineLevel="1" x14ac:dyDescent="0.25">
      <c r="A341" s="46"/>
      <c r="B341" s="46" t="s">
        <v>319</v>
      </c>
      <c r="C341" s="46" t="s">
        <v>320</v>
      </c>
      <c r="D341" s="46" t="s">
        <v>321</v>
      </c>
      <c r="E341" s="46"/>
      <c r="F341" s="81"/>
      <c r="G341" s="139"/>
      <c r="H341" s="139"/>
      <c r="I341" s="139"/>
      <c r="J341" s="139"/>
      <c r="K341" s="139"/>
      <c r="L341" s="46"/>
      <c r="M341" s="46"/>
      <c r="N341" s="46"/>
      <c r="O341" s="46"/>
      <c r="P341" s="46"/>
      <c r="Q341" s="46"/>
      <c r="R341" s="46"/>
      <c r="S341" s="29"/>
      <c r="T341" s="140"/>
      <c r="U341" s="140"/>
      <c r="V341" s="140"/>
      <c r="W341" s="140"/>
      <c r="X341" s="140"/>
      <c r="Y341" s="140"/>
      <c r="Z341" s="140"/>
      <c r="AA341" s="140"/>
      <c r="AB341" s="140"/>
      <c r="AC341" s="140"/>
      <c r="AD341" s="140"/>
      <c r="AE341" s="141"/>
      <c r="AF341" s="140"/>
      <c r="AG341" s="140"/>
      <c r="AH341" s="140"/>
      <c r="AI341" s="140"/>
      <c r="AJ341" s="140"/>
      <c r="AK341" s="140"/>
      <c r="AL341" s="140"/>
      <c r="AM341" s="140"/>
      <c r="AN341" s="140"/>
      <c r="AO341" s="140"/>
      <c r="AP341" s="140"/>
      <c r="AQ341" s="29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29"/>
      <c r="BD341" s="29"/>
      <c r="BE341" s="46"/>
      <c r="BF341" s="46"/>
      <c r="BG341" s="46"/>
      <c r="BH341" s="29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</row>
    <row r="342" spans="1:79" ht="14.25" hidden="1" customHeight="1" outlineLevel="1" x14ac:dyDescent="0.25">
      <c r="A342" s="22"/>
      <c r="B342" s="22" t="s">
        <v>322</v>
      </c>
      <c r="C342" s="162">
        <v>9</v>
      </c>
      <c r="D342" s="162">
        <f>C342/3</f>
        <v>3</v>
      </c>
      <c r="E342" s="22"/>
      <c r="F342" s="80"/>
      <c r="G342" s="82"/>
      <c r="H342" s="82"/>
      <c r="I342" s="82"/>
      <c r="J342" s="82"/>
      <c r="K342" s="82"/>
      <c r="L342" s="22"/>
      <c r="M342" s="22"/>
      <c r="N342" s="22"/>
      <c r="O342" s="22"/>
      <c r="P342" s="22"/>
      <c r="Q342" s="22"/>
      <c r="R342" s="22"/>
      <c r="S342" s="31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25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31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31"/>
      <c r="BD342" s="31"/>
      <c r="BE342" s="22"/>
      <c r="BF342" s="22"/>
      <c r="BG342" s="22"/>
      <c r="BH342" s="31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</row>
    <row r="343" spans="1:79" ht="14.25" hidden="1" customHeight="1" outlineLevel="1" x14ac:dyDescent="0.25">
      <c r="A343" s="22"/>
      <c r="B343" s="22" t="s">
        <v>323</v>
      </c>
      <c r="C343" s="162">
        <v>1000</v>
      </c>
      <c r="D343" s="162">
        <v>1000</v>
      </c>
      <c r="E343" s="22"/>
      <c r="F343" s="80"/>
      <c r="G343" s="82"/>
      <c r="H343" s="82"/>
      <c r="I343" s="82"/>
      <c r="J343" s="82"/>
      <c r="K343" s="82"/>
      <c r="L343" s="22"/>
      <c r="M343" s="22"/>
      <c r="N343" s="22"/>
      <c r="O343" s="22"/>
      <c r="P343" s="22"/>
      <c r="Q343" s="22"/>
      <c r="R343" s="22"/>
      <c r="S343" s="31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25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31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31"/>
      <c r="BD343" s="31"/>
      <c r="BE343" s="22"/>
      <c r="BF343" s="22"/>
      <c r="BG343" s="22"/>
      <c r="BH343" s="31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</row>
    <row r="344" spans="1:79" ht="14.25" hidden="1" customHeight="1" outlineLevel="1" x14ac:dyDescent="0.25">
      <c r="A344" s="22"/>
      <c r="B344" s="22" t="s">
        <v>324</v>
      </c>
      <c r="C344" s="186">
        <v>0.4</v>
      </c>
      <c r="D344" s="186">
        <v>0.4</v>
      </c>
      <c r="E344" s="22"/>
      <c r="F344" s="80"/>
      <c r="G344" s="82"/>
      <c r="H344" s="82"/>
      <c r="I344" s="82"/>
      <c r="J344" s="82"/>
      <c r="K344" s="82"/>
      <c r="L344" s="22"/>
      <c r="M344" s="22"/>
      <c r="N344" s="22"/>
      <c r="O344" s="22"/>
      <c r="P344" s="22"/>
      <c r="Q344" s="22"/>
      <c r="R344" s="22"/>
      <c r="S344" s="31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25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31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31"/>
      <c r="BD344" s="31"/>
      <c r="BE344" s="22"/>
      <c r="BF344" s="22"/>
      <c r="BG344" s="22"/>
      <c r="BH344" s="31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</row>
    <row r="345" spans="1:79" ht="14.25" hidden="1" customHeight="1" outlineLevel="1" x14ac:dyDescent="0.25">
      <c r="A345" s="22"/>
      <c r="B345" s="22" t="s">
        <v>325</v>
      </c>
      <c r="C345" s="11">
        <f t="shared" ref="C345:D345" si="313">C342*C344*C343</f>
        <v>3600</v>
      </c>
      <c r="D345" s="11">
        <f t="shared" si="313"/>
        <v>1200.0000000000002</v>
      </c>
      <c r="E345" s="22"/>
      <c r="F345" s="80"/>
      <c r="G345" s="82"/>
      <c r="H345" s="82"/>
      <c r="I345" s="82"/>
      <c r="J345" s="82"/>
      <c r="K345" s="82"/>
      <c r="L345" s="22"/>
      <c r="M345" s="22"/>
      <c r="N345" s="22"/>
      <c r="O345" s="22"/>
      <c r="P345" s="22"/>
      <c r="Q345" s="22"/>
      <c r="R345" s="22"/>
      <c r="S345" s="31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31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31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31"/>
      <c r="BD345" s="31"/>
      <c r="BE345" s="22"/>
      <c r="BF345" s="22"/>
      <c r="BG345" s="22"/>
      <c r="BH345" s="31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</row>
    <row r="346" spans="1:79" ht="14.25" hidden="1" customHeight="1" outlineLevel="1" x14ac:dyDescent="0.25">
      <c r="A346" s="22"/>
      <c r="B346" s="22" t="s">
        <v>326</v>
      </c>
      <c r="C346" s="162">
        <v>125</v>
      </c>
      <c r="D346" s="162">
        <v>125</v>
      </c>
      <c r="E346" s="22"/>
      <c r="F346" s="80"/>
      <c r="G346" s="82"/>
      <c r="H346" s="82"/>
      <c r="I346" s="82"/>
      <c r="J346" s="82"/>
      <c r="K346" s="82"/>
      <c r="L346" s="22"/>
      <c r="M346" s="22"/>
      <c r="N346" s="22"/>
      <c r="O346" s="22"/>
      <c r="P346" s="22"/>
      <c r="Q346" s="22"/>
      <c r="R346" s="22"/>
      <c r="S346" s="31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31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31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31"/>
      <c r="BD346" s="31"/>
      <c r="BE346" s="22"/>
      <c r="BF346" s="22"/>
      <c r="BG346" s="22"/>
      <c r="BH346" s="31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</row>
    <row r="347" spans="1:79" ht="14.25" hidden="1" customHeight="1" outlineLevel="1" x14ac:dyDescent="0.25">
      <c r="A347" s="22"/>
      <c r="B347" s="22" t="s">
        <v>327</v>
      </c>
      <c r="C347" s="186">
        <v>0.2</v>
      </c>
      <c r="D347" s="186">
        <v>0.1</v>
      </c>
      <c r="E347" s="22"/>
      <c r="F347" s="80"/>
      <c r="G347" s="82"/>
      <c r="H347" s="82"/>
      <c r="I347" s="82"/>
      <c r="J347" s="82"/>
      <c r="K347" s="82"/>
      <c r="L347" s="22"/>
      <c r="M347" s="22"/>
      <c r="N347" s="22"/>
      <c r="O347" s="22"/>
      <c r="P347" s="22"/>
      <c r="Q347" s="22"/>
      <c r="R347" s="22"/>
      <c r="S347" s="31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31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31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31"/>
      <c r="BD347" s="31"/>
      <c r="BE347" s="22"/>
      <c r="BF347" s="22"/>
      <c r="BG347" s="22"/>
      <c r="BH347" s="31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</row>
    <row r="348" spans="1:79" ht="14.25" hidden="1" customHeight="1" outlineLevel="1" x14ac:dyDescent="0.25">
      <c r="A348" s="22"/>
      <c r="B348" s="22" t="s">
        <v>328</v>
      </c>
      <c r="C348" s="116">
        <f t="shared" ref="C348:D348" si="314">C346*C347</f>
        <v>25</v>
      </c>
      <c r="D348" s="116">
        <f t="shared" si="314"/>
        <v>12.5</v>
      </c>
      <c r="E348" s="22"/>
      <c r="F348" s="80"/>
      <c r="G348" s="82"/>
      <c r="H348" s="82"/>
      <c r="I348" s="82"/>
      <c r="J348" s="82"/>
      <c r="K348" s="82"/>
      <c r="L348" s="22"/>
      <c r="M348" s="22"/>
      <c r="N348" s="22"/>
      <c r="O348" s="22"/>
      <c r="P348" s="22"/>
      <c r="Q348" s="22"/>
      <c r="R348" s="22"/>
      <c r="S348" s="31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31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31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31"/>
      <c r="BD348" s="31"/>
      <c r="BE348" s="22"/>
      <c r="BF348" s="22"/>
      <c r="BG348" s="22"/>
      <c r="BH348" s="31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</row>
    <row r="349" spans="1:79" ht="14.25" hidden="1" customHeight="1" outlineLevel="1" x14ac:dyDescent="0.25">
      <c r="A349" s="22"/>
      <c r="B349" s="22" t="s">
        <v>21</v>
      </c>
      <c r="C349" s="116">
        <f t="shared" ref="C349:D349" si="315">C348+C346</f>
        <v>150</v>
      </c>
      <c r="D349" s="116">
        <f t="shared" si="315"/>
        <v>137.5</v>
      </c>
      <c r="E349" s="22"/>
      <c r="F349" s="80"/>
      <c r="G349" s="82"/>
      <c r="H349" s="82"/>
      <c r="I349" s="82"/>
      <c r="J349" s="82"/>
      <c r="K349" s="82"/>
      <c r="L349" s="22"/>
      <c r="M349" s="22"/>
      <c r="N349" s="22"/>
      <c r="O349" s="22"/>
      <c r="P349" s="22"/>
      <c r="Q349" s="22"/>
      <c r="R349" s="22"/>
      <c r="S349" s="31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31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31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31"/>
      <c r="BD349" s="31"/>
      <c r="BE349" s="22"/>
      <c r="BF349" s="22"/>
      <c r="BG349" s="22"/>
      <c r="BH349" s="31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</row>
    <row r="350" spans="1:79" ht="14.25" hidden="1" customHeight="1" outlineLevel="1" x14ac:dyDescent="0.25">
      <c r="A350" s="22"/>
      <c r="B350" s="22" t="s">
        <v>329</v>
      </c>
      <c r="C350" s="186">
        <v>0.2</v>
      </c>
      <c r="D350" s="186">
        <v>0.15</v>
      </c>
      <c r="E350" s="22"/>
      <c r="F350" s="80"/>
      <c r="G350" s="82"/>
      <c r="H350" s="82"/>
      <c r="I350" s="82"/>
      <c r="J350" s="82"/>
      <c r="K350" s="82"/>
      <c r="L350" s="22"/>
      <c r="M350" s="22"/>
      <c r="N350" s="22"/>
      <c r="O350" s="22"/>
      <c r="P350" s="22"/>
      <c r="Q350" s="22"/>
      <c r="R350" s="22"/>
      <c r="S350" s="31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31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31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31"/>
      <c r="BD350" s="31"/>
      <c r="BE350" s="22"/>
      <c r="BF350" s="22"/>
      <c r="BG350" s="22"/>
      <c r="BH350" s="31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</row>
    <row r="351" spans="1:79" ht="14.25" hidden="1" customHeight="1" outlineLevel="1" x14ac:dyDescent="0.25">
      <c r="A351" s="22"/>
      <c r="B351" s="22" t="s">
        <v>330</v>
      </c>
      <c r="C351" s="131">
        <f>1-(100/120)</f>
        <v>0.16666666666666663</v>
      </c>
      <c r="D351" s="131">
        <f>1-(100/115)</f>
        <v>0.13043478260869568</v>
      </c>
      <c r="E351" s="22"/>
      <c r="F351" s="80"/>
      <c r="G351" s="82"/>
      <c r="H351" s="82"/>
      <c r="I351" s="82"/>
      <c r="J351" s="82"/>
      <c r="K351" s="82"/>
      <c r="L351" s="22"/>
      <c r="M351" s="22"/>
      <c r="N351" s="22"/>
      <c r="O351" s="22"/>
      <c r="P351" s="22"/>
      <c r="Q351" s="22"/>
      <c r="R351" s="22"/>
      <c r="S351" s="31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31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31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31"/>
      <c r="BD351" s="31"/>
      <c r="BE351" s="22"/>
      <c r="BF351" s="22"/>
      <c r="BG351" s="22"/>
      <c r="BH351" s="31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</row>
    <row r="352" spans="1:79" ht="14.25" hidden="1" customHeight="1" outlineLevel="1" x14ac:dyDescent="0.25">
      <c r="A352" s="22"/>
      <c r="B352" s="22" t="s">
        <v>331</v>
      </c>
      <c r="C352" s="116">
        <f t="shared" ref="C352:D352" si="316">C349+(C350*C349)</f>
        <v>180</v>
      </c>
      <c r="D352" s="116">
        <f t="shared" si="316"/>
        <v>158.125</v>
      </c>
      <c r="E352" s="22"/>
      <c r="F352" s="80"/>
      <c r="G352" s="82"/>
      <c r="H352" s="82"/>
      <c r="I352" s="82"/>
      <c r="J352" s="82"/>
      <c r="K352" s="82"/>
      <c r="L352" s="22"/>
      <c r="M352" s="22"/>
      <c r="N352" s="22"/>
      <c r="O352" s="22"/>
      <c r="P352" s="22"/>
      <c r="Q352" s="22"/>
      <c r="R352" s="22"/>
      <c r="S352" s="31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31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31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31"/>
      <c r="BD352" s="31"/>
      <c r="BE352" s="22"/>
      <c r="BF352" s="22"/>
      <c r="BG352" s="22"/>
      <c r="BH352" s="31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</row>
    <row r="353" spans="1:79" ht="14.25" hidden="1" customHeight="1" outlineLevel="1" x14ac:dyDescent="0.25">
      <c r="A353" s="22"/>
      <c r="B353" s="22" t="s">
        <v>332</v>
      </c>
      <c r="C353" s="162">
        <v>2</v>
      </c>
      <c r="D353" s="162">
        <v>2</v>
      </c>
      <c r="E353" s="22"/>
      <c r="F353" s="80"/>
      <c r="G353" s="82"/>
      <c r="H353" s="82"/>
      <c r="I353" s="82"/>
      <c r="J353" s="82"/>
      <c r="K353" s="82"/>
      <c r="L353" s="22"/>
      <c r="M353" s="22"/>
      <c r="N353" s="22"/>
      <c r="O353" s="22"/>
      <c r="P353" s="22"/>
      <c r="Q353" s="22"/>
      <c r="R353" s="22"/>
      <c r="S353" s="31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31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31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31"/>
      <c r="BD353" s="31"/>
      <c r="BE353" s="22"/>
      <c r="BF353" s="22"/>
      <c r="BG353" s="22"/>
      <c r="BH353" s="31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</row>
    <row r="354" spans="1:79" ht="14.25" hidden="1" customHeight="1" outlineLevel="1" x14ac:dyDescent="0.25">
      <c r="A354" s="22"/>
      <c r="B354" s="22" t="s">
        <v>333</v>
      </c>
      <c r="C354" s="11">
        <f t="shared" ref="C354:D354" si="317">C345*C353</f>
        <v>7200</v>
      </c>
      <c r="D354" s="11">
        <f t="shared" si="317"/>
        <v>2400.0000000000005</v>
      </c>
      <c r="E354" s="22"/>
      <c r="F354" s="80"/>
      <c r="G354" s="82"/>
      <c r="H354" s="82"/>
      <c r="I354" s="82"/>
      <c r="J354" s="82"/>
      <c r="K354" s="82"/>
      <c r="L354" s="22"/>
      <c r="M354" s="22"/>
      <c r="N354" s="22"/>
      <c r="O354" s="22"/>
      <c r="P354" s="22"/>
      <c r="Q354" s="22"/>
      <c r="R354" s="22"/>
      <c r="S354" s="31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31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31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31"/>
      <c r="BD354" s="31"/>
      <c r="BE354" s="22"/>
      <c r="BF354" s="22"/>
      <c r="BG354" s="22"/>
      <c r="BH354" s="31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</row>
    <row r="355" spans="1:79" ht="14.25" hidden="1" customHeight="1" outlineLevel="1" x14ac:dyDescent="0.25">
      <c r="A355" s="22"/>
      <c r="B355" s="22" t="s">
        <v>334</v>
      </c>
      <c r="C355" s="116">
        <f t="shared" ref="C355:D355" si="318">C352*C353</f>
        <v>360</v>
      </c>
      <c r="D355" s="116">
        <f t="shared" si="318"/>
        <v>316.25</v>
      </c>
      <c r="E355" s="22"/>
      <c r="F355" s="80"/>
      <c r="G355" s="82"/>
      <c r="H355" s="82"/>
      <c r="I355" s="82"/>
      <c r="J355" s="82"/>
      <c r="K355" s="82"/>
      <c r="L355" s="22"/>
      <c r="M355" s="22"/>
      <c r="N355" s="22"/>
      <c r="O355" s="22"/>
      <c r="P355" s="22"/>
      <c r="Q355" s="22"/>
      <c r="R355" s="22"/>
      <c r="S355" s="31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31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31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31"/>
      <c r="BD355" s="31"/>
      <c r="BE355" s="22"/>
      <c r="BF355" s="22"/>
      <c r="BG355" s="22"/>
      <c r="BH355" s="31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</row>
    <row r="356" spans="1:79" ht="14.25" hidden="1" customHeight="1" outlineLevel="1" x14ac:dyDescent="0.25">
      <c r="A356" s="22"/>
      <c r="B356" s="22" t="s">
        <v>335</v>
      </c>
      <c r="C356" s="116">
        <f t="shared" ref="C356:D356" si="319">C354*C355</f>
        <v>2592000</v>
      </c>
      <c r="D356" s="116">
        <f t="shared" si="319"/>
        <v>759000.00000000012</v>
      </c>
      <c r="E356" s="22"/>
      <c r="F356" s="80"/>
      <c r="G356" s="82"/>
      <c r="H356" s="82"/>
      <c r="I356" s="82"/>
      <c r="J356" s="82"/>
      <c r="K356" s="82"/>
      <c r="L356" s="22"/>
      <c r="M356" s="22"/>
      <c r="N356" s="22"/>
      <c r="O356" s="22"/>
      <c r="P356" s="22"/>
      <c r="Q356" s="22"/>
      <c r="R356" s="22"/>
      <c r="S356" s="31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31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31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31"/>
      <c r="BD356" s="31"/>
      <c r="BE356" s="22"/>
      <c r="BF356" s="22"/>
      <c r="BG356" s="22"/>
      <c r="BH356" s="31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</row>
    <row r="357" spans="1:79" ht="14.25" hidden="1" customHeight="1" outlineLevel="1" x14ac:dyDescent="0.25">
      <c r="A357" s="22"/>
      <c r="B357" s="22" t="s">
        <v>336</v>
      </c>
      <c r="C357" s="162">
        <v>2</v>
      </c>
      <c r="D357" s="162">
        <v>2</v>
      </c>
      <c r="E357" s="22"/>
      <c r="F357" s="80"/>
      <c r="G357" s="82"/>
      <c r="H357" s="82"/>
      <c r="I357" s="82"/>
      <c r="J357" s="82"/>
      <c r="K357" s="82"/>
      <c r="L357" s="22"/>
      <c r="M357" s="22"/>
      <c r="N357" s="22"/>
      <c r="O357" s="22"/>
      <c r="P357" s="22"/>
      <c r="Q357" s="22"/>
      <c r="R357" s="22"/>
      <c r="S357" s="31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31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31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31"/>
      <c r="BD357" s="31"/>
      <c r="BE357" s="22"/>
      <c r="BF357" s="22"/>
      <c r="BG357" s="22"/>
      <c r="BH357" s="31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</row>
    <row r="358" spans="1:79" ht="14.25" hidden="1" customHeight="1" outlineLevel="1" x14ac:dyDescent="0.25">
      <c r="A358" s="22"/>
      <c r="B358" s="22" t="s">
        <v>337</v>
      </c>
      <c r="C358" s="162">
        <v>5</v>
      </c>
      <c r="D358" s="162">
        <v>5</v>
      </c>
      <c r="E358" s="22"/>
      <c r="F358" s="80"/>
      <c r="G358" s="82"/>
      <c r="H358" s="82"/>
      <c r="I358" s="82"/>
      <c r="J358" s="82"/>
      <c r="K358" s="82"/>
      <c r="L358" s="22"/>
      <c r="M358" s="22"/>
      <c r="N358" s="22"/>
      <c r="O358" s="22"/>
      <c r="P358" s="22"/>
      <c r="Q358" s="22"/>
      <c r="R358" s="22"/>
      <c r="S358" s="31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31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31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31"/>
      <c r="BD358" s="31"/>
      <c r="BE358" s="22"/>
      <c r="BF358" s="22"/>
      <c r="BG358" s="22"/>
      <c r="BH358" s="31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</row>
    <row r="359" spans="1:79" ht="14.25" hidden="1" customHeight="1" outlineLevel="1" x14ac:dyDescent="0.25">
      <c r="A359" s="22"/>
      <c r="B359" s="22" t="s">
        <v>338</v>
      </c>
      <c r="C359" s="11">
        <f t="shared" ref="C359:D359" si="320">C345*C357/C358</f>
        <v>1440</v>
      </c>
      <c r="D359" s="11">
        <f t="shared" si="320"/>
        <v>480.00000000000011</v>
      </c>
      <c r="E359" s="22"/>
      <c r="F359" s="80"/>
      <c r="G359" s="82"/>
      <c r="H359" s="82"/>
      <c r="I359" s="82"/>
      <c r="J359" s="82"/>
      <c r="K359" s="82"/>
      <c r="L359" s="22"/>
      <c r="M359" s="22"/>
      <c r="N359" s="22"/>
      <c r="O359" s="22"/>
      <c r="P359" s="22"/>
      <c r="Q359" s="22"/>
      <c r="R359" s="22"/>
      <c r="S359" s="31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31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31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31"/>
      <c r="BD359" s="31"/>
      <c r="BE359" s="22"/>
      <c r="BF359" s="22"/>
      <c r="BG359" s="22"/>
      <c r="BH359" s="31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</row>
    <row r="360" spans="1:79" ht="14.25" hidden="1" customHeight="1" outlineLevel="1" x14ac:dyDescent="0.25">
      <c r="A360" s="22"/>
      <c r="B360" s="22" t="s">
        <v>339</v>
      </c>
      <c r="C360" s="116">
        <f t="shared" ref="C360:D360" si="321">C359*C352</f>
        <v>259200</v>
      </c>
      <c r="D360" s="116">
        <f t="shared" si="321"/>
        <v>75900.000000000015</v>
      </c>
      <c r="E360" s="22"/>
      <c r="F360" s="80"/>
      <c r="G360" s="82"/>
      <c r="H360" s="82"/>
      <c r="I360" s="82"/>
      <c r="J360" s="82"/>
      <c r="K360" s="82"/>
      <c r="L360" s="22"/>
      <c r="M360" s="22"/>
      <c r="N360" s="22"/>
      <c r="O360" s="22"/>
      <c r="P360" s="22"/>
      <c r="Q360" s="22"/>
      <c r="R360" s="22"/>
      <c r="S360" s="31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31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31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31"/>
      <c r="BD360" s="31"/>
      <c r="BE360" s="22"/>
      <c r="BF360" s="22"/>
      <c r="BG360" s="22"/>
      <c r="BH360" s="31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</row>
    <row r="361" spans="1:79" ht="14.25" hidden="1" customHeight="1" outlineLevel="1" x14ac:dyDescent="0.25">
      <c r="A361" s="22"/>
      <c r="B361" s="22" t="s">
        <v>335</v>
      </c>
      <c r="C361" s="116">
        <f t="shared" ref="C361:D361" si="322">C356+C360</f>
        <v>2851200</v>
      </c>
      <c r="D361" s="116">
        <f t="shared" si="322"/>
        <v>834900.00000000012</v>
      </c>
      <c r="E361" s="22"/>
      <c r="F361" s="80"/>
      <c r="G361" s="82"/>
      <c r="H361" s="200"/>
      <c r="I361" s="200"/>
      <c r="J361" s="200"/>
      <c r="K361" s="200"/>
      <c r="L361" s="22"/>
      <c r="M361" s="22"/>
      <c r="N361" s="22"/>
      <c r="O361" s="22"/>
      <c r="P361" s="22"/>
      <c r="Q361" s="22"/>
      <c r="R361" s="22"/>
      <c r="S361" s="31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25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31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31"/>
      <c r="BD361" s="31"/>
      <c r="BE361" s="22"/>
      <c r="BF361" s="22"/>
      <c r="BG361" s="22"/>
      <c r="BH361" s="31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</row>
    <row r="362" spans="1:79" ht="14.25" hidden="1" customHeight="1" outlineLevel="1" x14ac:dyDescent="0.25">
      <c r="A362" s="22"/>
      <c r="B362" s="22" t="s">
        <v>340</v>
      </c>
      <c r="C362" s="116">
        <f t="shared" ref="C362:D362" si="323">C361*(1-C351)</f>
        <v>2376000</v>
      </c>
      <c r="D362" s="116">
        <f t="shared" si="323"/>
        <v>726000.00000000012</v>
      </c>
      <c r="E362" s="22"/>
      <c r="F362" s="80"/>
      <c r="G362" s="82"/>
      <c r="H362" s="200"/>
      <c r="I362" s="200"/>
      <c r="J362" s="200"/>
      <c r="K362" s="200"/>
      <c r="L362" s="22"/>
      <c r="M362" s="22"/>
      <c r="N362" s="22"/>
      <c r="O362" s="22"/>
      <c r="P362" s="22"/>
      <c r="Q362" s="22"/>
      <c r="R362" s="22"/>
      <c r="S362" s="31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25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31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31"/>
      <c r="BD362" s="31"/>
      <c r="BE362" s="22"/>
      <c r="BF362" s="22"/>
      <c r="BG362" s="22"/>
      <c r="BH362" s="31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</row>
    <row r="363" spans="1:79" ht="14.25" hidden="1" customHeight="1" outlineLevel="1" x14ac:dyDescent="0.25">
      <c r="A363" s="22"/>
      <c r="B363" s="22" t="s">
        <v>341</v>
      </c>
      <c r="C363" s="116">
        <f t="shared" ref="C363:D363" si="324">C361-C362</f>
        <v>475200</v>
      </c>
      <c r="D363" s="116">
        <f t="shared" si="324"/>
        <v>108900</v>
      </c>
      <c r="E363" s="22"/>
      <c r="F363" s="80"/>
      <c r="G363" s="8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31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31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31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31"/>
      <c r="BD363" s="31"/>
      <c r="BE363" s="22"/>
      <c r="BF363" s="22"/>
      <c r="BG363" s="22"/>
      <c r="BH363" s="31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</row>
    <row r="364" spans="1:79" ht="14.25" hidden="1" customHeight="1" outlineLevel="1" x14ac:dyDescent="0.25">
      <c r="A364" s="22"/>
      <c r="B364" s="22"/>
      <c r="C364" s="116"/>
      <c r="D364" s="116"/>
      <c r="E364" s="22"/>
      <c r="F364" s="80"/>
      <c r="G364" s="8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31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31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31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31"/>
      <c r="BD364" s="31"/>
      <c r="BE364" s="22"/>
      <c r="BF364" s="22"/>
      <c r="BG364" s="22"/>
      <c r="BH364" s="31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</row>
    <row r="365" spans="1:79" ht="14.25" hidden="1" customHeight="1" outlineLevel="1" x14ac:dyDescent="0.25">
      <c r="A365" s="22"/>
      <c r="B365" s="22"/>
      <c r="C365" s="116"/>
      <c r="D365" s="116"/>
      <c r="E365" s="22"/>
      <c r="F365" s="80"/>
      <c r="G365" s="8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31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31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31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31"/>
      <c r="BD365" s="31"/>
      <c r="BE365" s="22"/>
      <c r="BF365" s="22"/>
      <c r="BG365" s="22"/>
      <c r="BH365" s="31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</row>
    <row r="366" spans="1:79" ht="14.25" hidden="1" customHeight="1" outlineLevel="1" x14ac:dyDescent="0.25">
      <c r="A366" s="22"/>
      <c r="B366" s="22"/>
      <c r="C366" s="22"/>
      <c r="D366" s="22"/>
      <c r="E366" s="22"/>
      <c r="F366" s="80"/>
      <c r="G366" s="82"/>
      <c r="H366" s="82"/>
      <c r="I366" s="82"/>
      <c r="J366" s="82"/>
      <c r="K366" s="82"/>
      <c r="L366" s="163"/>
      <c r="M366" s="11"/>
      <c r="N366" s="11"/>
      <c r="O366" s="11"/>
      <c r="P366" s="11"/>
      <c r="Q366" s="11"/>
      <c r="R366" s="11"/>
      <c r="S366" s="50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50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31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31"/>
      <c r="BD366" s="31"/>
      <c r="BE366" s="22"/>
      <c r="BF366" s="22"/>
      <c r="BG366" s="22"/>
      <c r="BH366" s="31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</row>
    <row r="367" spans="1:79" ht="14.25" hidden="1" customHeight="1" outlineLevel="1" x14ac:dyDescent="0.25">
      <c r="A367" s="203"/>
      <c r="B367" s="203"/>
      <c r="C367" s="204" t="s">
        <v>342</v>
      </c>
      <c r="D367" s="204" t="s">
        <v>343</v>
      </c>
      <c r="E367" s="204" t="s">
        <v>344</v>
      </c>
      <c r="F367" s="205" t="s">
        <v>345</v>
      </c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7">
        <f t="shared" ref="S367:BB367" si="325">SUM(S368:S378)</f>
        <v>0</v>
      </c>
      <c r="T367" s="206">
        <f t="shared" si="325"/>
        <v>0</v>
      </c>
      <c r="U367" s="206">
        <f t="shared" si="325"/>
        <v>0</v>
      </c>
      <c r="V367" s="206">
        <f t="shared" si="325"/>
        <v>0</v>
      </c>
      <c r="W367" s="206">
        <f t="shared" si="325"/>
        <v>0</v>
      </c>
      <c r="X367" s="206">
        <f t="shared" si="325"/>
        <v>0</v>
      </c>
      <c r="Y367" s="206">
        <f t="shared" si="325"/>
        <v>1200.0000000000002</v>
      </c>
      <c r="Z367" s="206">
        <f t="shared" si="325"/>
        <v>1200.0000000000002</v>
      </c>
      <c r="AA367" s="206">
        <f t="shared" si="325"/>
        <v>1200.0000000000002</v>
      </c>
      <c r="AB367" s="206">
        <f t="shared" si="325"/>
        <v>2400.0000000000005</v>
      </c>
      <c r="AC367" s="206">
        <f t="shared" si="325"/>
        <v>2400.0000000000005</v>
      </c>
      <c r="AD367" s="206">
        <f t="shared" si="325"/>
        <v>2400.0000000000005</v>
      </c>
      <c r="AE367" s="207">
        <f t="shared" si="325"/>
        <v>3600.0000000000009</v>
      </c>
      <c r="AF367" s="206">
        <f t="shared" si="325"/>
        <v>3600.0000000000009</v>
      </c>
      <c r="AG367" s="206">
        <f t="shared" si="325"/>
        <v>4800.0000000000009</v>
      </c>
      <c r="AH367" s="206">
        <f t="shared" si="325"/>
        <v>4800.0000000000009</v>
      </c>
      <c r="AI367" s="206">
        <f t="shared" si="325"/>
        <v>6000.0000000000009</v>
      </c>
      <c r="AJ367" s="206">
        <f t="shared" si="325"/>
        <v>6000.0000000000009</v>
      </c>
      <c r="AK367" s="206">
        <f t="shared" si="325"/>
        <v>6000.0000000000009</v>
      </c>
      <c r="AL367" s="206">
        <f t="shared" si="325"/>
        <v>9600</v>
      </c>
      <c r="AM367" s="206">
        <f t="shared" si="325"/>
        <v>10800</v>
      </c>
      <c r="AN367" s="206">
        <f t="shared" si="325"/>
        <v>10800</v>
      </c>
      <c r="AO367" s="206">
        <f t="shared" si="325"/>
        <v>10800</v>
      </c>
      <c r="AP367" s="206">
        <f t="shared" si="325"/>
        <v>14400</v>
      </c>
      <c r="AQ367" s="207">
        <f t="shared" si="325"/>
        <v>14400</v>
      </c>
      <c r="AR367" s="206">
        <f t="shared" si="325"/>
        <v>14400</v>
      </c>
      <c r="AS367" s="206">
        <f t="shared" si="325"/>
        <v>14400</v>
      </c>
      <c r="AT367" s="206">
        <f t="shared" si="325"/>
        <v>14400</v>
      </c>
      <c r="AU367" s="206">
        <f t="shared" si="325"/>
        <v>14400</v>
      </c>
      <c r="AV367" s="206">
        <f t="shared" si="325"/>
        <v>14400</v>
      </c>
      <c r="AW367" s="206">
        <f t="shared" si="325"/>
        <v>14400</v>
      </c>
      <c r="AX367" s="206">
        <f t="shared" si="325"/>
        <v>14400</v>
      </c>
      <c r="AY367" s="206">
        <f t="shared" si="325"/>
        <v>14400</v>
      </c>
      <c r="AZ367" s="206">
        <f t="shared" si="325"/>
        <v>14400</v>
      </c>
      <c r="BA367" s="206">
        <f t="shared" si="325"/>
        <v>14400</v>
      </c>
      <c r="BB367" s="206">
        <f t="shared" si="325"/>
        <v>14400</v>
      </c>
      <c r="BC367" s="208"/>
      <c r="BD367" s="208"/>
      <c r="BE367" s="203"/>
      <c r="BF367" s="203"/>
      <c r="BG367" s="203"/>
      <c r="BH367" s="208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  <c r="BZ367" s="203"/>
      <c r="CA367" s="203"/>
    </row>
    <row r="368" spans="1:79" ht="14.25" hidden="1" customHeight="1" outlineLevel="1" x14ac:dyDescent="0.25">
      <c r="A368" s="80">
        <v>1</v>
      </c>
      <c r="B368" s="22" t="s">
        <v>346</v>
      </c>
      <c r="C368" s="209"/>
      <c r="D368" s="210">
        <v>13</v>
      </c>
      <c r="E368" s="102">
        <f>$C$14</f>
        <v>46204</v>
      </c>
      <c r="F368" s="211">
        <f t="shared" ref="F368:F377" si="326">C381</f>
        <v>1200.0000000000002</v>
      </c>
      <c r="G368" s="82"/>
      <c r="H368" s="82"/>
      <c r="I368" s="82"/>
      <c r="J368" s="82"/>
      <c r="K368" s="82"/>
      <c r="L368" s="22"/>
      <c r="M368" s="22"/>
      <c r="N368" s="22"/>
      <c r="O368" s="22"/>
      <c r="P368" s="22"/>
      <c r="Q368" s="22"/>
      <c r="R368" s="11" t="str">
        <f t="shared" ref="R368:R377" si="327">IF(E368&lt;=R3,$F368," ")</f>
        <v xml:space="preserve"> </v>
      </c>
      <c r="S368" s="50" t="str">
        <f t="shared" ref="S368:V368" si="328">IF($E368&lt;=S$3,$F368," ")</f>
        <v xml:space="preserve"> </v>
      </c>
      <c r="T368" s="11" t="str">
        <f t="shared" si="328"/>
        <v xml:space="preserve"> </v>
      </c>
      <c r="U368" s="11" t="str">
        <f t="shared" si="328"/>
        <v xml:space="preserve"> </v>
      </c>
      <c r="V368" s="11" t="str">
        <f t="shared" si="328"/>
        <v xml:space="preserve"> </v>
      </c>
      <c r="W368" s="11">
        <f t="shared" ref="W368:BB368" si="329">IF($E368&lt;=W$3,$F368,0)</f>
        <v>0</v>
      </c>
      <c r="X368" s="11">
        <f t="shared" si="329"/>
        <v>0</v>
      </c>
      <c r="Y368" s="11">
        <f t="shared" si="329"/>
        <v>1200.0000000000002</v>
      </c>
      <c r="Z368" s="11">
        <f t="shared" si="329"/>
        <v>1200.0000000000002</v>
      </c>
      <c r="AA368" s="11">
        <f t="shared" si="329"/>
        <v>1200.0000000000002</v>
      </c>
      <c r="AB368" s="11">
        <f t="shared" si="329"/>
        <v>1200.0000000000002</v>
      </c>
      <c r="AC368" s="11">
        <f t="shared" si="329"/>
        <v>1200.0000000000002</v>
      </c>
      <c r="AD368" s="11">
        <f t="shared" si="329"/>
        <v>1200.0000000000002</v>
      </c>
      <c r="AE368" s="50">
        <f t="shared" si="329"/>
        <v>1200.0000000000002</v>
      </c>
      <c r="AF368" s="11">
        <f t="shared" si="329"/>
        <v>1200.0000000000002</v>
      </c>
      <c r="AG368" s="11">
        <f t="shared" si="329"/>
        <v>1200.0000000000002</v>
      </c>
      <c r="AH368" s="11">
        <f t="shared" si="329"/>
        <v>1200.0000000000002</v>
      </c>
      <c r="AI368" s="11">
        <f t="shared" si="329"/>
        <v>1200.0000000000002</v>
      </c>
      <c r="AJ368" s="11">
        <f t="shared" si="329"/>
        <v>1200.0000000000002</v>
      </c>
      <c r="AK368" s="11">
        <f t="shared" si="329"/>
        <v>1200.0000000000002</v>
      </c>
      <c r="AL368" s="11">
        <f t="shared" si="329"/>
        <v>1200.0000000000002</v>
      </c>
      <c r="AM368" s="11">
        <f t="shared" si="329"/>
        <v>1200.0000000000002</v>
      </c>
      <c r="AN368" s="11">
        <f t="shared" si="329"/>
        <v>1200.0000000000002</v>
      </c>
      <c r="AO368" s="11">
        <f t="shared" si="329"/>
        <v>1200.0000000000002</v>
      </c>
      <c r="AP368" s="11">
        <f t="shared" si="329"/>
        <v>1200.0000000000002</v>
      </c>
      <c r="AQ368" s="50">
        <f t="shared" si="329"/>
        <v>1200.0000000000002</v>
      </c>
      <c r="AR368" s="11">
        <f t="shared" si="329"/>
        <v>1200.0000000000002</v>
      </c>
      <c r="AS368" s="11">
        <f t="shared" si="329"/>
        <v>1200.0000000000002</v>
      </c>
      <c r="AT368" s="11">
        <f t="shared" si="329"/>
        <v>1200.0000000000002</v>
      </c>
      <c r="AU368" s="11">
        <f t="shared" si="329"/>
        <v>1200.0000000000002</v>
      </c>
      <c r="AV368" s="11">
        <f t="shared" si="329"/>
        <v>1200.0000000000002</v>
      </c>
      <c r="AW368" s="11">
        <f t="shared" si="329"/>
        <v>1200.0000000000002</v>
      </c>
      <c r="AX368" s="11">
        <f t="shared" si="329"/>
        <v>1200.0000000000002</v>
      </c>
      <c r="AY368" s="11">
        <f t="shared" si="329"/>
        <v>1200.0000000000002</v>
      </c>
      <c r="AZ368" s="11">
        <f t="shared" si="329"/>
        <v>1200.0000000000002</v>
      </c>
      <c r="BA368" s="11">
        <f t="shared" si="329"/>
        <v>1200.0000000000002</v>
      </c>
      <c r="BB368" s="11">
        <f t="shared" si="329"/>
        <v>1200.0000000000002</v>
      </c>
      <c r="BC368" s="31"/>
      <c r="BD368" s="31"/>
      <c r="BE368" s="22"/>
      <c r="BF368" s="22"/>
      <c r="BG368" s="22"/>
      <c r="BH368" s="31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</row>
    <row r="369" spans="1:79" ht="14.25" hidden="1" customHeight="1" outlineLevel="1" x14ac:dyDescent="0.25">
      <c r="A369" s="80">
        <v>2</v>
      </c>
      <c r="B369" s="22" t="s">
        <v>347</v>
      </c>
      <c r="C369" s="212">
        <v>3</v>
      </c>
      <c r="D369" s="213">
        <f t="shared" ref="D369:D377" si="330">D368+C369</f>
        <v>16</v>
      </c>
      <c r="E369" s="102">
        <f t="shared" ref="E369:E377" si="331">IF(D369&lt;=30,HLOOKUP(D369,M$2:AP$3,2,TRUE)," ")</f>
        <v>46296</v>
      </c>
      <c r="F369" s="211">
        <f t="shared" si="326"/>
        <v>1200.0000000000002</v>
      </c>
      <c r="G369" s="82"/>
      <c r="H369" s="82"/>
      <c r="I369" s="82"/>
      <c r="J369" s="82"/>
      <c r="K369" s="82"/>
      <c r="L369" s="177"/>
      <c r="M369" s="116"/>
      <c r="N369" s="116"/>
      <c r="O369" s="116"/>
      <c r="P369" s="116"/>
      <c r="Q369" s="116"/>
      <c r="R369" s="11" t="str">
        <f t="shared" si="327"/>
        <v xml:space="preserve"> </v>
      </c>
      <c r="S369" s="50" t="str">
        <f t="shared" ref="S369:V369" si="332">IF($E369&lt;=S$3,$F369," ")</f>
        <v xml:space="preserve"> </v>
      </c>
      <c r="T369" s="11" t="str">
        <f t="shared" si="332"/>
        <v xml:space="preserve"> </v>
      </c>
      <c r="U369" s="11" t="str">
        <f t="shared" si="332"/>
        <v xml:space="preserve"> </v>
      </c>
      <c r="V369" s="11" t="str">
        <f t="shared" si="332"/>
        <v xml:space="preserve"> </v>
      </c>
      <c r="W369" s="11">
        <f t="shared" ref="W369:BB369" si="333">IF($E369&lt;=W$3,$F369,0)</f>
        <v>0</v>
      </c>
      <c r="X369" s="11">
        <f t="shared" si="333"/>
        <v>0</v>
      </c>
      <c r="Y369" s="11">
        <f t="shared" si="333"/>
        <v>0</v>
      </c>
      <c r="Z369" s="11">
        <f t="shared" si="333"/>
        <v>0</v>
      </c>
      <c r="AA369" s="11">
        <f t="shared" si="333"/>
        <v>0</v>
      </c>
      <c r="AB369" s="11">
        <f t="shared" si="333"/>
        <v>1200.0000000000002</v>
      </c>
      <c r="AC369" s="11">
        <f t="shared" si="333"/>
        <v>1200.0000000000002</v>
      </c>
      <c r="AD369" s="11">
        <f t="shared" si="333"/>
        <v>1200.0000000000002</v>
      </c>
      <c r="AE369" s="50">
        <f t="shared" si="333"/>
        <v>1200.0000000000002</v>
      </c>
      <c r="AF369" s="11">
        <f t="shared" si="333"/>
        <v>1200.0000000000002</v>
      </c>
      <c r="AG369" s="11">
        <f t="shared" si="333"/>
        <v>1200.0000000000002</v>
      </c>
      <c r="AH369" s="11">
        <f t="shared" si="333"/>
        <v>1200.0000000000002</v>
      </c>
      <c r="AI369" s="11">
        <f t="shared" si="333"/>
        <v>1200.0000000000002</v>
      </c>
      <c r="AJ369" s="11">
        <f t="shared" si="333"/>
        <v>1200.0000000000002</v>
      </c>
      <c r="AK369" s="11">
        <f t="shared" si="333"/>
        <v>1200.0000000000002</v>
      </c>
      <c r="AL369" s="11">
        <f t="shared" si="333"/>
        <v>1200.0000000000002</v>
      </c>
      <c r="AM369" s="11">
        <f t="shared" si="333"/>
        <v>1200.0000000000002</v>
      </c>
      <c r="AN369" s="11">
        <f t="shared" si="333"/>
        <v>1200.0000000000002</v>
      </c>
      <c r="AO369" s="11">
        <f t="shared" si="333"/>
        <v>1200.0000000000002</v>
      </c>
      <c r="AP369" s="11">
        <f t="shared" si="333"/>
        <v>1200.0000000000002</v>
      </c>
      <c r="AQ369" s="50">
        <f t="shared" si="333"/>
        <v>1200.0000000000002</v>
      </c>
      <c r="AR369" s="11">
        <f t="shared" si="333"/>
        <v>1200.0000000000002</v>
      </c>
      <c r="AS369" s="11">
        <f t="shared" si="333"/>
        <v>1200.0000000000002</v>
      </c>
      <c r="AT369" s="11">
        <f t="shared" si="333"/>
        <v>1200.0000000000002</v>
      </c>
      <c r="AU369" s="11">
        <f t="shared" si="333"/>
        <v>1200.0000000000002</v>
      </c>
      <c r="AV369" s="11">
        <f t="shared" si="333"/>
        <v>1200.0000000000002</v>
      </c>
      <c r="AW369" s="11">
        <f t="shared" si="333"/>
        <v>1200.0000000000002</v>
      </c>
      <c r="AX369" s="11">
        <f t="shared" si="333"/>
        <v>1200.0000000000002</v>
      </c>
      <c r="AY369" s="11">
        <f t="shared" si="333"/>
        <v>1200.0000000000002</v>
      </c>
      <c r="AZ369" s="11">
        <f t="shared" si="333"/>
        <v>1200.0000000000002</v>
      </c>
      <c r="BA369" s="11">
        <f t="shared" si="333"/>
        <v>1200.0000000000002</v>
      </c>
      <c r="BB369" s="11">
        <f t="shared" si="333"/>
        <v>1200.0000000000002</v>
      </c>
      <c r="BC369" s="31"/>
      <c r="BD369" s="31"/>
      <c r="BE369" s="22"/>
      <c r="BF369" s="22"/>
      <c r="BG369" s="22"/>
      <c r="BH369" s="31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</row>
    <row r="370" spans="1:79" ht="14.25" hidden="1" customHeight="1" outlineLevel="1" x14ac:dyDescent="0.25">
      <c r="A370" s="80">
        <v>3</v>
      </c>
      <c r="B370" s="22" t="s">
        <v>348</v>
      </c>
      <c r="C370" s="212">
        <v>3</v>
      </c>
      <c r="D370" s="213">
        <f t="shared" si="330"/>
        <v>19</v>
      </c>
      <c r="E370" s="102">
        <f t="shared" si="331"/>
        <v>46388</v>
      </c>
      <c r="F370" s="211">
        <f t="shared" si="326"/>
        <v>1200.0000000000002</v>
      </c>
      <c r="G370" s="139"/>
      <c r="H370" s="139"/>
      <c r="I370" s="139"/>
      <c r="J370" s="139"/>
      <c r="K370" s="139"/>
      <c r="L370" s="46"/>
      <c r="M370" s="46"/>
      <c r="N370" s="46"/>
      <c r="O370" s="46"/>
      <c r="P370" s="46"/>
      <c r="Q370" s="46"/>
      <c r="R370" s="11" t="str">
        <f t="shared" si="327"/>
        <v xml:space="preserve"> </v>
      </c>
      <c r="S370" s="50" t="str">
        <f t="shared" ref="S370:V370" si="334">IF($E370&lt;=S$3,$F370," ")</f>
        <v xml:space="preserve"> </v>
      </c>
      <c r="T370" s="11" t="str">
        <f t="shared" si="334"/>
        <v xml:space="preserve"> </v>
      </c>
      <c r="U370" s="11" t="str">
        <f t="shared" si="334"/>
        <v xml:space="preserve"> </v>
      </c>
      <c r="V370" s="11" t="str">
        <f t="shared" si="334"/>
        <v xml:space="preserve"> </v>
      </c>
      <c r="W370" s="11">
        <f t="shared" ref="W370:BB370" si="335">IF($E370&lt;=W$3,$F370,0)</f>
        <v>0</v>
      </c>
      <c r="X370" s="11">
        <f t="shared" si="335"/>
        <v>0</v>
      </c>
      <c r="Y370" s="11">
        <f t="shared" si="335"/>
        <v>0</v>
      </c>
      <c r="Z370" s="11">
        <f t="shared" si="335"/>
        <v>0</v>
      </c>
      <c r="AA370" s="11">
        <f t="shared" si="335"/>
        <v>0</v>
      </c>
      <c r="AB370" s="11">
        <f t="shared" si="335"/>
        <v>0</v>
      </c>
      <c r="AC370" s="11">
        <f t="shared" si="335"/>
        <v>0</v>
      </c>
      <c r="AD370" s="11">
        <f t="shared" si="335"/>
        <v>0</v>
      </c>
      <c r="AE370" s="50">
        <f t="shared" si="335"/>
        <v>1200.0000000000002</v>
      </c>
      <c r="AF370" s="11">
        <f t="shared" si="335"/>
        <v>1200.0000000000002</v>
      </c>
      <c r="AG370" s="11">
        <f t="shared" si="335"/>
        <v>1200.0000000000002</v>
      </c>
      <c r="AH370" s="11">
        <f t="shared" si="335"/>
        <v>1200.0000000000002</v>
      </c>
      <c r="AI370" s="11">
        <f t="shared" si="335"/>
        <v>1200.0000000000002</v>
      </c>
      <c r="AJ370" s="11">
        <f t="shared" si="335"/>
        <v>1200.0000000000002</v>
      </c>
      <c r="AK370" s="11">
        <f t="shared" si="335"/>
        <v>1200.0000000000002</v>
      </c>
      <c r="AL370" s="11">
        <f t="shared" si="335"/>
        <v>1200.0000000000002</v>
      </c>
      <c r="AM370" s="11">
        <f t="shared" si="335"/>
        <v>1200.0000000000002</v>
      </c>
      <c r="AN370" s="11">
        <f t="shared" si="335"/>
        <v>1200.0000000000002</v>
      </c>
      <c r="AO370" s="11">
        <f t="shared" si="335"/>
        <v>1200.0000000000002</v>
      </c>
      <c r="AP370" s="11">
        <f t="shared" si="335"/>
        <v>1200.0000000000002</v>
      </c>
      <c r="AQ370" s="50">
        <f t="shared" si="335"/>
        <v>1200.0000000000002</v>
      </c>
      <c r="AR370" s="11">
        <f t="shared" si="335"/>
        <v>1200.0000000000002</v>
      </c>
      <c r="AS370" s="11">
        <f t="shared" si="335"/>
        <v>1200.0000000000002</v>
      </c>
      <c r="AT370" s="11">
        <f t="shared" si="335"/>
        <v>1200.0000000000002</v>
      </c>
      <c r="AU370" s="11">
        <f t="shared" si="335"/>
        <v>1200.0000000000002</v>
      </c>
      <c r="AV370" s="11">
        <f t="shared" si="335"/>
        <v>1200.0000000000002</v>
      </c>
      <c r="AW370" s="11">
        <f t="shared" si="335"/>
        <v>1200.0000000000002</v>
      </c>
      <c r="AX370" s="11">
        <f t="shared" si="335"/>
        <v>1200.0000000000002</v>
      </c>
      <c r="AY370" s="11">
        <f t="shared" si="335"/>
        <v>1200.0000000000002</v>
      </c>
      <c r="AZ370" s="11">
        <f t="shared" si="335"/>
        <v>1200.0000000000002</v>
      </c>
      <c r="BA370" s="11">
        <f t="shared" si="335"/>
        <v>1200.0000000000002</v>
      </c>
      <c r="BB370" s="11">
        <f t="shared" si="335"/>
        <v>1200.0000000000002</v>
      </c>
      <c r="BC370" s="29"/>
      <c r="BD370" s="29"/>
      <c r="BE370" s="46"/>
      <c r="BF370" s="46"/>
      <c r="BG370" s="46"/>
      <c r="BH370" s="29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</row>
    <row r="371" spans="1:79" ht="14.25" hidden="1" customHeight="1" outlineLevel="1" x14ac:dyDescent="0.25">
      <c r="A371" s="80">
        <v>4</v>
      </c>
      <c r="B371" s="22" t="s">
        <v>349</v>
      </c>
      <c r="C371" s="212">
        <v>2</v>
      </c>
      <c r="D371" s="213">
        <f t="shared" si="330"/>
        <v>21</v>
      </c>
      <c r="E371" s="102">
        <f t="shared" si="331"/>
        <v>46447</v>
      </c>
      <c r="F371" s="211">
        <f t="shared" si="326"/>
        <v>1200.0000000000002</v>
      </c>
      <c r="G371" s="82"/>
      <c r="H371" s="82"/>
      <c r="I371" s="82"/>
      <c r="J371" s="82"/>
      <c r="K371" s="82"/>
      <c r="L371" s="22"/>
      <c r="M371" s="22"/>
      <c r="N371" s="22"/>
      <c r="O371" s="22"/>
      <c r="P371" s="22"/>
      <c r="Q371" s="22"/>
      <c r="R371" s="11" t="str">
        <f t="shared" si="327"/>
        <v xml:space="preserve"> </v>
      </c>
      <c r="S371" s="50" t="str">
        <f t="shared" ref="S371:V371" si="336">IF($E371&lt;=S$3,$F371," ")</f>
        <v xml:space="preserve"> </v>
      </c>
      <c r="T371" s="11" t="str">
        <f t="shared" si="336"/>
        <v xml:space="preserve"> </v>
      </c>
      <c r="U371" s="11" t="str">
        <f t="shared" si="336"/>
        <v xml:space="preserve"> </v>
      </c>
      <c r="V371" s="11" t="str">
        <f t="shared" si="336"/>
        <v xml:space="preserve"> </v>
      </c>
      <c r="W371" s="11">
        <f t="shared" ref="W371:BB371" si="337">IF($E371&lt;=W$3,$F371,0)</f>
        <v>0</v>
      </c>
      <c r="X371" s="11">
        <f t="shared" si="337"/>
        <v>0</v>
      </c>
      <c r="Y371" s="11">
        <f t="shared" si="337"/>
        <v>0</v>
      </c>
      <c r="Z371" s="11">
        <f t="shared" si="337"/>
        <v>0</v>
      </c>
      <c r="AA371" s="11">
        <f t="shared" si="337"/>
        <v>0</v>
      </c>
      <c r="AB371" s="11">
        <f t="shared" si="337"/>
        <v>0</v>
      </c>
      <c r="AC371" s="11">
        <f t="shared" si="337"/>
        <v>0</v>
      </c>
      <c r="AD371" s="11">
        <f t="shared" si="337"/>
        <v>0</v>
      </c>
      <c r="AE371" s="50">
        <f t="shared" si="337"/>
        <v>0</v>
      </c>
      <c r="AF371" s="11">
        <f t="shared" si="337"/>
        <v>0</v>
      </c>
      <c r="AG371" s="11">
        <f t="shared" si="337"/>
        <v>1200.0000000000002</v>
      </c>
      <c r="AH371" s="11">
        <f t="shared" si="337"/>
        <v>1200.0000000000002</v>
      </c>
      <c r="AI371" s="11">
        <f t="shared" si="337"/>
        <v>1200.0000000000002</v>
      </c>
      <c r="AJ371" s="11">
        <f t="shared" si="337"/>
        <v>1200.0000000000002</v>
      </c>
      <c r="AK371" s="11">
        <f t="shared" si="337"/>
        <v>1200.0000000000002</v>
      </c>
      <c r="AL371" s="11">
        <f t="shared" si="337"/>
        <v>1200.0000000000002</v>
      </c>
      <c r="AM371" s="11">
        <f t="shared" si="337"/>
        <v>1200.0000000000002</v>
      </c>
      <c r="AN371" s="11">
        <f t="shared" si="337"/>
        <v>1200.0000000000002</v>
      </c>
      <c r="AO371" s="11">
        <f t="shared" si="337"/>
        <v>1200.0000000000002</v>
      </c>
      <c r="AP371" s="11">
        <f t="shared" si="337"/>
        <v>1200.0000000000002</v>
      </c>
      <c r="AQ371" s="50">
        <f t="shared" si="337"/>
        <v>1200.0000000000002</v>
      </c>
      <c r="AR371" s="11">
        <f t="shared" si="337"/>
        <v>1200.0000000000002</v>
      </c>
      <c r="AS371" s="11">
        <f t="shared" si="337"/>
        <v>1200.0000000000002</v>
      </c>
      <c r="AT371" s="11">
        <f t="shared" si="337"/>
        <v>1200.0000000000002</v>
      </c>
      <c r="AU371" s="11">
        <f t="shared" si="337"/>
        <v>1200.0000000000002</v>
      </c>
      <c r="AV371" s="11">
        <f t="shared" si="337"/>
        <v>1200.0000000000002</v>
      </c>
      <c r="AW371" s="11">
        <f t="shared" si="337"/>
        <v>1200.0000000000002</v>
      </c>
      <c r="AX371" s="11">
        <f t="shared" si="337"/>
        <v>1200.0000000000002</v>
      </c>
      <c r="AY371" s="11">
        <f t="shared" si="337"/>
        <v>1200.0000000000002</v>
      </c>
      <c r="AZ371" s="11">
        <f t="shared" si="337"/>
        <v>1200.0000000000002</v>
      </c>
      <c r="BA371" s="11">
        <f t="shared" si="337"/>
        <v>1200.0000000000002</v>
      </c>
      <c r="BB371" s="11">
        <f t="shared" si="337"/>
        <v>1200.0000000000002</v>
      </c>
      <c r="BC371" s="31"/>
      <c r="BD371" s="31"/>
      <c r="BE371" s="22"/>
      <c r="BF371" s="22"/>
      <c r="BG371" s="22"/>
      <c r="BH371" s="31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</row>
    <row r="372" spans="1:79" ht="14.25" hidden="1" customHeight="1" outlineLevel="1" x14ac:dyDescent="0.25">
      <c r="A372" s="80">
        <v>5</v>
      </c>
      <c r="B372" s="22" t="s">
        <v>350</v>
      </c>
      <c r="C372" s="212">
        <v>2</v>
      </c>
      <c r="D372" s="213">
        <f t="shared" si="330"/>
        <v>23</v>
      </c>
      <c r="E372" s="102">
        <f t="shared" si="331"/>
        <v>46508</v>
      </c>
      <c r="F372" s="211">
        <f t="shared" si="326"/>
        <v>1200.0000000000002</v>
      </c>
      <c r="G372" s="82"/>
      <c r="H372" s="82"/>
      <c r="I372" s="82"/>
      <c r="J372" s="82"/>
      <c r="K372" s="82"/>
      <c r="L372" s="22"/>
      <c r="M372" s="22"/>
      <c r="N372" s="22"/>
      <c r="O372" s="22"/>
      <c r="P372" s="22"/>
      <c r="Q372" s="22"/>
      <c r="R372" s="11" t="str">
        <f t="shared" si="327"/>
        <v xml:space="preserve"> </v>
      </c>
      <c r="S372" s="50" t="str">
        <f t="shared" ref="S372:V372" si="338">IF($E372&lt;=S$3,$F372," ")</f>
        <v xml:space="preserve"> </v>
      </c>
      <c r="T372" s="11" t="str">
        <f t="shared" si="338"/>
        <v xml:space="preserve"> </v>
      </c>
      <c r="U372" s="11" t="str">
        <f t="shared" si="338"/>
        <v xml:space="preserve"> </v>
      </c>
      <c r="V372" s="11" t="str">
        <f t="shared" si="338"/>
        <v xml:space="preserve"> </v>
      </c>
      <c r="W372" s="11">
        <f t="shared" ref="W372:BB372" si="339">IF($E372&lt;=W$3,$F372,0)</f>
        <v>0</v>
      </c>
      <c r="X372" s="11">
        <f t="shared" si="339"/>
        <v>0</v>
      </c>
      <c r="Y372" s="11">
        <f t="shared" si="339"/>
        <v>0</v>
      </c>
      <c r="Z372" s="11">
        <f t="shared" si="339"/>
        <v>0</v>
      </c>
      <c r="AA372" s="11">
        <f t="shared" si="339"/>
        <v>0</v>
      </c>
      <c r="AB372" s="11">
        <f t="shared" si="339"/>
        <v>0</v>
      </c>
      <c r="AC372" s="11">
        <f t="shared" si="339"/>
        <v>0</v>
      </c>
      <c r="AD372" s="11">
        <f t="shared" si="339"/>
        <v>0</v>
      </c>
      <c r="AE372" s="50">
        <f t="shared" si="339"/>
        <v>0</v>
      </c>
      <c r="AF372" s="11">
        <f t="shared" si="339"/>
        <v>0</v>
      </c>
      <c r="AG372" s="11">
        <f t="shared" si="339"/>
        <v>0</v>
      </c>
      <c r="AH372" s="11">
        <f t="shared" si="339"/>
        <v>0</v>
      </c>
      <c r="AI372" s="11">
        <f t="shared" si="339"/>
        <v>1200.0000000000002</v>
      </c>
      <c r="AJ372" s="11">
        <f t="shared" si="339"/>
        <v>1200.0000000000002</v>
      </c>
      <c r="AK372" s="11">
        <f t="shared" si="339"/>
        <v>1200.0000000000002</v>
      </c>
      <c r="AL372" s="11">
        <f t="shared" si="339"/>
        <v>1200.0000000000002</v>
      </c>
      <c r="AM372" s="11">
        <f t="shared" si="339"/>
        <v>1200.0000000000002</v>
      </c>
      <c r="AN372" s="11">
        <f t="shared" si="339"/>
        <v>1200.0000000000002</v>
      </c>
      <c r="AO372" s="11">
        <f t="shared" si="339"/>
        <v>1200.0000000000002</v>
      </c>
      <c r="AP372" s="11">
        <f t="shared" si="339"/>
        <v>1200.0000000000002</v>
      </c>
      <c r="AQ372" s="50">
        <f t="shared" si="339"/>
        <v>1200.0000000000002</v>
      </c>
      <c r="AR372" s="11">
        <f t="shared" si="339"/>
        <v>1200.0000000000002</v>
      </c>
      <c r="AS372" s="11">
        <f t="shared" si="339"/>
        <v>1200.0000000000002</v>
      </c>
      <c r="AT372" s="11">
        <f t="shared" si="339"/>
        <v>1200.0000000000002</v>
      </c>
      <c r="AU372" s="11">
        <f t="shared" si="339"/>
        <v>1200.0000000000002</v>
      </c>
      <c r="AV372" s="11">
        <f t="shared" si="339"/>
        <v>1200.0000000000002</v>
      </c>
      <c r="AW372" s="11">
        <f t="shared" si="339"/>
        <v>1200.0000000000002</v>
      </c>
      <c r="AX372" s="11">
        <f t="shared" si="339"/>
        <v>1200.0000000000002</v>
      </c>
      <c r="AY372" s="11">
        <f t="shared" si="339"/>
        <v>1200.0000000000002</v>
      </c>
      <c r="AZ372" s="11">
        <f t="shared" si="339"/>
        <v>1200.0000000000002</v>
      </c>
      <c r="BA372" s="11">
        <f t="shared" si="339"/>
        <v>1200.0000000000002</v>
      </c>
      <c r="BB372" s="11">
        <f t="shared" si="339"/>
        <v>1200.0000000000002</v>
      </c>
      <c r="BC372" s="31"/>
      <c r="BD372" s="31"/>
      <c r="BE372" s="22"/>
      <c r="BF372" s="22"/>
      <c r="BG372" s="22"/>
      <c r="BH372" s="31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</row>
    <row r="373" spans="1:79" ht="14.25" hidden="1" customHeight="1" outlineLevel="1" x14ac:dyDescent="0.25">
      <c r="A373" s="80">
        <v>6</v>
      </c>
      <c r="B373" s="22" t="s">
        <v>351</v>
      </c>
      <c r="C373" s="212">
        <v>3</v>
      </c>
      <c r="D373" s="213">
        <f t="shared" si="330"/>
        <v>26</v>
      </c>
      <c r="E373" s="102">
        <f t="shared" si="331"/>
        <v>46600</v>
      </c>
      <c r="F373" s="211">
        <f t="shared" si="326"/>
        <v>3600</v>
      </c>
      <c r="G373" s="82"/>
      <c r="H373" s="82"/>
      <c r="I373" s="82"/>
      <c r="J373" s="82"/>
      <c r="K373" s="82"/>
      <c r="L373" s="22"/>
      <c r="M373" s="22"/>
      <c r="N373" s="22"/>
      <c r="O373" s="22"/>
      <c r="P373" s="22"/>
      <c r="Q373" s="22"/>
      <c r="R373" s="11" t="str">
        <f t="shared" si="327"/>
        <v xml:space="preserve"> </v>
      </c>
      <c r="S373" s="50" t="str">
        <f t="shared" ref="S373:V373" si="340">IF($E373&lt;=S$3,$F373," ")</f>
        <v xml:space="preserve"> </v>
      </c>
      <c r="T373" s="11" t="str">
        <f t="shared" si="340"/>
        <v xml:space="preserve"> </v>
      </c>
      <c r="U373" s="11" t="str">
        <f t="shared" si="340"/>
        <v xml:space="preserve"> </v>
      </c>
      <c r="V373" s="11" t="str">
        <f t="shared" si="340"/>
        <v xml:space="preserve"> </v>
      </c>
      <c r="W373" s="11">
        <f t="shared" ref="W373:BB373" si="341">IF($E373&lt;=W$3,$F373,0)</f>
        <v>0</v>
      </c>
      <c r="X373" s="11">
        <f t="shared" si="341"/>
        <v>0</v>
      </c>
      <c r="Y373" s="11">
        <f t="shared" si="341"/>
        <v>0</v>
      </c>
      <c r="Z373" s="11">
        <f t="shared" si="341"/>
        <v>0</v>
      </c>
      <c r="AA373" s="11">
        <f t="shared" si="341"/>
        <v>0</v>
      </c>
      <c r="AB373" s="11">
        <f t="shared" si="341"/>
        <v>0</v>
      </c>
      <c r="AC373" s="11">
        <f t="shared" si="341"/>
        <v>0</v>
      </c>
      <c r="AD373" s="11">
        <f t="shared" si="341"/>
        <v>0</v>
      </c>
      <c r="AE373" s="50">
        <f t="shared" si="341"/>
        <v>0</v>
      </c>
      <c r="AF373" s="11">
        <f t="shared" si="341"/>
        <v>0</v>
      </c>
      <c r="AG373" s="11">
        <f t="shared" si="341"/>
        <v>0</v>
      </c>
      <c r="AH373" s="11">
        <f t="shared" si="341"/>
        <v>0</v>
      </c>
      <c r="AI373" s="11">
        <f t="shared" si="341"/>
        <v>0</v>
      </c>
      <c r="AJ373" s="11">
        <f t="shared" si="341"/>
        <v>0</v>
      </c>
      <c r="AK373" s="11">
        <f t="shared" si="341"/>
        <v>0</v>
      </c>
      <c r="AL373" s="11">
        <f t="shared" si="341"/>
        <v>3600</v>
      </c>
      <c r="AM373" s="11">
        <f t="shared" si="341"/>
        <v>3600</v>
      </c>
      <c r="AN373" s="11">
        <f t="shared" si="341"/>
        <v>3600</v>
      </c>
      <c r="AO373" s="11">
        <f t="shared" si="341"/>
        <v>3600</v>
      </c>
      <c r="AP373" s="11">
        <f t="shared" si="341"/>
        <v>3600</v>
      </c>
      <c r="AQ373" s="50">
        <f t="shared" si="341"/>
        <v>3600</v>
      </c>
      <c r="AR373" s="11">
        <f t="shared" si="341"/>
        <v>3600</v>
      </c>
      <c r="AS373" s="11">
        <f t="shared" si="341"/>
        <v>3600</v>
      </c>
      <c r="AT373" s="11">
        <f t="shared" si="341"/>
        <v>3600</v>
      </c>
      <c r="AU373" s="11">
        <f t="shared" si="341"/>
        <v>3600</v>
      </c>
      <c r="AV373" s="11">
        <f t="shared" si="341"/>
        <v>3600</v>
      </c>
      <c r="AW373" s="11">
        <f t="shared" si="341"/>
        <v>3600</v>
      </c>
      <c r="AX373" s="11">
        <f t="shared" si="341"/>
        <v>3600</v>
      </c>
      <c r="AY373" s="11">
        <f t="shared" si="341"/>
        <v>3600</v>
      </c>
      <c r="AZ373" s="11">
        <f t="shared" si="341"/>
        <v>3600</v>
      </c>
      <c r="BA373" s="11">
        <f t="shared" si="341"/>
        <v>3600</v>
      </c>
      <c r="BB373" s="11">
        <f t="shared" si="341"/>
        <v>3600</v>
      </c>
      <c r="BC373" s="31"/>
      <c r="BD373" s="31"/>
      <c r="BE373" s="22"/>
      <c r="BF373" s="22"/>
      <c r="BG373" s="22"/>
      <c r="BH373" s="31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</row>
    <row r="374" spans="1:79" ht="14.25" hidden="1" customHeight="1" outlineLevel="1" x14ac:dyDescent="0.25">
      <c r="A374" s="80">
        <v>7</v>
      </c>
      <c r="B374" s="22" t="s">
        <v>352</v>
      </c>
      <c r="C374" s="212">
        <v>1</v>
      </c>
      <c r="D374" s="213">
        <f t="shared" si="330"/>
        <v>27</v>
      </c>
      <c r="E374" s="102">
        <f t="shared" si="331"/>
        <v>46631</v>
      </c>
      <c r="F374" s="211">
        <f t="shared" si="326"/>
        <v>1200.0000000000002</v>
      </c>
      <c r="G374" s="82"/>
      <c r="H374" s="82"/>
      <c r="I374" s="82"/>
      <c r="J374" s="82"/>
      <c r="K374" s="82"/>
      <c r="L374" s="22"/>
      <c r="M374" s="22"/>
      <c r="N374" s="22"/>
      <c r="O374" s="22"/>
      <c r="P374" s="22"/>
      <c r="Q374" s="22"/>
      <c r="R374" s="11" t="str">
        <f t="shared" si="327"/>
        <v xml:space="preserve"> </v>
      </c>
      <c r="S374" s="50" t="str">
        <f t="shared" ref="S374:V374" si="342">IF($E374&lt;=S$3,$F374," ")</f>
        <v xml:space="preserve"> </v>
      </c>
      <c r="T374" s="11" t="str">
        <f t="shared" si="342"/>
        <v xml:space="preserve"> </v>
      </c>
      <c r="U374" s="11" t="str">
        <f t="shared" si="342"/>
        <v xml:space="preserve"> </v>
      </c>
      <c r="V374" s="11" t="str">
        <f t="shared" si="342"/>
        <v xml:space="preserve"> </v>
      </c>
      <c r="W374" s="11">
        <f t="shared" ref="W374:BB374" si="343">IF($E374&lt;=W$3,$F374,0)</f>
        <v>0</v>
      </c>
      <c r="X374" s="11">
        <f t="shared" si="343"/>
        <v>0</v>
      </c>
      <c r="Y374" s="11">
        <f t="shared" si="343"/>
        <v>0</v>
      </c>
      <c r="Z374" s="11">
        <f t="shared" si="343"/>
        <v>0</v>
      </c>
      <c r="AA374" s="11">
        <f t="shared" si="343"/>
        <v>0</v>
      </c>
      <c r="AB374" s="11">
        <f t="shared" si="343"/>
        <v>0</v>
      </c>
      <c r="AC374" s="11">
        <f t="shared" si="343"/>
        <v>0</v>
      </c>
      <c r="AD374" s="11">
        <f t="shared" si="343"/>
        <v>0</v>
      </c>
      <c r="AE374" s="50">
        <f t="shared" si="343"/>
        <v>0</v>
      </c>
      <c r="AF374" s="11">
        <f t="shared" si="343"/>
        <v>0</v>
      </c>
      <c r="AG374" s="11">
        <f t="shared" si="343"/>
        <v>0</v>
      </c>
      <c r="AH374" s="11">
        <f t="shared" si="343"/>
        <v>0</v>
      </c>
      <c r="AI374" s="11">
        <f t="shared" si="343"/>
        <v>0</v>
      </c>
      <c r="AJ374" s="11">
        <f t="shared" si="343"/>
        <v>0</v>
      </c>
      <c r="AK374" s="11">
        <f t="shared" si="343"/>
        <v>0</v>
      </c>
      <c r="AL374" s="11">
        <f t="shared" si="343"/>
        <v>0</v>
      </c>
      <c r="AM374" s="11">
        <f t="shared" si="343"/>
        <v>1200.0000000000002</v>
      </c>
      <c r="AN374" s="11">
        <f t="shared" si="343"/>
        <v>1200.0000000000002</v>
      </c>
      <c r="AO374" s="11">
        <f t="shared" si="343"/>
        <v>1200.0000000000002</v>
      </c>
      <c r="AP374" s="11">
        <f t="shared" si="343"/>
        <v>1200.0000000000002</v>
      </c>
      <c r="AQ374" s="50">
        <f t="shared" si="343"/>
        <v>1200.0000000000002</v>
      </c>
      <c r="AR374" s="11">
        <f t="shared" si="343"/>
        <v>1200.0000000000002</v>
      </c>
      <c r="AS374" s="11">
        <f t="shared" si="343"/>
        <v>1200.0000000000002</v>
      </c>
      <c r="AT374" s="11">
        <f t="shared" si="343"/>
        <v>1200.0000000000002</v>
      </c>
      <c r="AU374" s="11">
        <f t="shared" si="343"/>
        <v>1200.0000000000002</v>
      </c>
      <c r="AV374" s="11">
        <f t="shared" si="343"/>
        <v>1200.0000000000002</v>
      </c>
      <c r="AW374" s="11">
        <f t="shared" si="343"/>
        <v>1200.0000000000002</v>
      </c>
      <c r="AX374" s="11">
        <f t="shared" si="343"/>
        <v>1200.0000000000002</v>
      </c>
      <c r="AY374" s="11">
        <f t="shared" si="343"/>
        <v>1200.0000000000002</v>
      </c>
      <c r="AZ374" s="11">
        <f t="shared" si="343"/>
        <v>1200.0000000000002</v>
      </c>
      <c r="BA374" s="11">
        <f t="shared" si="343"/>
        <v>1200.0000000000002</v>
      </c>
      <c r="BB374" s="11">
        <f t="shared" si="343"/>
        <v>1200.0000000000002</v>
      </c>
      <c r="BC374" s="31"/>
      <c r="BD374" s="31"/>
      <c r="BE374" s="22"/>
      <c r="BF374" s="22"/>
      <c r="BG374" s="22"/>
      <c r="BH374" s="31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</row>
    <row r="375" spans="1:79" ht="14.25" hidden="1" customHeight="1" outlineLevel="1" x14ac:dyDescent="0.25">
      <c r="A375" s="80">
        <v>8</v>
      </c>
      <c r="B375" s="22" t="s">
        <v>353</v>
      </c>
      <c r="C375" s="212">
        <v>3</v>
      </c>
      <c r="D375" s="213">
        <f t="shared" si="330"/>
        <v>30</v>
      </c>
      <c r="E375" s="102">
        <f t="shared" si="331"/>
        <v>46722</v>
      </c>
      <c r="F375" s="211">
        <f t="shared" si="326"/>
        <v>3600</v>
      </c>
      <c r="G375" s="139"/>
      <c r="H375" s="139"/>
      <c r="I375" s="139"/>
      <c r="J375" s="139"/>
      <c r="K375" s="139"/>
      <c r="L375" s="46"/>
      <c r="M375" s="46"/>
      <c r="N375" s="46"/>
      <c r="O375" s="46"/>
      <c r="P375" s="46"/>
      <c r="Q375" s="46"/>
      <c r="R375" s="11" t="str">
        <f t="shared" si="327"/>
        <v xml:space="preserve"> </v>
      </c>
      <c r="S375" s="50" t="str">
        <f t="shared" ref="S375:V375" si="344">IF($E375&lt;=S$3,$F375," ")</f>
        <v xml:space="preserve"> </v>
      </c>
      <c r="T375" s="11" t="str">
        <f t="shared" si="344"/>
        <v xml:space="preserve"> </v>
      </c>
      <c r="U375" s="11" t="str">
        <f t="shared" si="344"/>
        <v xml:space="preserve"> </v>
      </c>
      <c r="V375" s="11" t="str">
        <f t="shared" si="344"/>
        <v xml:space="preserve"> </v>
      </c>
      <c r="W375" s="11">
        <f t="shared" ref="W375:BB375" si="345">IF($E375&lt;=W$3,$F375,0)</f>
        <v>0</v>
      </c>
      <c r="X375" s="11">
        <f t="shared" si="345"/>
        <v>0</v>
      </c>
      <c r="Y375" s="11">
        <f t="shared" si="345"/>
        <v>0</v>
      </c>
      <c r="Z375" s="11">
        <f t="shared" si="345"/>
        <v>0</v>
      </c>
      <c r="AA375" s="11">
        <f t="shared" si="345"/>
        <v>0</v>
      </c>
      <c r="AB375" s="11">
        <f t="shared" si="345"/>
        <v>0</v>
      </c>
      <c r="AC375" s="11">
        <f t="shared" si="345"/>
        <v>0</v>
      </c>
      <c r="AD375" s="11">
        <f t="shared" si="345"/>
        <v>0</v>
      </c>
      <c r="AE375" s="50">
        <f t="shared" si="345"/>
        <v>0</v>
      </c>
      <c r="AF375" s="11">
        <f t="shared" si="345"/>
        <v>0</v>
      </c>
      <c r="AG375" s="11">
        <f t="shared" si="345"/>
        <v>0</v>
      </c>
      <c r="AH375" s="11">
        <f t="shared" si="345"/>
        <v>0</v>
      </c>
      <c r="AI375" s="11">
        <f t="shared" si="345"/>
        <v>0</v>
      </c>
      <c r="AJ375" s="11">
        <f t="shared" si="345"/>
        <v>0</v>
      </c>
      <c r="AK375" s="11">
        <f t="shared" si="345"/>
        <v>0</v>
      </c>
      <c r="AL375" s="11">
        <f t="shared" si="345"/>
        <v>0</v>
      </c>
      <c r="AM375" s="11">
        <f t="shared" si="345"/>
        <v>0</v>
      </c>
      <c r="AN375" s="11">
        <f t="shared" si="345"/>
        <v>0</v>
      </c>
      <c r="AO375" s="11">
        <f t="shared" si="345"/>
        <v>0</v>
      </c>
      <c r="AP375" s="11">
        <f t="shared" si="345"/>
        <v>3600</v>
      </c>
      <c r="AQ375" s="50">
        <f t="shared" si="345"/>
        <v>3600</v>
      </c>
      <c r="AR375" s="11">
        <f t="shared" si="345"/>
        <v>3600</v>
      </c>
      <c r="AS375" s="11">
        <f t="shared" si="345"/>
        <v>3600</v>
      </c>
      <c r="AT375" s="11">
        <f t="shared" si="345"/>
        <v>3600</v>
      </c>
      <c r="AU375" s="11">
        <f t="shared" si="345"/>
        <v>3600</v>
      </c>
      <c r="AV375" s="11">
        <f t="shared" si="345"/>
        <v>3600</v>
      </c>
      <c r="AW375" s="11">
        <f t="shared" si="345"/>
        <v>3600</v>
      </c>
      <c r="AX375" s="11">
        <f t="shared" si="345"/>
        <v>3600</v>
      </c>
      <c r="AY375" s="11">
        <f t="shared" si="345"/>
        <v>3600</v>
      </c>
      <c r="AZ375" s="11">
        <f t="shared" si="345"/>
        <v>3600</v>
      </c>
      <c r="BA375" s="11">
        <f t="shared" si="345"/>
        <v>3600</v>
      </c>
      <c r="BB375" s="11">
        <f t="shared" si="345"/>
        <v>3600</v>
      </c>
      <c r="BC375" s="29"/>
      <c r="BD375" s="29"/>
      <c r="BE375" s="46"/>
      <c r="BF375" s="46"/>
      <c r="BG375" s="46"/>
      <c r="BH375" s="29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</row>
    <row r="376" spans="1:79" ht="14.25" hidden="1" customHeight="1" outlineLevel="1" x14ac:dyDescent="0.25">
      <c r="A376" s="80">
        <v>9</v>
      </c>
      <c r="B376" s="22" t="s">
        <v>354</v>
      </c>
      <c r="C376" s="212">
        <v>1</v>
      </c>
      <c r="D376" s="213">
        <f t="shared" si="330"/>
        <v>31</v>
      </c>
      <c r="E376" s="102" t="str">
        <f t="shared" si="331"/>
        <v xml:space="preserve"> </v>
      </c>
      <c r="F376" s="211">
        <f t="shared" si="326"/>
        <v>1200.0000000000002</v>
      </c>
      <c r="G376" s="139"/>
      <c r="H376" s="139"/>
      <c r="I376" s="139"/>
      <c r="J376" s="139"/>
      <c r="K376" s="139"/>
      <c r="L376" s="46"/>
      <c r="M376" s="46"/>
      <c r="N376" s="46"/>
      <c r="O376" s="46"/>
      <c r="P376" s="46"/>
      <c r="Q376" s="46"/>
      <c r="R376" s="11" t="str">
        <f t="shared" si="327"/>
        <v xml:space="preserve"> </v>
      </c>
      <c r="S376" s="50" t="str">
        <f t="shared" ref="S376:V376" si="346">IF($E376&lt;=S$3,$F376," ")</f>
        <v xml:space="preserve"> </v>
      </c>
      <c r="T376" s="11" t="str">
        <f t="shared" si="346"/>
        <v xml:space="preserve"> </v>
      </c>
      <c r="U376" s="11" t="str">
        <f t="shared" si="346"/>
        <v xml:space="preserve"> </v>
      </c>
      <c r="V376" s="11" t="str">
        <f t="shared" si="346"/>
        <v xml:space="preserve"> </v>
      </c>
      <c r="W376" s="11">
        <f t="shared" ref="W376:BB376" si="347">IF($E376&lt;=W$3,$F376,0)</f>
        <v>0</v>
      </c>
      <c r="X376" s="11">
        <f t="shared" si="347"/>
        <v>0</v>
      </c>
      <c r="Y376" s="11">
        <f t="shared" si="347"/>
        <v>0</v>
      </c>
      <c r="Z376" s="11">
        <f t="shared" si="347"/>
        <v>0</v>
      </c>
      <c r="AA376" s="11">
        <f t="shared" si="347"/>
        <v>0</v>
      </c>
      <c r="AB376" s="11">
        <f t="shared" si="347"/>
        <v>0</v>
      </c>
      <c r="AC376" s="11">
        <f t="shared" si="347"/>
        <v>0</v>
      </c>
      <c r="AD376" s="11">
        <f t="shared" si="347"/>
        <v>0</v>
      </c>
      <c r="AE376" s="50">
        <f t="shared" si="347"/>
        <v>0</v>
      </c>
      <c r="AF376" s="11">
        <f t="shared" si="347"/>
        <v>0</v>
      </c>
      <c r="AG376" s="11">
        <f t="shared" si="347"/>
        <v>0</v>
      </c>
      <c r="AH376" s="11">
        <f t="shared" si="347"/>
        <v>0</v>
      </c>
      <c r="AI376" s="11">
        <f t="shared" si="347"/>
        <v>0</v>
      </c>
      <c r="AJ376" s="11">
        <f t="shared" si="347"/>
        <v>0</v>
      </c>
      <c r="AK376" s="11">
        <f t="shared" si="347"/>
        <v>0</v>
      </c>
      <c r="AL376" s="11">
        <f t="shared" si="347"/>
        <v>0</v>
      </c>
      <c r="AM376" s="11">
        <f t="shared" si="347"/>
        <v>0</v>
      </c>
      <c r="AN376" s="11">
        <f t="shared" si="347"/>
        <v>0</v>
      </c>
      <c r="AO376" s="11">
        <f t="shared" si="347"/>
        <v>0</v>
      </c>
      <c r="AP376" s="11">
        <f t="shared" si="347"/>
        <v>0</v>
      </c>
      <c r="AQ376" s="50">
        <f t="shared" si="347"/>
        <v>0</v>
      </c>
      <c r="AR376" s="11">
        <f t="shared" si="347"/>
        <v>0</v>
      </c>
      <c r="AS376" s="11">
        <f t="shared" si="347"/>
        <v>0</v>
      </c>
      <c r="AT376" s="11">
        <f t="shared" si="347"/>
        <v>0</v>
      </c>
      <c r="AU376" s="11">
        <f t="shared" si="347"/>
        <v>0</v>
      </c>
      <c r="AV376" s="11">
        <f t="shared" si="347"/>
        <v>0</v>
      </c>
      <c r="AW376" s="11">
        <f t="shared" si="347"/>
        <v>0</v>
      </c>
      <c r="AX376" s="11">
        <f t="shared" si="347"/>
        <v>0</v>
      </c>
      <c r="AY376" s="11">
        <f t="shared" si="347"/>
        <v>0</v>
      </c>
      <c r="AZ376" s="11">
        <f t="shared" si="347"/>
        <v>0</v>
      </c>
      <c r="BA376" s="11">
        <f t="shared" si="347"/>
        <v>0</v>
      </c>
      <c r="BB376" s="11">
        <f t="shared" si="347"/>
        <v>0</v>
      </c>
      <c r="BC376" s="29"/>
      <c r="BD376" s="29"/>
      <c r="BE376" s="46"/>
      <c r="BF376" s="46"/>
      <c r="BG376" s="46"/>
      <c r="BH376" s="29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</row>
    <row r="377" spans="1:79" ht="14.25" hidden="1" customHeight="1" outlineLevel="1" x14ac:dyDescent="0.25">
      <c r="A377" s="80">
        <v>10</v>
      </c>
      <c r="B377" s="22" t="s">
        <v>355</v>
      </c>
      <c r="C377" s="212">
        <v>3</v>
      </c>
      <c r="D377" s="213">
        <f t="shared" si="330"/>
        <v>34</v>
      </c>
      <c r="E377" s="102" t="str">
        <f t="shared" si="331"/>
        <v xml:space="preserve"> </v>
      </c>
      <c r="F377" s="211">
        <f t="shared" si="326"/>
        <v>3600</v>
      </c>
      <c r="G377" s="139"/>
      <c r="H377" s="139"/>
      <c r="I377" s="139"/>
      <c r="J377" s="139"/>
      <c r="K377" s="139"/>
      <c r="L377" s="46"/>
      <c r="M377" s="46"/>
      <c r="N377" s="46"/>
      <c r="O377" s="46"/>
      <c r="P377" s="46"/>
      <c r="Q377" s="46"/>
      <c r="R377" s="11" t="str">
        <f t="shared" si="327"/>
        <v xml:space="preserve"> </v>
      </c>
      <c r="S377" s="50" t="str">
        <f t="shared" ref="S377:V377" si="348">IF($E377&lt;=S$3,$F377," ")</f>
        <v xml:space="preserve"> </v>
      </c>
      <c r="T377" s="11" t="str">
        <f t="shared" si="348"/>
        <v xml:space="preserve"> </v>
      </c>
      <c r="U377" s="11" t="str">
        <f t="shared" si="348"/>
        <v xml:space="preserve"> </v>
      </c>
      <c r="V377" s="11" t="str">
        <f t="shared" si="348"/>
        <v xml:space="preserve"> </v>
      </c>
      <c r="W377" s="11">
        <f t="shared" ref="W377:BB377" si="349">IF($E377&lt;=W$3,$F377,0)</f>
        <v>0</v>
      </c>
      <c r="X377" s="11">
        <f t="shared" si="349"/>
        <v>0</v>
      </c>
      <c r="Y377" s="11">
        <f t="shared" si="349"/>
        <v>0</v>
      </c>
      <c r="Z377" s="11">
        <f t="shared" si="349"/>
        <v>0</v>
      </c>
      <c r="AA377" s="11">
        <f t="shared" si="349"/>
        <v>0</v>
      </c>
      <c r="AB377" s="11">
        <f t="shared" si="349"/>
        <v>0</v>
      </c>
      <c r="AC377" s="11">
        <f t="shared" si="349"/>
        <v>0</v>
      </c>
      <c r="AD377" s="11">
        <f t="shared" si="349"/>
        <v>0</v>
      </c>
      <c r="AE377" s="50">
        <f t="shared" si="349"/>
        <v>0</v>
      </c>
      <c r="AF377" s="11">
        <f t="shared" si="349"/>
        <v>0</v>
      </c>
      <c r="AG377" s="11">
        <f t="shared" si="349"/>
        <v>0</v>
      </c>
      <c r="AH377" s="11">
        <f t="shared" si="349"/>
        <v>0</v>
      </c>
      <c r="AI377" s="11">
        <f t="shared" si="349"/>
        <v>0</v>
      </c>
      <c r="AJ377" s="11">
        <f t="shared" si="349"/>
        <v>0</v>
      </c>
      <c r="AK377" s="11">
        <f t="shared" si="349"/>
        <v>0</v>
      </c>
      <c r="AL377" s="11">
        <f t="shared" si="349"/>
        <v>0</v>
      </c>
      <c r="AM377" s="11">
        <f t="shared" si="349"/>
        <v>0</v>
      </c>
      <c r="AN377" s="11">
        <f t="shared" si="349"/>
        <v>0</v>
      </c>
      <c r="AO377" s="11">
        <f t="shared" si="349"/>
        <v>0</v>
      </c>
      <c r="AP377" s="11">
        <f t="shared" si="349"/>
        <v>0</v>
      </c>
      <c r="AQ377" s="50">
        <f t="shared" si="349"/>
        <v>0</v>
      </c>
      <c r="AR377" s="11">
        <f t="shared" si="349"/>
        <v>0</v>
      </c>
      <c r="AS377" s="11">
        <f t="shared" si="349"/>
        <v>0</v>
      </c>
      <c r="AT377" s="11">
        <f t="shared" si="349"/>
        <v>0</v>
      </c>
      <c r="AU377" s="11">
        <f t="shared" si="349"/>
        <v>0</v>
      </c>
      <c r="AV377" s="11">
        <f t="shared" si="349"/>
        <v>0</v>
      </c>
      <c r="AW377" s="11">
        <f t="shared" si="349"/>
        <v>0</v>
      </c>
      <c r="AX377" s="11">
        <f t="shared" si="349"/>
        <v>0</v>
      </c>
      <c r="AY377" s="11">
        <f t="shared" si="349"/>
        <v>0</v>
      </c>
      <c r="AZ377" s="11">
        <f t="shared" si="349"/>
        <v>0</v>
      </c>
      <c r="BA377" s="11">
        <f t="shared" si="349"/>
        <v>0</v>
      </c>
      <c r="BB377" s="11">
        <f t="shared" si="349"/>
        <v>0</v>
      </c>
      <c r="BC377" s="29"/>
      <c r="BD377" s="29"/>
      <c r="BE377" s="46"/>
      <c r="BF377" s="46"/>
      <c r="BG377" s="46"/>
      <c r="BH377" s="29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</row>
    <row r="378" spans="1:79" ht="14.25" hidden="1" customHeight="1" outlineLevel="1" x14ac:dyDescent="0.25">
      <c r="A378" s="214"/>
      <c r="B378" s="214"/>
      <c r="C378" s="214"/>
      <c r="D378" s="214"/>
      <c r="E378" s="22"/>
      <c r="F378" s="80"/>
      <c r="G378" s="82"/>
      <c r="H378" s="82"/>
      <c r="I378" s="82"/>
      <c r="J378" s="82"/>
      <c r="K378" s="82"/>
      <c r="L378" s="22"/>
      <c r="M378" s="22"/>
      <c r="N378" s="22"/>
      <c r="O378" s="22"/>
      <c r="P378" s="22"/>
      <c r="Q378" s="22"/>
      <c r="R378" s="22"/>
      <c r="S378" s="50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50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31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31"/>
      <c r="BD378" s="31"/>
      <c r="BE378" s="22"/>
      <c r="BF378" s="22"/>
      <c r="BG378" s="22"/>
      <c r="BH378" s="31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</row>
    <row r="379" spans="1:79" ht="14.25" hidden="1" customHeight="1" outlineLevel="1" x14ac:dyDescent="0.25">
      <c r="A379" s="214"/>
      <c r="B379" s="214"/>
      <c r="C379" s="214"/>
      <c r="D379" s="214"/>
      <c r="E379" s="22"/>
      <c r="F379" s="80"/>
      <c r="G379" s="82"/>
      <c r="H379" s="82"/>
      <c r="I379" s="82"/>
      <c r="J379" s="82"/>
      <c r="K379" s="82"/>
      <c r="L379" s="22"/>
      <c r="M379" s="22"/>
      <c r="N379" s="22"/>
      <c r="O379" s="22"/>
      <c r="P379" s="22"/>
      <c r="Q379" s="22"/>
      <c r="R379" s="22"/>
      <c r="S379" s="50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50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31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31"/>
      <c r="BD379" s="31"/>
      <c r="BE379" s="22"/>
      <c r="BF379" s="22"/>
      <c r="BG379" s="22"/>
      <c r="BH379" s="31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</row>
    <row r="380" spans="1:79" ht="14.25" hidden="1" customHeight="1" outlineLevel="1" x14ac:dyDescent="0.25">
      <c r="A380" s="46"/>
      <c r="B380" s="215" t="s">
        <v>356</v>
      </c>
      <c r="C380" s="215" t="s">
        <v>357</v>
      </c>
      <c r="D380" s="46"/>
      <c r="E380" s="215"/>
      <c r="F380" s="215" t="s">
        <v>358</v>
      </c>
      <c r="G380" s="138"/>
      <c r="H380" s="138"/>
      <c r="I380" s="138"/>
      <c r="J380" s="138"/>
      <c r="K380" s="138"/>
      <c r="L380" s="30"/>
      <c r="M380" s="30"/>
      <c r="N380" s="30"/>
      <c r="O380" s="30"/>
      <c r="P380" s="30"/>
      <c r="Q380" s="30"/>
      <c r="R380" s="30"/>
      <c r="S380" s="6"/>
      <c r="T380" s="126">
        <f t="shared" ref="T380:BB380" si="350">SUM(T381:T391)</f>
        <v>0</v>
      </c>
      <c r="U380" s="126">
        <f t="shared" si="350"/>
        <v>0</v>
      </c>
      <c r="V380" s="126">
        <f t="shared" si="350"/>
        <v>0</v>
      </c>
      <c r="W380" s="126">
        <f t="shared" si="350"/>
        <v>0</v>
      </c>
      <c r="X380" s="126">
        <f t="shared" si="350"/>
        <v>0</v>
      </c>
      <c r="Y380" s="126">
        <f t="shared" si="350"/>
        <v>834900.00000000012</v>
      </c>
      <c r="Z380" s="126">
        <f t="shared" si="350"/>
        <v>834900.00000000012</v>
      </c>
      <c r="AA380" s="126">
        <f t="shared" si="350"/>
        <v>834900.00000000012</v>
      </c>
      <c r="AB380" s="126">
        <f t="shared" si="350"/>
        <v>1669800.0000000002</v>
      </c>
      <c r="AC380" s="126">
        <f t="shared" si="350"/>
        <v>1669800.0000000002</v>
      </c>
      <c r="AD380" s="126">
        <f t="shared" si="350"/>
        <v>1669800.0000000002</v>
      </c>
      <c r="AE380" s="127">
        <f t="shared" si="350"/>
        <v>2504700.0000000005</v>
      </c>
      <c r="AF380" s="126">
        <f t="shared" si="350"/>
        <v>2504700.0000000005</v>
      </c>
      <c r="AG380" s="126">
        <f t="shared" si="350"/>
        <v>3339600.0000000005</v>
      </c>
      <c r="AH380" s="126">
        <f t="shared" si="350"/>
        <v>3339600.0000000005</v>
      </c>
      <c r="AI380" s="126">
        <f t="shared" si="350"/>
        <v>4174500.0000000005</v>
      </c>
      <c r="AJ380" s="126">
        <f t="shared" si="350"/>
        <v>4174500.0000000005</v>
      </c>
      <c r="AK380" s="126">
        <f t="shared" si="350"/>
        <v>4174500.0000000005</v>
      </c>
      <c r="AL380" s="126">
        <f t="shared" si="350"/>
        <v>7025700</v>
      </c>
      <c r="AM380" s="126">
        <f t="shared" si="350"/>
        <v>7860600</v>
      </c>
      <c r="AN380" s="126">
        <f t="shared" si="350"/>
        <v>7860600</v>
      </c>
      <c r="AO380" s="126">
        <f t="shared" si="350"/>
        <v>7860600</v>
      </c>
      <c r="AP380" s="126">
        <f t="shared" si="350"/>
        <v>10711800</v>
      </c>
      <c r="AQ380" s="127">
        <f t="shared" si="350"/>
        <v>10711800</v>
      </c>
      <c r="AR380" s="126">
        <f t="shared" si="350"/>
        <v>10711800</v>
      </c>
      <c r="AS380" s="126">
        <f t="shared" si="350"/>
        <v>10711800</v>
      </c>
      <c r="AT380" s="126">
        <f t="shared" si="350"/>
        <v>10711800</v>
      </c>
      <c r="AU380" s="126">
        <f t="shared" si="350"/>
        <v>10711800</v>
      </c>
      <c r="AV380" s="126">
        <f t="shared" si="350"/>
        <v>10711800</v>
      </c>
      <c r="AW380" s="126">
        <f t="shared" si="350"/>
        <v>10711800</v>
      </c>
      <c r="AX380" s="126">
        <f t="shared" si="350"/>
        <v>10711800</v>
      </c>
      <c r="AY380" s="126">
        <f t="shared" si="350"/>
        <v>10711800</v>
      </c>
      <c r="AZ380" s="126">
        <f t="shared" si="350"/>
        <v>10711800</v>
      </c>
      <c r="BA380" s="126">
        <f t="shared" si="350"/>
        <v>10711800</v>
      </c>
      <c r="BB380" s="126">
        <f t="shared" si="350"/>
        <v>10711800</v>
      </c>
      <c r="BC380" s="29"/>
      <c r="BD380" s="29"/>
      <c r="BE380" s="46"/>
      <c r="BF380" s="46"/>
      <c r="BG380" s="46"/>
      <c r="BH380" s="29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</row>
    <row r="381" spans="1:79" ht="14.25" hidden="1" customHeight="1" outlineLevel="1" x14ac:dyDescent="0.25">
      <c r="A381" s="80">
        <v>1</v>
      </c>
      <c r="B381" s="212" t="s">
        <v>359</v>
      </c>
      <c r="C381" s="211">
        <f t="shared" ref="C381:C390" si="351">IF(B381="Sub",$D$345,$C$345)</f>
        <v>1200.0000000000002</v>
      </c>
      <c r="D381" s="22"/>
      <c r="E381" s="116"/>
      <c r="F381" s="216">
        <f t="shared" ref="F381:F390" si="352">IF(B381="Sub",$D$361,$C$361)</f>
        <v>834900.00000000012</v>
      </c>
      <c r="G381" s="82"/>
      <c r="H381" s="82"/>
      <c r="I381" s="82"/>
      <c r="J381" s="82"/>
      <c r="K381" s="82"/>
      <c r="L381" s="22"/>
      <c r="M381" s="22"/>
      <c r="N381" s="22"/>
      <c r="O381" s="22"/>
      <c r="P381" s="22"/>
      <c r="Q381" s="22"/>
      <c r="R381" s="22"/>
      <c r="S381" s="31"/>
      <c r="T381" s="22"/>
      <c r="U381" s="22"/>
      <c r="V381" s="22"/>
      <c r="W381" s="11">
        <f t="shared" ref="W381:BB381" si="353">IF(W368&gt;1,$F381,0)</f>
        <v>0</v>
      </c>
      <c r="X381" s="11">
        <f t="shared" si="353"/>
        <v>0</v>
      </c>
      <c r="Y381" s="11">
        <f t="shared" si="353"/>
        <v>834900.00000000012</v>
      </c>
      <c r="Z381" s="11">
        <f t="shared" si="353"/>
        <v>834900.00000000012</v>
      </c>
      <c r="AA381" s="11">
        <f t="shared" si="353"/>
        <v>834900.00000000012</v>
      </c>
      <c r="AB381" s="11">
        <f t="shared" si="353"/>
        <v>834900.00000000012</v>
      </c>
      <c r="AC381" s="11">
        <f t="shared" si="353"/>
        <v>834900.00000000012</v>
      </c>
      <c r="AD381" s="11">
        <f t="shared" si="353"/>
        <v>834900.00000000012</v>
      </c>
      <c r="AE381" s="50">
        <f t="shared" si="353"/>
        <v>834900.00000000012</v>
      </c>
      <c r="AF381" s="11">
        <f t="shared" si="353"/>
        <v>834900.00000000012</v>
      </c>
      <c r="AG381" s="11">
        <f t="shared" si="353"/>
        <v>834900.00000000012</v>
      </c>
      <c r="AH381" s="11">
        <f t="shared" si="353"/>
        <v>834900.00000000012</v>
      </c>
      <c r="AI381" s="11">
        <f t="shared" si="353"/>
        <v>834900.00000000012</v>
      </c>
      <c r="AJ381" s="11">
        <f t="shared" si="353"/>
        <v>834900.00000000012</v>
      </c>
      <c r="AK381" s="11">
        <f t="shared" si="353"/>
        <v>834900.00000000012</v>
      </c>
      <c r="AL381" s="11">
        <f t="shared" si="353"/>
        <v>834900.00000000012</v>
      </c>
      <c r="AM381" s="11">
        <f t="shared" si="353"/>
        <v>834900.00000000012</v>
      </c>
      <c r="AN381" s="11">
        <f t="shared" si="353"/>
        <v>834900.00000000012</v>
      </c>
      <c r="AO381" s="11">
        <f t="shared" si="353"/>
        <v>834900.00000000012</v>
      </c>
      <c r="AP381" s="11">
        <f t="shared" si="353"/>
        <v>834900.00000000012</v>
      </c>
      <c r="AQ381" s="50">
        <f t="shared" si="353"/>
        <v>834900.00000000012</v>
      </c>
      <c r="AR381" s="11">
        <f t="shared" si="353"/>
        <v>834900.00000000012</v>
      </c>
      <c r="AS381" s="11">
        <f t="shared" si="353"/>
        <v>834900.00000000012</v>
      </c>
      <c r="AT381" s="11">
        <f t="shared" si="353"/>
        <v>834900.00000000012</v>
      </c>
      <c r="AU381" s="11">
        <f t="shared" si="353"/>
        <v>834900.00000000012</v>
      </c>
      <c r="AV381" s="11">
        <f t="shared" si="353"/>
        <v>834900.00000000012</v>
      </c>
      <c r="AW381" s="11">
        <f t="shared" si="353"/>
        <v>834900.00000000012</v>
      </c>
      <c r="AX381" s="11">
        <f t="shared" si="353"/>
        <v>834900.00000000012</v>
      </c>
      <c r="AY381" s="11">
        <f t="shared" si="353"/>
        <v>834900.00000000012</v>
      </c>
      <c r="AZ381" s="11">
        <f t="shared" si="353"/>
        <v>834900.00000000012</v>
      </c>
      <c r="BA381" s="11">
        <f t="shared" si="353"/>
        <v>834900.00000000012</v>
      </c>
      <c r="BB381" s="11">
        <f t="shared" si="353"/>
        <v>834900.00000000012</v>
      </c>
      <c r="BC381" s="31"/>
      <c r="BD381" s="31"/>
      <c r="BE381" s="22"/>
      <c r="BF381" s="22"/>
      <c r="BG381" s="22"/>
      <c r="BH381" s="31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</row>
    <row r="382" spans="1:79" ht="14.25" hidden="1" customHeight="1" outlineLevel="1" x14ac:dyDescent="0.25">
      <c r="A382" s="80">
        <v>2</v>
      </c>
      <c r="B382" s="212" t="s">
        <v>359</v>
      </c>
      <c r="C382" s="211">
        <f t="shared" si="351"/>
        <v>1200.0000000000002</v>
      </c>
      <c r="D382" s="140"/>
      <c r="E382" s="116"/>
      <c r="F382" s="216">
        <f t="shared" si="352"/>
        <v>834900.00000000012</v>
      </c>
      <c r="G382" s="187"/>
      <c r="H382" s="187"/>
      <c r="I382" s="187"/>
      <c r="J382" s="187"/>
      <c r="K382" s="187"/>
      <c r="L382" s="140"/>
      <c r="M382" s="140"/>
      <c r="N382" s="140"/>
      <c r="O382" s="140"/>
      <c r="P382" s="140"/>
      <c r="Q382" s="140"/>
      <c r="R382" s="140"/>
      <c r="S382" s="141"/>
      <c r="T382" s="140"/>
      <c r="U382" s="140"/>
      <c r="V382" s="140"/>
      <c r="W382" s="11">
        <f t="shared" ref="W382:BB382" si="354">IF(W369&gt;1,$F382,0)</f>
        <v>0</v>
      </c>
      <c r="X382" s="11">
        <f t="shared" si="354"/>
        <v>0</v>
      </c>
      <c r="Y382" s="11">
        <f t="shared" si="354"/>
        <v>0</v>
      </c>
      <c r="Z382" s="11">
        <f t="shared" si="354"/>
        <v>0</v>
      </c>
      <c r="AA382" s="11">
        <f t="shared" si="354"/>
        <v>0</v>
      </c>
      <c r="AB382" s="11">
        <f t="shared" si="354"/>
        <v>834900.00000000012</v>
      </c>
      <c r="AC382" s="11">
        <f t="shared" si="354"/>
        <v>834900.00000000012</v>
      </c>
      <c r="AD382" s="11">
        <f t="shared" si="354"/>
        <v>834900.00000000012</v>
      </c>
      <c r="AE382" s="50">
        <f t="shared" si="354"/>
        <v>834900.00000000012</v>
      </c>
      <c r="AF382" s="11">
        <f t="shared" si="354"/>
        <v>834900.00000000012</v>
      </c>
      <c r="AG382" s="11">
        <f t="shared" si="354"/>
        <v>834900.00000000012</v>
      </c>
      <c r="AH382" s="11">
        <f t="shared" si="354"/>
        <v>834900.00000000012</v>
      </c>
      <c r="AI382" s="11">
        <f t="shared" si="354"/>
        <v>834900.00000000012</v>
      </c>
      <c r="AJ382" s="11">
        <f t="shared" si="354"/>
        <v>834900.00000000012</v>
      </c>
      <c r="AK382" s="11">
        <f t="shared" si="354"/>
        <v>834900.00000000012</v>
      </c>
      <c r="AL382" s="11">
        <f t="shared" si="354"/>
        <v>834900.00000000012</v>
      </c>
      <c r="AM382" s="11">
        <f t="shared" si="354"/>
        <v>834900.00000000012</v>
      </c>
      <c r="AN382" s="11">
        <f t="shared" si="354"/>
        <v>834900.00000000012</v>
      </c>
      <c r="AO382" s="11">
        <f t="shared" si="354"/>
        <v>834900.00000000012</v>
      </c>
      <c r="AP382" s="11">
        <f t="shared" si="354"/>
        <v>834900.00000000012</v>
      </c>
      <c r="AQ382" s="50">
        <f t="shared" si="354"/>
        <v>834900.00000000012</v>
      </c>
      <c r="AR382" s="11">
        <f t="shared" si="354"/>
        <v>834900.00000000012</v>
      </c>
      <c r="AS382" s="11">
        <f t="shared" si="354"/>
        <v>834900.00000000012</v>
      </c>
      <c r="AT382" s="11">
        <f t="shared" si="354"/>
        <v>834900.00000000012</v>
      </c>
      <c r="AU382" s="11">
        <f t="shared" si="354"/>
        <v>834900.00000000012</v>
      </c>
      <c r="AV382" s="11">
        <f t="shared" si="354"/>
        <v>834900.00000000012</v>
      </c>
      <c r="AW382" s="11">
        <f t="shared" si="354"/>
        <v>834900.00000000012</v>
      </c>
      <c r="AX382" s="11">
        <f t="shared" si="354"/>
        <v>834900.00000000012</v>
      </c>
      <c r="AY382" s="11">
        <f t="shared" si="354"/>
        <v>834900.00000000012</v>
      </c>
      <c r="AZ382" s="11">
        <f t="shared" si="354"/>
        <v>834900.00000000012</v>
      </c>
      <c r="BA382" s="11">
        <f t="shared" si="354"/>
        <v>834900.00000000012</v>
      </c>
      <c r="BB382" s="11">
        <f t="shared" si="354"/>
        <v>834900.00000000012</v>
      </c>
      <c r="BC382" s="141"/>
      <c r="BD382" s="141"/>
      <c r="BE382" s="140"/>
      <c r="BF382" s="140"/>
      <c r="BG382" s="140"/>
      <c r="BH382" s="141"/>
      <c r="BI382" s="140"/>
      <c r="BJ382" s="140"/>
      <c r="BK382" s="140"/>
      <c r="BL382" s="140"/>
      <c r="BM382" s="140"/>
      <c r="BN382" s="140"/>
      <c r="BO382" s="140"/>
      <c r="BP382" s="140"/>
      <c r="BQ382" s="140"/>
      <c r="BR382" s="140"/>
      <c r="BS382" s="140"/>
      <c r="BT382" s="140"/>
      <c r="BU382" s="140"/>
      <c r="BV382" s="140"/>
      <c r="BW382" s="140"/>
      <c r="BX382" s="140"/>
      <c r="BY382" s="140"/>
      <c r="BZ382" s="140"/>
      <c r="CA382" s="140"/>
    </row>
    <row r="383" spans="1:79" ht="14.25" hidden="1" customHeight="1" outlineLevel="1" x14ac:dyDescent="0.25">
      <c r="A383" s="80">
        <v>3</v>
      </c>
      <c r="B383" s="212" t="s">
        <v>359</v>
      </c>
      <c r="C383" s="211">
        <f t="shared" si="351"/>
        <v>1200.0000000000002</v>
      </c>
      <c r="D383" s="22"/>
      <c r="E383" s="116"/>
      <c r="F383" s="216">
        <f t="shared" si="352"/>
        <v>834900.00000000012</v>
      </c>
      <c r="G383" s="82"/>
      <c r="H383" s="82"/>
      <c r="I383" s="82"/>
      <c r="J383" s="82"/>
      <c r="K383" s="82"/>
      <c r="L383" s="22"/>
      <c r="M383" s="22"/>
      <c r="N383" s="22"/>
      <c r="O383" s="22"/>
      <c r="P383" s="22"/>
      <c r="Q383" s="22"/>
      <c r="R383" s="22"/>
      <c r="S383" s="50"/>
      <c r="T383" s="11"/>
      <c r="U383" s="11"/>
      <c r="V383" s="11"/>
      <c r="W383" s="11">
        <f t="shared" ref="W383:BB383" si="355">IF(W370&gt;1,$F383,0)</f>
        <v>0</v>
      </c>
      <c r="X383" s="11">
        <f t="shared" si="355"/>
        <v>0</v>
      </c>
      <c r="Y383" s="11">
        <f t="shared" si="355"/>
        <v>0</v>
      </c>
      <c r="Z383" s="11">
        <f t="shared" si="355"/>
        <v>0</v>
      </c>
      <c r="AA383" s="11">
        <f t="shared" si="355"/>
        <v>0</v>
      </c>
      <c r="AB383" s="11">
        <f t="shared" si="355"/>
        <v>0</v>
      </c>
      <c r="AC383" s="11">
        <f t="shared" si="355"/>
        <v>0</v>
      </c>
      <c r="AD383" s="11">
        <f t="shared" si="355"/>
        <v>0</v>
      </c>
      <c r="AE383" s="50">
        <f t="shared" si="355"/>
        <v>834900.00000000012</v>
      </c>
      <c r="AF383" s="11">
        <f t="shared" si="355"/>
        <v>834900.00000000012</v>
      </c>
      <c r="AG383" s="11">
        <f t="shared" si="355"/>
        <v>834900.00000000012</v>
      </c>
      <c r="AH383" s="11">
        <f t="shared" si="355"/>
        <v>834900.00000000012</v>
      </c>
      <c r="AI383" s="11">
        <f t="shared" si="355"/>
        <v>834900.00000000012</v>
      </c>
      <c r="AJ383" s="11">
        <f t="shared" si="355"/>
        <v>834900.00000000012</v>
      </c>
      <c r="AK383" s="11">
        <f t="shared" si="355"/>
        <v>834900.00000000012</v>
      </c>
      <c r="AL383" s="11">
        <f t="shared" si="355"/>
        <v>834900.00000000012</v>
      </c>
      <c r="AM383" s="11">
        <f t="shared" si="355"/>
        <v>834900.00000000012</v>
      </c>
      <c r="AN383" s="11">
        <f t="shared" si="355"/>
        <v>834900.00000000012</v>
      </c>
      <c r="AO383" s="11">
        <f t="shared" si="355"/>
        <v>834900.00000000012</v>
      </c>
      <c r="AP383" s="11">
        <f t="shared" si="355"/>
        <v>834900.00000000012</v>
      </c>
      <c r="AQ383" s="50">
        <f t="shared" si="355"/>
        <v>834900.00000000012</v>
      </c>
      <c r="AR383" s="11">
        <f t="shared" si="355"/>
        <v>834900.00000000012</v>
      </c>
      <c r="AS383" s="11">
        <f t="shared" si="355"/>
        <v>834900.00000000012</v>
      </c>
      <c r="AT383" s="11">
        <f t="shared" si="355"/>
        <v>834900.00000000012</v>
      </c>
      <c r="AU383" s="11">
        <f t="shared" si="355"/>
        <v>834900.00000000012</v>
      </c>
      <c r="AV383" s="11">
        <f t="shared" si="355"/>
        <v>834900.00000000012</v>
      </c>
      <c r="AW383" s="11">
        <f t="shared" si="355"/>
        <v>834900.00000000012</v>
      </c>
      <c r="AX383" s="11">
        <f t="shared" si="355"/>
        <v>834900.00000000012</v>
      </c>
      <c r="AY383" s="11">
        <f t="shared" si="355"/>
        <v>834900.00000000012</v>
      </c>
      <c r="AZ383" s="11">
        <f t="shared" si="355"/>
        <v>834900.00000000012</v>
      </c>
      <c r="BA383" s="11">
        <f t="shared" si="355"/>
        <v>834900.00000000012</v>
      </c>
      <c r="BB383" s="11">
        <f t="shared" si="355"/>
        <v>834900.00000000012</v>
      </c>
      <c r="BC383" s="31"/>
      <c r="BD383" s="31"/>
      <c r="BE383" s="22"/>
      <c r="BF383" s="22"/>
      <c r="BG383" s="22"/>
      <c r="BH383" s="31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</row>
    <row r="384" spans="1:79" ht="14.25" hidden="1" customHeight="1" outlineLevel="1" x14ac:dyDescent="0.25">
      <c r="A384" s="80">
        <v>4</v>
      </c>
      <c r="B384" s="212" t="s">
        <v>359</v>
      </c>
      <c r="C384" s="211">
        <f t="shared" si="351"/>
        <v>1200.0000000000002</v>
      </c>
      <c r="D384" s="22"/>
      <c r="E384" s="116"/>
      <c r="F384" s="216">
        <f t="shared" si="352"/>
        <v>834900.00000000012</v>
      </c>
      <c r="G384" s="82"/>
      <c r="H384" s="82"/>
      <c r="I384" s="82"/>
      <c r="J384" s="82"/>
      <c r="K384" s="82"/>
      <c r="L384" s="22"/>
      <c r="M384" s="22"/>
      <c r="N384" s="22"/>
      <c r="O384" s="22"/>
      <c r="P384" s="22"/>
      <c r="Q384" s="22"/>
      <c r="R384" s="22"/>
      <c r="S384" s="50"/>
      <c r="T384" s="11"/>
      <c r="U384" s="11"/>
      <c r="V384" s="11"/>
      <c r="W384" s="11">
        <f t="shared" ref="W384:BB384" si="356">IF(W371&gt;1,$F384,0)</f>
        <v>0</v>
      </c>
      <c r="X384" s="11">
        <f t="shared" si="356"/>
        <v>0</v>
      </c>
      <c r="Y384" s="11">
        <f t="shared" si="356"/>
        <v>0</v>
      </c>
      <c r="Z384" s="11">
        <f t="shared" si="356"/>
        <v>0</v>
      </c>
      <c r="AA384" s="11">
        <f t="shared" si="356"/>
        <v>0</v>
      </c>
      <c r="AB384" s="11">
        <f t="shared" si="356"/>
        <v>0</v>
      </c>
      <c r="AC384" s="11">
        <f t="shared" si="356"/>
        <v>0</v>
      </c>
      <c r="AD384" s="11">
        <f t="shared" si="356"/>
        <v>0</v>
      </c>
      <c r="AE384" s="50">
        <f t="shared" si="356"/>
        <v>0</v>
      </c>
      <c r="AF384" s="11">
        <f t="shared" si="356"/>
        <v>0</v>
      </c>
      <c r="AG384" s="11">
        <f t="shared" si="356"/>
        <v>834900.00000000012</v>
      </c>
      <c r="AH384" s="11">
        <f t="shared" si="356"/>
        <v>834900.00000000012</v>
      </c>
      <c r="AI384" s="11">
        <f t="shared" si="356"/>
        <v>834900.00000000012</v>
      </c>
      <c r="AJ384" s="11">
        <f t="shared" si="356"/>
        <v>834900.00000000012</v>
      </c>
      <c r="AK384" s="11">
        <f t="shared" si="356"/>
        <v>834900.00000000012</v>
      </c>
      <c r="AL384" s="11">
        <f t="shared" si="356"/>
        <v>834900.00000000012</v>
      </c>
      <c r="AM384" s="11">
        <f t="shared" si="356"/>
        <v>834900.00000000012</v>
      </c>
      <c r="AN384" s="11">
        <f t="shared" si="356"/>
        <v>834900.00000000012</v>
      </c>
      <c r="AO384" s="11">
        <f t="shared" si="356"/>
        <v>834900.00000000012</v>
      </c>
      <c r="AP384" s="11">
        <f t="shared" si="356"/>
        <v>834900.00000000012</v>
      </c>
      <c r="AQ384" s="50">
        <f t="shared" si="356"/>
        <v>834900.00000000012</v>
      </c>
      <c r="AR384" s="11">
        <f t="shared" si="356"/>
        <v>834900.00000000012</v>
      </c>
      <c r="AS384" s="11">
        <f t="shared" si="356"/>
        <v>834900.00000000012</v>
      </c>
      <c r="AT384" s="11">
        <f t="shared" si="356"/>
        <v>834900.00000000012</v>
      </c>
      <c r="AU384" s="11">
        <f t="shared" si="356"/>
        <v>834900.00000000012</v>
      </c>
      <c r="AV384" s="11">
        <f t="shared" si="356"/>
        <v>834900.00000000012</v>
      </c>
      <c r="AW384" s="11">
        <f t="shared" si="356"/>
        <v>834900.00000000012</v>
      </c>
      <c r="AX384" s="11">
        <f t="shared" si="356"/>
        <v>834900.00000000012</v>
      </c>
      <c r="AY384" s="11">
        <f t="shared" si="356"/>
        <v>834900.00000000012</v>
      </c>
      <c r="AZ384" s="11">
        <f t="shared" si="356"/>
        <v>834900.00000000012</v>
      </c>
      <c r="BA384" s="11">
        <f t="shared" si="356"/>
        <v>834900.00000000012</v>
      </c>
      <c r="BB384" s="11">
        <f t="shared" si="356"/>
        <v>834900.00000000012</v>
      </c>
      <c r="BC384" s="31"/>
      <c r="BD384" s="31"/>
      <c r="BE384" s="22"/>
      <c r="BF384" s="22"/>
      <c r="BG384" s="22"/>
      <c r="BH384" s="31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</row>
    <row r="385" spans="1:79" ht="14.25" hidden="1" customHeight="1" outlineLevel="1" x14ac:dyDescent="0.25">
      <c r="A385" s="80">
        <v>5</v>
      </c>
      <c r="B385" s="212" t="s">
        <v>359</v>
      </c>
      <c r="C385" s="211">
        <f t="shared" si="351"/>
        <v>1200.0000000000002</v>
      </c>
      <c r="D385" s="22"/>
      <c r="E385" s="116"/>
      <c r="F385" s="216">
        <f t="shared" si="352"/>
        <v>834900.00000000012</v>
      </c>
      <c r="G385" s="82"/>
      <c r="H385" s="82"/>
      <c r="I385" s="82"/>
      <c r="J385" s="82"/>
      <c r="K385" s="82"/>
      <c r="L385" s="22"/>
      <c r="M385" s="22"/>
      <c r="N385" s="22"/>
      <c r="O385" s="22"/>
      <c r="P385" s="22"/>
      <c r="Q385" s="22"/>
      <c r="R385" s="22"/>
      <c r="S385" s="50"/>
      <c r="T385" s="11"/>
      <c r="U385" s="11"/>
      <c r="V385" s="11"/>
      <c r="W385" s="11">
        <f t="shared" ref="W385:BB385" si="357">IF(W372&gt;1,$F385,0)</f>
        <v>0</v>
      </c>
      <c r="X385" s="11">
        <f t="shared" si="357"/>
        <v>0</v>
      </c>
      <c r="Y385" s="11">
        <f t="shared" si="357"/>
        <v>0</v>
      </c>
      <c r="Z385" s="11">
        <f t="shared" si="357"/>
        <v>0</v>
      </c>
      <c r="AA385" s="11">
        <f t="shared" si="357"/>
        <v>0</v>
      </c>
      <c r="AB385" s="11">
        <f t="shared" si="357"/>
        <v>0</v>
      </c>
      <c r="AC385" s="11">
        <f t="shared" si="357"/>
        <v>0</v>
      </c>
      <c r="AD385" s="11">
        <f t="shared" si="357"/>
        <v>0</v>
      </c>
      <c r="AE385" s="50">
        <f t="shared" si="357"/>
        <v>0</v>
      </c>
      <c r="AF385" s="11">
        <f t="shared" si="357"/>
        <v>0</v>
      </c>
      <c r="AG385" s="11">
        <f t="shared" si="357"/>
        <v>0</v>
      </c>
      <c r="AH385" s="11">
        <f t="shared" si="357"/>
        <v>0</v>
      </c>
      <c r="AI385" s="11">
        <f t="shared" si="357"/>
        <v>834900.00000000012</v>
      </c>
      <c r="AJ385" s="11">
        <f t="shared" si="357"/>
        <v>834900.00000000012</v>
      </c>
      <c r="AK385" s="11">
        <f t="shared" si="357"/>
        <v>834900.00000000012</v>
      </c>
      <c r="AL385" s="11">
        <f t="shared" si="357"/>
        <v>834900.00000000012</v>
      </c>
      <c r="AM385" s="11">
        <f t="shared" si="357"/>
        <v>834900.00000000012</v>
      </c>
      <c r="AN385" s="11">
        <f t="shared" si="357"/>
        <v>834900.00000000012</v>
      </c>
      <c r="AO385" s="11">
        <f t="shared" si="357"/>
        <v>834900.00000000012</v>
      </c>
      <c r="AP385" s="11">
        <f t="shared" si="357"/>
        <v>834900.00000000012</v>
      </c>
      <c r="AQ385" s="50">
        <f t="shared" si="357"/>
        <v>834900.00000000012</v>
      </c>
      <c r="AR385" s="11">
        <f t="shared" si="357"/>
        <v>834900.00000000012</v>
      </c>
      <c r="AS385" s="11">
        <f t="shared" si="357"/>
        <v>834900.00000000012</v>
      </c>
      <c r="AT385" s="11">
        <f t="shared" si="357"/>
        <v>834900.00000000012</v>
      </c>
      <c r="AU385" s="11">
        <f t="shared" si="357"/>
        <v>834900.00000000012</v>
      </c>
      <c r="AV385" s="11">
        <f t="shared" si="357"/>
        <v>834900.00000000012</v>
      </c>
      <c r="AW385" s="11">
        <f t="shared" si="357"/>
        <v>834900.00000000012</v>
      </c>
      <c r="AX385" s="11">
        <f t="shared" si="357"/>
        <v>834900.00000000012</v>
      </c>
      <c r="AY385" s="11">
        <f t="shared" si="357"/>
        <v>834900.00000000012</v>
      </c>
      <c r="AZ385" s="11">
        <f t="shared" si="357"/>
        <v>834900.00000000012</v>
      </c>
      <c r="BA385" s="11">
        <f t="shared" si="357"/>
        <v>834900.00000000012</v>
      </c>
      <c r="BB385" s="11">
        <f t="shared" si="357"/>
        <v>834900.00000000012</v>
      </c>
      <c r="BC385" s="31"/>
      <c r="BD385" s="31"/>
      <c r="BE385" s="22"/>
      <c r="BF385" s="22"/>
      <c r="BG385" s="22"/>
      <c r="BH385" s="31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</row>
    <row r="386" spans="1:79" ht="14.25" hidden="1" customHeight="1" outlineLevel="1" x14ac:dyDescent="0.25">
      <c r="A386" s="80">
        <v>6</v>
      </c>
      <c r="B386" s="212" t="s">
        <v>360</v>
      </c>
      <c r="C386" s="211">
        <f t="shared" si="351"/>
        <v>3600</v>
      </c>
      <c r="D386" s="22"/>
      <c r="E386" s="116"/>
      <c r="F386" s="216">
        <f t="shared" si="352"/>
        <v>2851200</v>
      </c>
      <c r="G386" s="82"/>
      <c r="H386" s="82"/>
      <c r="I386" s="82"/>
      <c r="J386" s="82"/>
      <c r="K386" s="82"/>
      <c r="L386" s="22"/>
      <c r="M386" s="22"/>
      <c r="N386" s="22"/>
      <c r="O386" s="22"/>
      <c r="P386" s="22"/>
      <c r="Q386" s="22"/>
      <c r="R386" s="22"/>
      <c r="S386" s="50"/>
      <c r="T386" s="11"/>
      <c r="U386" s="11"/>
      <c r="V386" s="11"/>
      <c r="W386" s="11">
        <f t="shared" ref="W386:BB386" si="358">IF(W373&gt;1,$F386,0)</f>
        <v>0</v>
      </c>
      <c r="X386" s="11">
        <f t="shared" si="358"/>
        <v>0</v>
      </c>
      <c r="Y386" s="11">
        <f t="shared" si="358"/>
        <v>0</v>
      </c>
      <c r="Z386" s="11">
        <f t="shared" si="358"/>
        <v>0</v>
      </c>
      <c r="AA386" s="11">
        <f t="shared" si="358"/>
        <v>0</v>
      </c>
      <c r="AB386" s="11">
        <f t="shared" si="358"/>
        <v>0</v>
      </c>
      <c r="AC386" s="11">
        <f t="shared" si="358"/>
        <v>0</v>
      </c>
      <c r="AD386" s="11">
        <f t="shared" si="358"/>
        <v>0</v>
      </c>
      <c r="AE386" s="50">
        <f t="shared" si="358"/>
        <v>0</v>
      </c>
      <c r="AF386" s="11">
        <f t="shared" si="358"/>
        <v>0</v>
      </c>
      <c r="AG386" s="11">
        <f t="shared" si="358"/>
        <v>0</v>
      </c>
      <c r="AH386" s="11">
        <f t="shared" si="358"/>
        <v>0</v>
      </c>
      <c r="AI386" s="11">
        <f t="shared" si="358"/>
        <v>0</v>
      </c>
      <c r="AJ386" s="11">
        <f t="shared" si="358"/>
        <v>0</v>
      </c>
      <c r="AK386" s="11">
        <f t="shared" si="358"/>
        <v>0</v>
      </c>
      <c r="AL386" s="11">
        <f t="shared" si="358"/>
        <v>2851200</v>
      </c>
      <c r="AM386" s="11">
        <f t="shared" si="358"/>
        <v>2851200</v>
      </c>
      <c r="AN386" s="11">
        <f t="shared" si="358"/>
        <v>2851200</v>
      </c>
      <c r="AO386" s="11">
        <f t="shared" si="358"/>
        <v>2851200</v>
      </c>
      <c r="AP386" s="11">
        <f t="shared" si="358"/>
        <v>2851200</v>
      </c>
      <c r="AQ386" s="50">
        <f t="shared" si="358"/>
        <v>2851200</v>
      </c>
      <c r="AR386" s="11">
        <f t="shared" si="358"/>
        <v>2851200</v>
      </c>
      <c r="AS386" s="11">
        <f t="shared" si="358"/>
        <v>2851200</v>
      </c>
      <c r="AT386" s="11">
        <f t="shared" si="358"/>
        <v>2851200</v>
      </c>
      <c r="AU386" s="11">
        <f t="shared" si="358"/>
        <v>2851200</v>
      </c>
      <c r="AV386" s="11">
        <f t="shared" si="358"/>
        <v>2851200</v>
      </c>
      <c r="AW386" s="11">
        <f t="shared" si="358"/>
        <v>2851200</v>
      </c>
      <c r="AX386" s="11">
        <f t="shared" si="358"/>
        <v>2851200</v>
      </c>
      <c r="AY386" s="11">
        <f t="shared" si="358"/>
        <v>2851200</v>
      </c>
      <c r="AZ386" s="11">
        <f t="shared" si="358"/>
        <v>2851200</v>
      </c>
      <c r="BA386" s="11">
        <f t="shared" si="358"/>
        <v>2851200</v>
      </c>
      <c r="BB386" s="11">
        <f t="shared" si="358"/>
        <v>2851200</v>
      </c>
      <c r="BC386" s="31"/>
      <c r="BD386" s="31"/>
      <c r="BE386" s="22"/>
      <c r="BF386" s="22"/>
      <c r="BG386" s="22"/>
      <c r="BH386" s="31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</row>
    <row r="387" spans="1:79" ht="14.25" hidden="1" customHeight="1" outlineLevel="1" x14ac:dyDescent="0.25">
      <c r="A387" s="80">
        <v>7</v>
      </c>
      <c r="B387" s="212" t="s">
        <v>359</v>
      </c>
      <c r="C387" s="211">
        <f t="shared" si="351"/>
        <v>1200.0000000000002</v>
      </c>
      <c r="D387" s="46"/>
      <c r="E387" s="116"/>
      <c r="F387" s="216">
        <f t="shared" si="352"/>
        <v>834900.00000000012</v>
      </c>
      <c r="G387" s="139"/>
      <c r="H387" s="139"/>
      <c r="I387" s="139"/>
      <c r="J387" s="139"/>
      <c r="K387" s="139"/>
      <c r="L387" s="46"/>
      <c r="M387" s="46"/>
      <c r="N387" s="46"/>
      <c r="O387" s="46"/>
      <c r="P387" s="46"/>
      <c r="Q387" s="46"/>
      <c r="R387" s="46"/>
      <c r="S387" s="10"/>
      <c r="T387" s="9"/>
      <c r="U387" s="9"/>
      <c r="V387" s="9"/>
      <c r="W387" s="11">
        <f t="shared" ref="W387:BB387" si="359">IF(W374&gt;1,$F387,0)</f>
        <v>0</v>
      </c>
      <c r="X387" s="11">
        <f t="shared" si="359"/>
        <v>0</v>
      </c>
      <c r="Y387" s="11">
        <f t="shared" si="359"/>
        <v>0</v>
      </c>
      <c r="Z387" s="11">
        <f t="shared" si="359"/>
        <v>0</v>
      </c>
      <c r="AA387" s="11">
        <f t="shared" si="359"/>
        <v>0</v>
      </c>
      <c r="AB387" s="11">
        <f t="shared" si="359"/>
        <v>0</v>
      </c>
      <c r="AC387" s="11">
        <f t="shared" si="359"/>
        <v>0</v>
      </c>
      <c r="AD387" s="11">
        <f t="shared" si="359"/>
        <v>0</v>
      </c>
      <c r="AE387" s="50">
        <f t="shared" si="359"/>
        <v>0</v>
      </c>
      <c r="AF387" s="11">
        <f t="shared" si="359"/>
        <v>0</v>
      </c>
      <c r="AG387" s="11">
        <f t="shared" si="359"/>
        <v>0</v>
      </c>
      <c r="AH387" s="11">
        <f t="shared" si="359"/>
        <v>0</v>
      </c>
      <c r="AI387" s="11">
        <f t="shared" si="359"/>
        <v>0</v>
      </c>
      <c r="AJ387" s="11">
        <f t="shared" si="359"/>
        <v>0</v>
      </c>
      <c r="AK387" s="11">
        <f t="shared" si="359"/>
        <v>0</v>
      </c>
      <c r="AL387" s="11">
        <f t="shared" si="359"/>
        <v>0</v>
      </c>
      <c r="AM387" s="11">
        <f t="shared" si="359"/>
        <v>834900.00000000012</v>
      </c>
      <c r="AN387" s="11">
        <f t="shared" si="359"/>
        <v>834900.00000000012</v>
      </c>
      <c r="AO387" s="11">
        <f t="shared" si="359"/>
        <v>834900.00000000012</v>
      </c>
      <c r="AP387" s="11">
        <f t="shared" si="359"/>
        <v>834900.00000000012</v>
      </c>
      <c r="AQ387" s="50">
        <f t="shared" si="359"/>
        <v>834900.00000000012</v>
      </c>
      <c r="AR387" s="11">
        <f t="shared" si="359"/>
        <v>834900.00000000012</v>
      </c>
      <c r="AS387" s="11">
        <f t="shared" si="359"/>
        <v>834900.00000000012</v>
      </c>
      <c r="AT387" s="11">
        <f t="shared" si="359"/>
        <v>834900.00000000012</v>
      </c>
      <c r="AU387" s="11">
        <f t="shared" si="359"/>
        <v>834900.00000000012</v>
      </c>
      <c r="AV387" s="11">
        <f t="shared" si="359"/>
        <v>834900.00000000012</v>
      </c>
      <c r="AW387" s="11">
        <f t="shared" si="359"/>
        <v>834900.00000000012</v>
      </c>
      <c r="AX387" s="11">
        <f t="shared" si="359"/>
        <v>834900.00000000012</v>
      </c>
      <c r="AY387" s="11">
        <f t="shared" si="359"/>
        <v>834900.00000000012</v>
      </c>
      <c r="AZ387" s="11">
        <f t="shared" si="359"/>
        <v>834900.00000000012</v>
      </c>
      <c r="BA387" s="11">
        <f t="shared" si="359"/>
        <v>834900.00000000012</v>
      </c>
      <c r="BB387" s="11">
        <f t="shared" si="359"/>
        <v>834900.00000000012</v>
      </c>
      <c r="BC387" s="29"/>
      <c r="BD387" s="29"/>
      <c r="BE387" s="46"/>
      <c r="BF387" s="46"/>
      <c r="BG387" s="46"/>
      <c r="BH387" s="29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</row>
    <row r="388" spans="1:79" ht="14.25" hidden="1" customHeight="1" outlineLevel="1" x14ac:dyDescent="0.25">
      <c r="A388" s="80">
        <v>8</v>
      </c>
      <c r="B388" s="212" t="s">
        <v>360</v>
      </c>
      <c r="C388" s="211">
        <f t="shared" si="351"/>
        <v>3600</v>
      </c>
      <c r="D388" s="22"/>
      <c r="E388" s="116"/>
      <c r="F388" s="216">
        <f t="shared" si="352"/>
        <v>2851200</v>
      </c>
      <c r="G388" s="82"/>
      <c r="H388" s="82"/>
      <c r="I388" s="82"/>
      <c r="J388" s="82"/>
      <c r="K388" s="82"/>
      <c r="L388" s="22"/>
      <c r="M388" s="22"/>
      <c r="N388" s="22"/>
      <c r="O388" s="22"/>
      <c r="P388" s="22"/>
      <c r="Q388" s="22"/>
      <c r="R388" s="22"/>
      <c r="S388" s="217"/>
      <c r="T388" s="218"/>
      <c r="U388" s="218"/>
      <c r="V388" s="218"/>
      <c r="W388" s="11">
        <f t="shared" ref="W388:BB388" si="360">IF(W375&gt;1,$F388,0)</f>
        <v>0</v>
      </c>
      <c r="X388" s="11">
        <f t="shared" si="360"/>
        <v>0</v>
      </c>
      <c r="Y388" s="11">
        <f t="shared" si="360"/>
        <v>0</v>
      </c>
      <c r="Z388" s="11">
        <f t="shared" si="360"/>
        <v>0</v>
      </c>
      <c r="AA388" s="11">
        <f t="shared" si="360"/>
        <v>0</v>
      </c>
      <c r="AB388" s="11">
        <f t="shared" si="360"/>
        <v>0</v>
      </c>
      <c r="AC388" s="11">
        <f t="shared" si="360"/>
        <v>0</v>
      </c>
      <c r="AD388" s="11">
        <f t="shared" si="360"/>
        <v>0</v>
      </c>
      <c r="AE388" s="50">
        <f t="shared" si="360"/>
        <v>0</v>
      </c>
      <c r="AF388" s="11">
        <f t="shared" si="360"/>
        <v>0</v>
      </c>
      <c r="AG388" s="11">
        <f t="shared" si="360"/>
        <v>0</v>
      </c>
      <c r="AH388" s="11">
        <f t="shared" si="360"/>
        <v>0</v>
      </c>
      <c r="AI388" s="11">
        <f t="shared" si="360"/>
        <v>0</v>
      </c>
      <c r="AJ388" s="11">
        <f t="shared" si="360"/>
        <v>0</v>
      </c>
      <c r="AK388" s="11">
        <f t="shared" si="360"/>
        <v>0</v>
      </c>
      <c r="AL388" s="11">
        <f t="shared" si="360"/>
        <v>0</v>
      </c>
      <c r="AM388" s="11">
        <f t="shared" si="360"/>
        <v>0</v>
      </c>
      <c r="AN388" s="11">
        <f t="shared" si="360"/>
        <v>0</v>
      </c>
      <c r="AO388" s="11">
        <f t="shared" si="360"/>
        <v>0</v>
      </c>
      <c r="AP388" s="11">
        <f t="shared" si="360"/>
        <v>2851200</v>
      </c>
      <c r="AQ388" s="50">
        <f t="shared" si="360"/>
        <v>2851200</v>
      </c>
      <c r="AR388" s="11">
        <f t="shared" si="360"/>
        <v>2851200</v>
      </c>
      <c r="AS388" s="11">
        <f t="shared" si="360"/>
        <v>2851200</v>
      </c>
      <c r="AT388" s="11">
        <f t="shared" si="360"/>
        <v>2851200</v>
      </c>
      <c r="AU388" s="11">
        <f t="shared" si="360"/>
        <v>2851200</v>
      </c>
      <c r="AV388" s="11">
        <f t="shared" si="360"/>
        <v>2851200</v>
      </c>
      <c r="AW388" s="11">
        <f t="shared" si="360"/>
        <v>2851200</v>
      </c>
      <c r="AX388" s="11">
        <f t="shared" si="360"/>
        <v>2851200</v>
      </c>
      <c r="AY388" s="11">
        <f t="shared" si="360"/>
        <v>2851200</v>
      </c>
      <c r="AZ388" s="11">
        <f t="shared" si="360"/>
        <v>2851200</v>
      </c>
      <c r="BA388" s="11">
        <f t="shared" si="360"/>
        <v>2851200</v>
      </c>
      <c r="BB388" s="11">
        <f t="shared" si="360"/>
        <v>2851200</v>
      </c>
      <c r="BC388" s="31"/>
      <c r="BD388" s="31"/>
      <c r="BE388" s="22"/>
      <c r="BF388" s="22"/>
      <c r="BG388" s="22"/>
      <c r="BH388" s="31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</row>
    <row r="389" spans="1:79" ht="14.25" hidden="1" customHeight="1" outlineLevel="1" x14ac:dyDescent="0.25">
      <c r="A389" s="80">
        <v>9</v>
      </c>
      <c r="B389" s="212" t="s">
        <v>359</v>
      </c>
      <c r="C389" s="211">
        <f t="shared" si="351"/>
        <v>1200.0000000000002</v>
      </c>
      <c r="D389" s="22"/>
      <c r="E389" s="116"/>
      <c r="F389" s="216">
        <f t="shared" si="352"/>
        <v>834900.00000000012</v>
      </c>
      <c r="G389" s="82"/>
      <c r="H389" s="82"/>
      <c r="I389" s="82"/>
      <c r="J389" s="82"/>
      <c r="K389" s="82"/>
      <c r="L389" s="22"/>
      <c r="M389" s="22"/>
      <c r="N389" s="22"/>
      <c r="O389" s="22"/>
      <c r="P389" s="22"/>
      <c r="Q389" s="22"/>
      <c r="R389" s="22"/>
      <c r="S389" s="217"/>
      <c r="T389" s="218"/>
      <c r="U389" s="218"/>
      <c r="V389" s="218"/>
      <c r="W389" s="11">
        <f t="shared" ref="W389:BB389" si="361">IF(W376&gt;1,$F389,0)</f>
        <v>0</v>
      </c>
      <c r="X389" s="11">
        <f t="shared" si="361"/>
        <v>0</v>
      </c>
      <c r="Y389" s="11">
        <f t="shared" si="361"/>
        <v>0</v>
      </c>
      <c r="Z389" s="11">
        <f t="shared" si="361"/>
        <v>0</v>
      </c>
      <c r="AA389" s="11">
        <f t="shared" si="361"/>
        <v>0</v>
      </c>
      <c r="AB389" s="11">
        <f t="shared" si="361"/>
        <v>0</v>
      </c>
      <c r="AC389" s="11">
        <f t="shared" si="361"/>
        <v>0</v>
      </c>
      <c r="AD389" s="11">
        <f t="shared" si="361"/>
        <v>0</v>
      </c>
      <c r="AE389" s="50">
        <f t="shared" si="361"/>
        <v>0</v>
      </c>
      <c r="AF389" s="11">
        <f t="shared" si="361"/>
        <v>0</v>
      </c>
      <c r="AG389" s="11">
        <f t="shared" si="361"/>
        <v>0</v>
      </c>
      <c r="AH389" s="11">
        <f t="shared" si="361"/>
        <v>0</v>
      </c>
      <c r="AI389" s="11">
        <f t="shared" si="361"/>
        <v>0</v>
      </c>
      <c r="AJ389" s="11">
        <f t="shared" si="361"/>
        <v>0</v>
      </c>
      <c r="AK389" s="11">
        <f t="shared" si="361"/>
        <v>0</v>
      </c>
      <c r="AL389" s="11">
        <f t="shared" si="361"/>
        <v>0</v>
      </c>
      <c r="AM389" s="11">
        <f t="shared" si="361"/>
        <v>0</v>
      </c>
      <c r="AN389" s="11">
        <f t="shared" si="361"/>
        <v>0</v>
      </c>
      <c r="AO389" s="11">
        <f t="shared" si="361"/>
        <v>0</v>
      </c>
      <c r="AP389" s="11">
        <f t="shared" si="361"/>
        <v>0</v>
      </c>
      <c r="AQ389" s="50">
        <f t="shared" si="361"/>
        <v>0</v>
      </c>
      <c r="AR389" s="11">
        <f t="shared" si="361"/>
        <v>0</v>
      </c>
      <c r="AS389" s="11">
        <f t="shared" si="361"/>
        <v>0</v>
      </c>
      <c r="AT389" s="11">
        <f t="shared" si="361"/>
        <v>0</v>
      </c>
      <c r="AU389" s="11">
        <f t="shared" si="361"/>
        <v>0</v>
      </c>
      <c r="AV389" s="11">
        <f t="shared" si="361"/>
        <v>0</v>
      </c>
      <c r="AW389" s="11">
        <f t="shared" si="361"/>
        <v>0</v>
      </c>
      <c r="AX389" s="11">
        <f t="shared" si="361"/>
        <v>0</v>
      </c>
      <c r="AY389" s="11">
        <f t="shared" si="361"/>
        <v>0</v>
      </c>
      <c r="AZ389" s="11">
        <f t="shared" si="361"/>
        <v>0</v>
      </c>
      <c r="BA389" s="11">
        <f t="shared" si="361"/>
        <v>0</v>
      </c>
      <c r="BB389" s="11">
        <f t="shared" si="361"/>
        <v>0</v>
      </c>
      <c r="BC389" s="31"/>
      <c r="BD389" s="31"/>
      <c r="BE389" s="22"/>
      <c r="BF389" s="22"/>
      <c r="BG389" s="22"/>
      <c r="BH389" s="31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</row>
    <row r="390" spans="1:79" ht="14.25" hidden="1" customHeight="1" outlineLevel="1" x14ac:dyDescent="0.25">
      <c r="A390" s="80">
        <v>10</v>
      </c>
      <c r="B390" s="212" t="s">
        <v>360</v>
      </c>
      <c r="C390" s="211">
        <f t="shared" si="351"/>
        <v>3600</v>
      </c>
      <c r="D390" s="22"/>
      <c r="E390" s="116"/>
      <c r="F390" s="216">
        <f t="shared" si="352"/>
        <v>2851200</v>
      </c>
      <c r="G390" s="82"/>
      <c r="H390" s="82"/>
      <c r="I390" s="82"/>
      <c r="J390" s="82"/>
      <c r="K390" s="82"/>
      <c r="L390" s="22"/>
      <c r="M390" s="22"/>
      <c r="N390" s="22"/>
      <c r="O390" s="22"/>
      <c r="P390" s="22"/>
      <c r="Q390" s="22"/>
      <c r="R390" s="22"/>
      <c r="S390" s="217"/>
      <c r="T390" s="218"/>
      <c r="U390" s="218"/>
      <c r="V390" s="218"/>
      <c r="W390" s="11">
        <f t="shared" ref="W390:BB390" si="362">IF(W377&gt;1,$F390,0)</f>
        <v>0</v>
      </c>
      <c r="X390" s="11">
        <f t="shared" si="362"/>
        <v>0</v>
      </c>
      <c r="Y390" s="11">
        <f t="shared" si="362"/>
        <v>0</v>
      </c>
      <c r="Z390" s="11">
        <f t="shared" si="362"/>
        <v>0</v>
      </c>
      <c r="AA390" s="11">
        <f t="shared" si="362"/>
        <v>0</v>
      </c>
      <c r="AB390" s="11">
        <f t="shared" si="362"/>
        <v>0</v>
      </c>
      <c r="AC390" s="11">
        <f t="shared" si="362"/>
        <v>0</v>
      </c>
      <c r="AD390" s="11">
        <f t="shared" si="362"/>
        <v>0</v>
      </c>
      <c r="AE390" s="50">
        <f t="shared" si="362"/>
        <v>0</v>
      </c>
      <c r="AF390" s="11">
        <f t="shared" si="362"/>
        <v>0</v>
      </c>
      <c r="AG390" s="11">
        <f t="shared" si="362"/>
        <v>0</v>
      </c>
      <c r="AH390" s="11">
        <f t="shared" si="362"/>
        <v>0</v>
      </c>
      <c r="AI390" s="11">
        <f t="shared" si="362"/>
        <v>0</v>
      </c>
      <c r="AJ390" s="11">
        <f t="shared" si="362"/>
        <v>0</v>
      </c>
      <c r="AK390" s="11">
        <f t="shared" si="362"/>
        <v>0</v>
      </c>
      <c r="AL390" s="11">
        <f t="shared" si="362"/>
        <v>0</v>
      </c>
      <c r="AM390" s="11">
        <f t="shared" si="362"/>
        <v>0</v>
      </c>
      <c r="AN390" s="11">
        <f t="shared" si="362"/>
        <v>0</v>
      </c>
      <c r="AO390" s="11">
        <f t="shared" si="362"/>
        <v>0</v>
      </c>
      <c r="AP390" s="11">
        <f t="shared" si="362"/>
        <v>0</v>
      </c>
      <c r="AQ390" s="50">
        <f t="shared" si="362"/>
        <v>0</v>
      </c>
      <c r="AR390" s="11">
        <f t="shared" si="362"/>
        <v>0</v>
      </c>
      <c r="AS390" s="11">
        <f t="shared" si="362"/>
        <v>0</v>
      </c>
      <c r="AT390" s="11">
        <f t="shared" si="362"/>
        <v>0</v>
      </c>
      <c r="AU390" s="11">
        <f t="shared" si="362"/>
        <v>0</v>
      </c>
      <c r="AV390" s="11">
        <f t="shared" si="362"/>
        <v>0</v>
      </c>
      <c r="AW390" s="11">
        <f t="shared" si="362"/>
        <v>0</v>
      </c>
      <c r="AX390" s="11">
        <f t="shared" si="362"/>
        <v>0</v>
      </c>
      <c r="AY390" s="11">
        <f t="shared" si="362"/>
        <v>0</v>
      </c>
      <c r="AZ390" s="11">
        <f t="shared" si="362"/>
        <v>0</v>
      </c>
      <c r="BA390" s="11">
        <f t="shared" si="362"/>
        <v>0</v>
      </c>
      <c r="BB390" s="11">
        <f t="shared" si="362"/>
        <v>0</v>
      </c>
      <c r="BC390" s="31"/>
      <c r="BD390" s="31"/>
      <c r="BE390" s="22"/>
      <c r="BF390" s="22"/>
      <c r="BG390" s="22"/>
      <c r="BH390" s="31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</row>
    <row r="391" spans="1:79" ht="14.25" hidden="1" customHeight="1" outlineLevel="1" x14ac:dyDescent="0.25">
      <c r="A391" s="80"/>
      <c r="B391" s="22"/>
      <c r="C391" s="116"/>
      <c r="D391" s="80"/>
      <c r="E391" s="116"/>
      <c r="F391" s="80"/>
      <c r="G391" s="82"/>
      <c r="H391" s="82"/>
      <c r="I391" s="82"/>
      <c r="J391" s="82"/>
      <c r="K391" s="82"/>
      <c r="L391" s="22"/>
      <c r="M391" s="22"/>
      <c r="N391" s="22"/>
      <c r="O391" s="22"/>
      <c r="P391" s="22"/>
      <c r="Q391" s="22"/>
      <c r="R391" s="22"/>
      <c r="S391" s="217"/>
      <c r="T391" s="218"/>
      <c r="U391" s="218"/>
      <c r="V391" s="218"/>
      <c r="W391" s="218"/>
      <c r="X391" s="218"/>
      <c r="Y391" s="11"/>
      <c r="Z391" s="11"/>
      <c r="AA391" s="11"/>
      <c r="AB391" s="11"/>
      <c r="AC391" s="11"/>
      <c r="AD391" s="11"/>
      <c r="AE391" s="50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31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31"/>
      <c r="BD391" s="31"/>
      <c r="BE391" s="22"/>
      <c r="BF391" s="22"/>
      <c r="BG391" s="22"/>
      <c r="BH391" s="31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</row>
    <row r="392" spans="1:79" ht="14.25" hidden="1" customHeight="1" outlineLevel="1" x14ac:dyDescent="0.25">
      <c r="A392" s="80"/>
      <c r="B392" s="22"/>
      <c r="C392" s="22"/>
      <c r="D392" s="22"/>
      <c r="E392" s="22"/>
      <c r="F392" s="215" t="s">
        <v>361</v>
      </c>
      <c r="G392" s="138"/>
      <c r="H392" s="138"/>
      <c r="I392" s="138"/>
      <c r="J392" s="138"/>
      <c r="K392" s="138"/>
      <c r="L392" s="30"/>
      <c r="M392" s="30"/>
      <c r="N392" s="30"/>
      <c r="O392" s="30"/>
      <c r="P392" s="30"/>
      <c r="Q392" s="30"/>
      <c r="R392" s="30"/>
      <c r="S392" s="6"/>
      <c r="T392" s="126">
        <f t="shared" ref="T392:Z392" si="363">SUM(T393:T400)</f>
        <v>0</v>
      </c>
      <c r="U392" s="126">
        <f t="shared" si="363"/>
        <v>0</v>
      </c>
      <c r="V392" s="126">
        <f t="shared" si="363"/>
        <v>0</v>
      </c>
      <c r="W392" s="126">
        <f t="shared" si="363"/>
        <v>0</v>
      </c>
      <c r="X392" s="126">
        <f t="shared" si="363"/>
        <v>0</v>
      </c>
      <c r="Y392" s="126">
        <f t="shared" si="363"/>
        <v>726000.00000000012</v>
      </c>
      <c r="Z392" s="126">
        <f t="shared" si="363"/>
        <v>726000.00000000012</v>
      </c>
      <c r="AA392" s="126">
        <f t="shared" ref="AA392:BB392" si="364">SUM(AA393:AA403)</f>
        <v>726000.00000000012</v>
      </c>
      <c r="AB392" s="126">
        <f t="shared" si="364"/>
        <v>1452000.0000000002</v>
      </c>
      <c r="AC392" s="126">
        <f t="shared" si="364"/>
        <v>1452000.0000000002</v>
      </c>
      <c r="AD392" s="126">
        <f t="shared" si="364"/>
        <v>1452000.0000000002</v>
      </c>
      <c r="AE392" s="127">
        <f t="shared" si="364"/>
        <v>2178000.0000000005</v>
      </c>
      <c r="AF392" s="126">
        <f t="shared" si="364"/>
        <v>2178000.0000000005</v>
      </c>
      <c r="AG392" s="126">
        <f t="shared" si="364"/>
        <v>2904000.0000000005</v>
      </c>
      <c r="AH392" s="126">
        <f t="shared" si="364"/>
        <v>2904000.0000000005</v>
      </c>
      <c r="AI392" s="126">
        <f t="shared" si="364"/>
        <v>3630000.0000000005</v>
      </c>
      <c r="AJ392" s="126">
        <f t="shared" si="364"/>
        <v>3630000.0000000005</v>
      </c>
      <c r="AK392" s="126">
        <f t="shared" si="364"/>
        <v>3630000.0000000005</v>
      </c>
      <c r="AL392" s="126">
        <f t="shared" si="364"/>
        <v>6006000</v>
      </c>
      <c r="AM392" s="126">
        <f t="shared" si="364"/>
        <v>6732000</v>
      </c>
      <c r="AN392" s="126">
        <f t="shared" si="364"/>
        <v>6732000</v>
      </c>
      <c r="AO392" s="126">
        <f t="shared" si="364"/>
        <v>6732000</v>
      </c>
      <c r="AP392" s="126">
        <f t="shared" si="364"/>
        <v>9108000</v>
      </c>
      <c r="AQ392" s="127">
        <f t="shared" si="364"/>
        <v>9108000</v>
      </c>
      <c r="AR392" s="126">
        <f t="shared" si="364"/>
        <v>9108000</v>
      </c>
      <c r="AS392" s="126">
        <f t="shared" si="364"/>
        <v>9108000</v>
      </c>
      <c r="AT392" s="126">
        <f t="shared" si="364"/>
        <v>9108000</v>
      </c>
      <c r="AU392" s="126">
        <f t="shared" si="364"/>
        <v>9108000</v>
      </c>
      <c r="AV392" s="126">
        <f t="shared" si="364"/>
        <v>9108000</v>
      </c>
      <c r="AW392" s="126">
        <f t="shared" si="364"/>
        <v>9108000</v>
      </c>
      <c r="AX392" s="126">
        <f t="shared" si="364"/>
        <v>9108000</v>
      </c>
      <c r="AY392" s="126">
        <f t="shared" si="364"/>
        <v>9108000</v>
      </c>
      <c r="AZ392" s="126">
        <f t="shared" si="364"/>
        <v>9108000</v>
      </c>
      <c r="BA392" s="126">
        <f t="shared" si="364"/>
        <v>9108000</v>
      </c>
      <c r="BB392" s="126">
        <f t="shared" si="364"/>
        <v>9108000</v>
      </c>
      <c r="BC392" s="31"/>
      <c r="BD392" s="31"/>
      <c r="BE392" s="22"/>
      <c r="BF392" s="22"/>
      <c r="BG392" s="22"/>
      <c r="BH392" s="31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</row>
    <row r="393" spans="1:79" ht="14.25" hidden="1" customHeight="1" outlineLevel="1" x14ac:dyDescent="0.25">
      <c r="A393" s="80">
        <v>1</v>
      </c>
      <c r="B393" s="80" t="str">
        <f t="shared" ref="B393:B402" si="365">B381</f>
        <v>Sub</v>
      </c>
      <c r="C393" s="22"/>
      <c r="D393" s="22"/>
      <c r="E393" s="22"/>
      <c r="F393" s="216">
        <f t="shared" ref="F393:F402" si="366">IF(B393="Sub",$D$362,$C$362)</f>
        <v>726000.00000000012</v>
      </c>
      <c r="G393" s="82"/>
      <c r="H393" s="82"/>
      <c r="I393" s="82"/>
      <c r="J393" s="82"/>
      <c r="K393" s="82"/>
      <c r="L393" s="22"/>
      <c r="M393" s="22"/>
      <c r="N393" s="22"/>
      <c r="O393" s="22"/>
      <c r="P393" s="22"/>
      <c r="Q393" s="22"/>
      <c r="R393" s="22"/>
      <c r="S393" s="31"/>
      <c r="T393" s="22"/>
      <c r="U393" s="22"/>
      <c r="V393" s="22"/>
      <c r="W393" s="22"/>
      <c r="X393" s="22"/>
      <c r="Y393" s="11">
        <f t="shared" ref="Y393:BB393" si="367">IF(Y381&gt;1,$F393,0)</f>
        <v>726000.00000000012</v>
      </c>
      <c r="Z393" s="11">
        <f t="shared" si="367"/>
        <v>726000.00000000012</v>
      </c>
      <c r="AA393" s="11">
        <f t="shared" si="367"/>
        <v>726000.00000000012</v>
      </c>
      <c r="AB393" s="11">
        <f t="shared" si="367"/>
        <v>726000.00000000012</v>
      </c>
      <c r="AC393" s="11">
        <f t="shared" si="367"/>
        <v>726000.00000000012</v>
      </c>
      <c r="AD393" s="11">
        <f t="shared" si="367"/>
        <v>726000.00000000012</v>
      </c>
      <c r="AE393" s="50">
        <f t="shared" si="367"/>
        <v>726000.00000000012</v>
      </c>
      <c r="AF393" s="11">
        <f t="shared" si="367"/>
        <v>726000.00000000012</v>
      </c>
      <c r="AG393" s="11">
        <f t="shared" si="367"/>
        <v>726000.00000000012</v>
      </c>
      <c r="AH393" s="11">
        <f t="shared" si="367"/>
        <v>726000.00000000012</v>
      </c>
      <c r="AI393" s="11">
        <f t="shared" si="367"/>
        <v>726000.00000000012</v>
      </c>
      <c r="AJ393" s="11">
        <f t="shared" si="367"/>
        <v>726000.00000000012</v>
      </c>
      <c r="AK393" s="11">
        <f t="shared" si="367"/>
        <v>726000.00000000012</v>
      </c>
      <c r="AL393" s="11">
        <f t="shared" si="367"/>
        <v>726000.00000000012</v>
      </c>
      <c r="AM393" s="11">
        <f t="shared" si="367"/>
        <v>726000.00000000012</v>
      </c>
      <c r="AN393" s="11">
        <f t="shared" si="367"/>
        <v>726000.00000000012</v>
      </c>
      <c r="AO393" s="11">
        <f t="shared" si="367"/>
        <v>726000.00000000012</v>
      </c>
      <c r="AP393" s="11">
        <f t="shared" si="367"/>
        <v>726000.00000000012</v>
      </c>
      <c r="AQ393" s="50">
        <f t="shared" si="367"/>
        <v>726000.00000000012</v>
      </c>
      <c r="AR393" s="11">
        <f t="shared" si="367"/>
        <v>726000.00000000012</v>
      </c>
      <c r="AS393" s="11">
        <f t="shared" si="367"/>
        <v>726000.00000000012</v>
      </c>
      <c r="AT393" s="11">
        <f t="shared" si="367"/>
        <v>726000.00000000012</v>
      </c>
      <c r="AU393" s="11">
        <f t="shared" si="367"/>
        <v>726000.00000000012</v>
      </c>
      <c r="AV393" s="11">
        <f t="shared" si="367"/>
        <v>726000.00000000012</v>
      </c>
      <c r="AW393" s="11">
        <f t="shared" si="367"/>
        <v>726000.00000000012</v>
      </c>
      <c r="AX393" s="11">
        <f t="shared" si="367"/>
        <v>726000.00000000012</v>
      </c>
      <c r="AY393" s="11">
        <f t="shared" si="367"/>
        <v>726000.00000000012</v>
      </c>
      <c r="AZ393" s="11">
        <f t="shared" si="367"/>
        <v>726000.00000000012</v>
      </c>
      <c r="BA393" s="11">
        <f t="shared" si="367"/>
        <v>726000.00000000012</v>
      </c>
      <c r="BB393" s="11">
        <f t="shared" si="367"/>
        <v>726000.00000000012</v>
      </c>
      <c r="BC393" s="31"/>
      <c r="BD393" s="31"/>
      <c r="BE393" s="22"/>
      <c r="BF393" s="22"/>
      <c r="BG393" s="22"/>
      <c r="BH393" s="31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</row>
    <row r="394" spans="1:79" ht="14.25" hidden="1" customHeight="1" outlineLevel="1" x14ac:dyDescent="0.25">
      <c r="A394" s="80">
        <v>2</v>
      </c>
      <c r="B394" s="80" t="str">
        <f t="shared" si="365"/>
        <v>Sub</v>
      </c>
      <c r="C394" s="22"/>
      <c r="D394" s="22"/>
      <c r="E394" s="22"/>
      <c r="F394" s="216">
        <f t="shared" si="366"/>
        <v>726000.00000000012</v>
      </c>
      <c r="G394" s="82"/>
      <c r="H394" s="82"/>
      <c r="I394" s="82"/>
      <c r="J394" s="82"/>
      <c r="K394" s="82"/>
      <c r="L394" s="22"/>
      <c r="M394" s="22"/>
      <c r="N394" s="22"/>
      <c r="O394" s="22"/>
      <c r="P394" s="22"/>
      <c r="Q394" s="22"/>
      <c r="R394" s="22"/>
      <c r="S394" s="217"/>
      <c r="T394" s="218"/>
      <c r="U394" s="218"/>
      <c r="V394" s="218"/>
      <c r="W394" s="218"/>
      <c r="X394" s="218"/>
      <c r="Y394" s="11">
        <f t="shared" ref="Y394:BB394" si="368">IF(Y382&gt;1,$F394,0)</f>
        <v>0</v>
      </c>
      <c r="Z394" s="11">
        <f t="shared" si="368"/>
        <v>0</v>
      </c>
      <c r="AA394" s="11">
        <f t="shared" si="368"/>
        <v>0</v>
      </c>
      <c r="AB394" s="11">
        <f t="shared" si="368"/>
        <v>726000.00000000012</v>
      </c>
      <c r="AC394" s="11">
        <f t="shared" si="368"/>
        <v>726000.00000000012</v>
      </c>
      <c r="AD394" s="11">
        <f t="shared" si="368"/>
        <v>726000.00000000012</v>
      </c>
      <c r="AE394" s="50">
        <f t="shared" si="368"/>
        <v>726000.00000000012</v>
      </c>
      <c r="AF394" s="11">
        <f t="shared" si="368"/>
        <v>726000.00000000012</v>
      </c>
      <c r="AG394" s="11">
        <f t="shared" si="368"/>
        <v>726000.00000000012</v>
      </c>
      <c r="AH394" s="11">
        <f t="shared" si="368"/>
        <v>726000.00000000012</v>
      </c>
      <c r="AI394" s="11">
        <f t="shared" si="368"/>
        <v>726000.00000000012</v>
      </c>
      <c r="AJ394" s="11">
        <f t="shared" si="368"/>
        <v>726000.00000000012</v>
      </c>
      <c r="AK394" s="11">
        <f t="shared" si="368"/>
        <v>726000.00000000012</v>
      </c>
      <c r="AL394" s="11">
        <f t="shared" si="368"/>
        <v>726000.00000000012</v>
      </c>
      <c r="AM394" s="11">
        <f t="shared" si="368"/>
        <v>726000.00000000012</v>
      </c>
      <c r="AN394" s="11">
        <f t="shared" si="368"/>
        <v>726000.00000000012</v>
      </c>
      <c r="AO394" s="11">
        <f t="shared" si="368"/>
        <v>726000.00000000012</v>
      </c>
      <c r="AP394" s="11">
        <f t="shared" si="368"/>
        <v>726000.00000000012</v>
      </c>
      <c r="AQ394" s="50">
        <f t="shared" si="368"/>
        <v>726000.00000000012</v>
      </c>
      <c r="AR394" s="11">
        <f t="shared" si="368"/>
        <v>726000.00000000012</v>
      </c>
      <c r="AS394" s="11">
        <f t="shared" si="368"/>
        <v>726000.00000000012</v>
      </c>
      <c r="AT394" s="11">
        <f t="shared" si="368"/>
        <v>726000.00000000012</v>
      </c>
      <c r="AU394" s="11">
        <f t="shared" si="368"/>
        <v>726000.00000000012</v>
      </c>
      <c r="AV394" s="11">
        <f t="shared" si="368"/>
        <v>726000.00000000012</v>
      </c>
      <c r="AW394" s="11">
        <f t="shared" si="368"/>
        <v>726000.00000000012</v>
      </c>
      <c r="AX394" s="11">
        <f t="shared" si="368"/>
        <v>726000.00000000012</v>
      </c>
      <c r="AY394" s="11">
        <f t="shared" si="368"/>
        <v>726000.00000000012</v>
      </c>
      <c r="AZ394" s="11">
        <f t="shared" si="368"/>
        <v>726000.00000000012</v>
      </c>
      <c r="BA394" s="11">
        <f t="shared" si="368"/>
        <v>726000.00000000012</v>
      </c>
      <c r="BB394" s="11">
        <f t="shared" si="368"/>
        <v>726000.00000000012</v>
      </c>
      <c r="BC394" s="31"/>
      <c r="BD394" s="31"/>
      <c r="BE394" s="22"/>
      <c r="BF394" s="22"/>
      <c r="BG394" s="22"/>
      <c r="BH394" s="31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</row>
    <row r="395" spans="1:79" ht="16.5" hidden="1" customHeight="1" outlineLevel="1" x14ac:dyDescent="0.25">
      <c r="A395" s="80">
        <v>3</v>
      </c>
      <c r="B395" s="80" t="str">
        <f t="shared" si="365"/>
        <v>Sub</v>
      </c>
      <c r="C395" s="22"/>
      <c r="D395" s="22"/>
      <c r="E395" s="22"/>
      <c r="F395" s="216">
        <f t="shared" si="366"/>
        <v>726000.00000000012</v>
      </c>
      <c r="G395" s="82"/>
      <c r="H395" s="82"/>
      <c r="I395" s="82"/>
      <c r="J395" s="82"/>
      <c r="K395" s="82"/>
      <c r="L395" s="22"/>
      <c r="M395" s="22"/>
      <c r="N395" s="22"/>
      <c r="O395" s="22"/>
      <c r="P395" s="22"/>
      <c r="Q395" s="22"/>
      <c r="R395" s="22"/>
      <c r="S395" s="31"/>
      <c r="T395" s="22"/>
      <c r="U395" s="22"/>
      <c r="V395" s="22"/>
      <c r="W395" s="22"/>
      <c r="X395" s="22"/>
      <c r="Y395" s="11">
        <f t="shared" ref="Y395:BB395" si="369">IF(Y383&gt;1,$F395,0)</f>
        <v>0</v>
      </c>
      <c r="Z395" s="11">
        <f t="shared" si="369"/>
        <v>0</v>
      </c>
      <c r="AA395" s="11">
        <f t="shared" si="369"/>
        <v>0</v>
      </c>
      <c r="AB395" s="11">
        <f t="shared" si="369"/>
        <v>0</v>
      </c>
      <c r="AC395" s="11">
        <f t="shared" si="369"/>
        <v>0</v>
      </c>
      <c r="AD395" s="11">
        <f t="shared" si="369"/>
        <v>0</v>
      </c>
      <c r="AE395" s="50">
        <f t="shared" si="369"/>
        <v>726000.00000000012</v>
      </c>
      <c r="AF395" s="11">
        <f t="shared" si="369"/>
        <v>726000.00000000012</v>
      </c>
      <c r="AG395" s="11">
        <f t="shared" si="369"/>
        <v>726000.00000000012</v>
      </c>
      <c r="AH395" s="11">
        <f t="shared" si="369"/>
        <v>726000.00000000012</v>
      </c>
      <c r="AI395" s="11">
        <f t="shared" si="369"/>
        <v>726000.00000000012</v>
      </c>
      <c r="AJ395" s="11">
        <f t="shared" si="369"/>
        <v>726000.00000000012</v>
      </c>
      <c r="AK395" s="11">
        <f t="shared" si="369"/>
        <v>726000.00000000012</v>
      </c>
      <c r="AL395" s="11">
        <f t="shared" si="369"/>
        <v>726000.00000000012</v>
      </c>
      <c r="AM395" s="11">
        <f t="shared" si="369"/>
        <v>726000.00000000012</v>
      </c>
      <c r="AN395" s="11">
        <f t="shared" si="369"/>
        <v>726000.00000000012</v>
      </c>
      <c r="AO395" s="11">
        <f t="shared" si="369"/>
        <v>726000.00000000012</v>
      </c>
      <c r="AP395" s="11">
        <f t="shared" si="369"/>
        <v>726000.00000000012</v>
      </c>
      <c r="AQ395" s="50">
        <f t="shared" si="369"/>
        <v>726000.00000000012</v>
      </c>
      <c r="AR395" s="11">
        <f t="shared" si="369"/>
        <v>726000.00000000012</v>
      </c>
      <c r="AS395" s="11">
        <f t="shared" si="369"/>
        <v>726000.00000000012</v>
      </c>
      <c r="AT395" s="11">
        <f t="shared" si="369"/>
        <v>726000.00000000012</v>
      </c>
      <c r="AU395" s="11">
        <f t="shared" si="369"/>
        <v>726000.00000000012</v>
      </c>
      <c r="AV395" s="11">
        <f t="shared" si="369"/>
        <v>726000.00000000012</v>
      </c>
      <c r="AW395" s="11">
        <f t="shared" si="369"/>
        <v>726000.00000000012</v>
      </c>
      <c r="AX395" s="11">
        <f t="shared" si="369"/>
        <v>726000.00000000012</v>
      </c>
      <c r="AY395" s="11">
        <f t="shared" si="369"/>
        <v>726000.00000000012</v>
      </c>
      <c r="AZ395" s="11">
        <f t="shared" si="369"/>
        <v>726000.00000000012</v>
      </c>
      <c r="BA395" s="11">
        <f t="shared" si="369"/>
        <v>726000.00000000012</v>
      </c>
      <c r="BB395" s="11">
        <f t="shared" si="369"/>
        <v>726000.00000000012</v>
      </c>
      <c r="BC395" s="31"/>
      <c r="BD395" s="31"/>
      <c r="BE395" s="22"/>
      <c r="BF395" s="22"/>
      <c r="BG395" s="22"/>
      <c r="BH395" s="31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</row>
    <row r="396" spans="1:79" ht="16.5" hidden="1" customHeight="1" outlineLevel="1" x14ac:dyDescent="0.25">
      <c r="A396" s="80">
        <v>4</v>
      </c>
      <c r="B396" s="80" t="str">
        <f t="shared" si="365"/>
        <v>Sub</v>
      </c>
      <c r="C396" s="22"/>
      <c r="D396" s="22"/>
      <c r="E396" s="219"/>
      <c r="F396" s="216">
        <f t="shared" si="366"/>
        <v>726000.00000000012</v>
      </c>
      <c r="G396" s="220"/>
      <c r="H396" s="220"/>
      <c r="I396" s="220"/>
      <c r="J396" s="220"/>
      <c r="K396" s="220"/>
      <c r="L396" s="219"/>
      <c r="M396" s="219"/>
      <c r="N396" s="219"/>
      <c r="O396" s="219"/>
      <c r="P396" s="219"/>
      <c r="Q396" s="219"/>
      <c r="R396" s="219"/>
      <c r="S396" s="141"/>
      <c r="T396" s="140"/>
      <c r="U396" s="140"/>
      <c r="V396" s="140"/>
      <c r="W396" s="140"/>
      <c r="X396" s="140"/>
      <c r="Y396" s="11">
        <f t="shared" ref="Y396:BB396" si="370">IF(Y384&gt;1,$F396,0)</f>
        <v>0</v>
      </c>
      <c r="Z396" s="11">
        <f t="shared" si="370"/>
        <v>0</v>
      </c>
      <c r="AA396" s="11">
        <f t="shared" si="370"/>
        <v>0</v>
      </c>
      <c r="AB396" s="11">
        <f t="shared" si="370"/>
        <v>0</v>
      </c>
      <c r="AC396" s="11">
        <f t="shared" si="370"/>
        <v>0</v>
      </c>
      <c r="AD396" s="11">
        <f t="shared" si="370"/>
        <v>0</v>
      </c>
      <c r="AE396" s="50">
        <f t="shared" si="370"/>
        <v>0</v>
      </c>
      <c r="AF396" s="11">
        <f t="shared" si="370"/>
        <v>0</v>
      </c>
      <c r="AG396" s="11">
        <f t="shared" si="370"/>
        <v>726000.00000000012</v>
      </c>
      <c r="AH396" s="11">
        <f t="shared" si="370"/>
        <v>726000.00000000012</v>
      </c>
      <c r="AI396" s="11">
        <f t="shared" si="370"/>
        <v>726000.00000000012</v>
      </c>
      <c r="AJ396" s="11">
        <f t="shared" si="370"/>
        <v>726000.00000000012</v>
      </c>
      <c r="AK396" s="11">
        <f t="shared" si="370"/>
        <v>726000.00000000012</v>
      </c>
      <c r="AL396" s="11">
        <f t="shared" si="370"/>
        <v>726000.00000000012</v>
      </c>
      <c r="AM396" s="11">
        <f t="shared" si="370"/>
        <v>726000.00000000012</v>
      </c>
      <c r="AN396" s="11">
        <f t="shared" si="370"/>
        <v>726000.00000000012</v>
      </c>
      <c r="AO396" s="11">
        <f t="shared" si="370"/>
        <v>726000.00000000012</v>
      </c>
      <c r="AP396" s="11">
        <f t="shared" si="370"/>
        <v>726000.00000000012</v>
      </c>
      <c r="AQ396" s="50">
        <f t="shared" si="370"/>
        <v>726000.00000000012</v>
      </c>
      <c r="AR396" s="11">
        <f t="shared" si="370"/>
        <v>726000.00000000012</v>
      </c>
      <c r="AS396" s="11">
        <f t="shared" si="370"/>
        <v>726000.00000000012</v>
      </c>
      <c r="AT396" s="11">
        <f t="shared" si="370"/>
        <v>726000.00000000012</v>
      </c>
      <c r="AU396" s="11">
        <f t="shared" si="370"/>
        <v>726000.00000000012</v>
      </c>
      <c r="AV396" s="11">
        <f t="shared" si="370"/>
        <v>726000.00000000012</v>
      </c>
      <c r="AW396" s="11">
        <f t="shared" si="370"/>
        <v>726000.00000000012</v>
      </c>
      <c r="AX396" s="11">
        <f t="shared" si="370"/>
        <v>726000.00000000012</v>
      </c>
      <c r="AY396" s="11">
        <f t="shared" si="370"/>
        <v>726000.00000000012</v>
      </c>
      <c r="AZ396" s="11">
        <f t="shared" si="370"/>
        <v>726000.00000000012</v>
      </c>
      <c r="BA396" s="11">
        <f t="shared" si="370"/>
        <v>726000.00000000012</v>
      </c>
      <c r="BB396" s="11">
        <f t="shared" si="370"/>
        <v>726000.00000000012</v>
      </c>
      <c r="BC396" s="221"/>
      <c r="BD396" s="221"/>
      <c r="BE396" s="219"/>
      <c r="BF396" s="219"/>
      <c r="BG396" s="219"/>
      <c r="BH396" s="221"/>
      <c r="BI396" s="219"/>
      <c r="BJ396" s="219"/>
      <c r="BK396" s="219"/>
      <c r="BL396" s="219"/>
      <c r="BM396" s="219"/>
      <c r="BN396" s="219"/>
      <c r="BO396" s="219"/>
      <c r="BP396" s="219"/>
      <c r="BQ396" s="219"/>
      <c r="BR396" s="219"/>
      <c r="BS396" s="219"/>
      <c r="BT396" s="219"/>
      <c r="BU396" s="219"/>
      <c r="BV396" s="219"/>
      <c r="BW396" s="219"/>
      <c r="BX396" s="219"/>
      <c r="BY396" s="219"/>
      <c r="BZ396" s="219"/>
      <c r="CA396" s="219"/>
    </row>
    <row r="397" spans="1:79" ht="16.5" hidden="1" customHeight="1" outlineLevel="1" x14ac:dyDescent="0.25">
      <c r="A397" s="80">
        <v>5</v>
      </c>
      <c r="B397" s="80" t="str">
        <f t="shared" si="365"/>
        <v>Sub</v>
      </c>
      <c r="C397" s="22"/>
      <c r="D397" s="22"/>
      <c r="E397" s="22"/>
      <c r="F397" s="216">
        <f t="shared" si="366"/>
        <v>726000.00000000012</v>
      </c>
      <c r="G397" s="82"/>
      <c r="H397" s="82"/>
      <c r="I397" s="82"/>
      <c r="J397" s="82"/>
      <c r="K397" s="82"/>
      <c r="L397" s="22"/>
      <c r="M397" s="22"/>
      <c r="N397" s="22"/>
      <c r="O397" s="22"/>
      <c r="P397" s="22"/>
      <c r="Q397" s="22"/>
      <c r="R397" s="22"/>
      <c r="S397" s="125"/>
      <c r="T397" s="116"/>
      <c r="U397" s="116"/>
      <c r="V397" s="116"/>
      <c r="W397" s="116"/>
      <c r="X397" s="116"/>
      <c r="Y397" s="11">
        <f t="shared" ref="Y397:BB397" si="371">IF(Y385&gt;1,$F397,0)</f>
        <v>0</v>
      </c>
      <c r="Z397" s="11">
        <f t="shared" si="371"/>
        <v>0</v>
      </c>
      <c r="AA397" s="11">
        <f t="shared" si="371"/>
        <v>0</v>
      </c>
      <c r="AB397" s="11">
        <f t="shared" si="371"/>
        <v>0</v>
      </c>
      <c r="AC397" s="11">
        <f t="shared" si="371"/>
        <v>0</v>
      </c>
      <c r="AD397" s="11">
        <f t="shared" si="371"/>
        <v>0</v>
      </c>
      <c r="AE397" s="50">
        <f t="shared" si="371"/>
        <v>0</v>
      </c>
      <c r="AF397" s="11">
        <f t="shared" si="371"/>
        <v>0</v>
      </c>
      <c r="AG397" s="11">
        <f t="shared" si="371"/>
        <v>0</v>
      </c>
      <c r="AH397" s="11">
        <f t="shared" si="371"/>
        <v>0</v>
      </c>
      <c r="AI397" s="11">
        <f t="shared" si="371"/>
        <v>726000.00000000012</v>
      </c>
      <c r="AJ397" s="11">
        <f t="shared" si="371"/>
        <v>726000.00000000012</v>
      </c>
      <c r="AK397" s="11">
        <f t="shared" si="371"/>
        <v>726000.00000000012</v>
      </c>
      <c r="AL397" s="11">
        <f t="shared" si="371"/>
        <v>726000.00000000012</v>
      </c>
      <c r="AM397" s="11">
        <f t="shared" si="371"/>
        <v>726000.00000000012</v>
      </c>
      <c r="AN397" s="11">
        <f t="shared" si="371"/>
        <v>726000.00000000012</v>
      </c>
      <c r="AO397" s="11">
        <f t="shared" si="371"/>
        <v>726000.00000000012</v>
      </c>
      <c r="AP397" s="11">
        <f t="shared" si="371"/>
        <v>726000.00000000012</v>
      </c>
      <c r="AQ397" s="50">
        <f t="shared" si="371"/>
        <v>726000.00000000012</v>
      </c>
      <c r="AR397" s="11">
        <f t="shared" si="371"/>
        <v>726000.00000000012</v>
      </c>
      <c r="AS397" s="11">
        <f t="shared" si="371"/>
        <v>726000.00000000012</v>
      </c>
      <c r="AT397" s="11">
        <f t="shared" si="371"/>
        <v>726000.00000000012</v>
      </c>
      <c r="AU397" s="11">
        <f t="shared" si="371"/>
        <v>726000.00000000012</v>
      </c>
      <c r="AV397" s="11">
        <f t="shared" si="371"/>
        <v>726000.00000000012</v>
      </c>
      <c r="AW397" s="11">
        <f t="shared" si="371"/>
        <v>726000.00000000012</v>
      </c>
      <c r="AX397" s="11">
        <f t="shared" si="371"/>
        <v>726000.00000000012</v>
      </c>
      <c r="AY397" s="11">
        <f t="shared" si="371"/>
        <v>726000.00000000012</v>
      </c>
      <c r="AZ397" s="11">
        <f t="shared" si="371"/>
        <v>726000.00000000012</v>
      </c>
      <c r="BA397" s="11">
        <f t="shared" si="371"/>
        <v>726000.00000000012</v>
      </c>
      <c r="BB397" s="11">
        <f t="shared" si="371"/>
        <v>726000.00000000012</v>
      </c>
      <c r="BC397" s="31"/>
      <c r="BD397" s="31"/>
      <c r="BE397" s="22"/>
      <c r="BF397" s="22"/>
      <c r="BG397" s="22"/>
      <c r="BH397" s="31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</row>
    <row r="398" spans="1:79" ht="16.5" hidden="1" customHeight="1" outlineLevel="1" x14ac:dyDescent="0.25">
      <c r="A398" s="80">
        <v>6</v>
      </c>
      <c r="B398" s="80" t="str">
        <f t="shared" si="365"/>
        <v>Dir</v>
      </c>
      <c r="C398" s="22"/>
      <c r="D398" s="22"/>
      <c r="E398" s="22"/>
      <c r="F398" s="216">
        <f t="shared" si="366"/>
        <v>2376000</v>
      </c>
      <c r="G398" s="82"/>
      <c r="H398" s="82"/>
      <c r="I398" s="82"/>
      <c r="J398" s="82"/>
      <c r="K398" s="82"/>
      <c r="L398" s="22"/>
      <c r="M398" s="22"/>
      <c r="N398" s="22"/>
      <c r="O398" s="22"/>
      <c r="P398" s="22"/>
      <c r="Q398" s="22"/>
      <c r="R398" s="22"/>
      <c r="S398" s="125"/>
      <c r="T398" s="116"/>
      <c r="U398" s="116"/>
      <c r="V398" s="116"/>
      <c r="W398" s="116"/>
      <c r="X398" s="116"/>
      <c r="Y398" s="11">
        <f t="shared" ref="Y398:BB398" si="372">IF(Y386&gt;1,$F398,0)</f>
        <v>0</v>
      </c>
      <c r="Z398" s="11">
        <f t="shared" si="372"/>
        <v>0</v>
      </c>
      <c r="AA398" s="11">
        <f t="shared" si="372"/>
        <v>0</v>
      </c>
      <c r="AB398" s="11">
        <f t="shared" si="372"/>
        <v>0</v>
      </c>
      <c r="AC398" s="11">
        <f t="shared" si="372"/>
        <v>0</v>
      </c>
      <c r="AD398" s="11">
        <f t="shared" si="372"/>
        <v>0</v>
      </c>
      <c r="AE398" s="50">
        <f t="shared" si="372"/>
        <v>0</v>
      </c>
      <c r="AF398" s="11">
        <f t="shared" si="372"/>
        <v>0</v>
      </c>
      <c r="AG398" s="11">
        <f t="shared" si="372"/>
        <v>0</v>
      </c>
      <c r="AH398" s="11">
        <f t="shared" si="372"/>
        <v>0</v>
      </c>
      <c r="AI398" s="11">
        <f t="shared" si="372"/>
        <v>0</v>
      </c>
      <c r="AJ398" s="11">
        <f t="shared" si="372"/>
        <v>0</v>
      </c>
      <c r="AK398" s="11">
        <f t="shared" si="372"/>
        <v>0</v>
      </c>
      <c r="AL398" s="11">
        <f t="shared" si="372"/>
        <v>2376000</v>
      </c>
      <c r="AM398" s="11">
        <f t="shared" si="372"/>
        <v>2376000</v>
      </c>
      <c r="AN398" s="11">
        <f t="shared" si="372"/>
        <v>2376000</v>
      </c>
      <c r="AO398" s="11">
        <f t="shared" si="372"/>
        <v>2376000</v>
      </c>
      <c r="AP398" s="11">
        <f t="shared" si="372"/>
        <v>2376000</v>
      </c>
      <c r="AQ398" s="50">
        <f t="shared" si="372"/>
        <v>2376000</v>
      </c>
      <c r="AR398" s="11">
        <f t="shared" si="372"/>
        <v>2376000</v>
      </c>
      <c r="AS398" s="11">
        <f t="shared" si="372"/>
        <v>2376000</v>
      </c>
      <c r="AT398" s="11">
        <f t="shared" si="372"/>
        <v>2376000</v>
      </c>
      <c r="AU398" s="11">
        <f t="shared" si="372"/>
        <v>2376000</v>
      </c>
      <c r="AV398" s="11">
        <f t="shared" si="372"/>
        <v>2376000</v>
      </c>
      <c r="AW398" s="11">
        <f t="shared" si="372"/>
        <v>2376000</v>
      </c>
      <c r="AX398" s="11">
        <f t="shared" si="372"/>
        <v>2376000</v>
      </c>
      <c r="AY398" s="11">
        <f t="shared" si="372"/>
        <v>2376000</v>
      </c>
      <c r="AZ398" s="11">
        <f t="shared" si="372"/>
        <v>2376000</v>
      </c>
      <c r="BA398" s="11">
        <f t="shared" si="372"/>
        <v>2376000</v>
      </c>
      <c r="BB398" s="11">
        <f t="shared" si="372"/>
        <v>2376000</v>
      </c>
      <c r="BC398" s="31"/>
      <c r="BD398" s="31"/>
      <c r="BE398" s="22"/>
      <c r="BF398" s="22"/>
      <c r="BG398" s="22"/>
      <c r="BH398" s="31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</row>
    <row r="399" spans="1:79" ht="16.5" hidden="1" customHeight="1" outlineLevel="1" x14ac:dyDescent="0.25">
      <c r="A399" s="80">
        <v>7</v>
      </c>
      <c r="B399" s="80" t="str">
        <f t="shared" si="365"/>
        <v>Sub</v>
      </c>
      <c r="C399" s="22"/>
      <c r="D399" s="22"/>
      <c r="E399" s="22"/>
      <c r="F399" s="216">
        <f t="shared" si="366"/>
        <v>726000.00000000012</v>
      </c>
      <c r="G399" s="82"/>
      <c r="H399" s="82"/>
      <c r="I399" s="82"/>
      <c r="J399" s="82"/>
      <c r="K399" s="82"/>
      <c r="L399" s="22"/>
      <c r="M399" s="22"/>
      <c r="N399" s="22"/>
      <c r="O399" s="22"/>
      <c r="P399" s="22"/>
      <c r="Q399" s="22"/>
      <c r="R399" s="22"/>
      <c r="S399" s="125"/>
      <c r="T399" s="116"/>
      <c r="U399" s="116"/>
      <c r="V399" s="116"/>
      <c r="W399" s="116"/>
      <c r="X399" s="116"/>
      <c r="Y399" s="11">
        <f t="shared" ref="Y399:BB399" si="373">IF(Y387&gt;1,$F399,0)</f>
        <v>0</v>
      </c>
      <c r="Z399" s="11">
        <f t="shared" si="373"/>
        <v>0</v>
      </c>
      <c r="AA399" s="11">
        <f t="shared" si="373"/>
        <v>0</v>
      </c>
      <c r="AB399" s="11">
        <f t="shared" si="373"/>
        <v>0</v>
      </c>
      <c r="AC399" s="11">
        <f t="shared" si="373"/>
        <v>0</v>
      </c>
      <c r="AD399" s="11">
        <f t="shared" si="373"/>
        <v>0</v>
      </c>
      <c r="AE399" s="50">
        <f t="shared" si="373"/>
        <v>0</v>
      </c>
      <c r="AF399" s="11">
        <f t="shared" si="373"/>
        <v>0</v>
      </c>
      <c r="AG399" s="11">
        <f t="shared" si="373"/>
        <v>0</v>
      </c>
      <c r="AH399" s="11">
        <f t="shared" si="373"/>
        <v>0</v>
      </c>
      <c r="AI399" s="11">
        <f t="shared" si="373"/>
        <v>0</v>
      </c>
      <c r="AJ399" s="11">
        <f t="shared" si="373"/>
        <v>0</v>
      </c>
      <c r="AK399" s="11">
        <f t="shared" si="373"/>
        <v>0</v>
      </c>
      <c r="AL399" s="11">
        <f t="shared" si="373"/>
        <v>0</v>
      </c>
      <c r="AM399" s="11">
        <f t="shared" si="373"/>
        <v>726000.00000000012</v>
      </c>
      <c r="AN399" s="11">
        <f t="shared" si="373"/>
        <v>726000.00000000012</v>
      </c>
      <c r="AO399" s="11">
        <f t="shared" si="373"/>
        <v>726000.00000000012</v>
      </c>
      <c r="AP399" s="11">
        <f t="shared" si="373"/>
        <v>726000.00000000012</v>
      </c>
      <c r="AQ399" s="50">
        <f t="shared" si="373"/>
        <v>726000.00000000012</v>
      </c>
      <c r="AR399" s="11">
        <f t="shared" si="373"/>
        <v>726000.00000000012</v>
      </c>
      <c r="AS399" s="11">
        <f t="shared" si="373"/>
        <v>726000.00000000012</v>
      </c>
      <c r="AT399" s="11">
        <f t="shared" si="373"/>
        <v>726000.00000000012</v>
      </c>
      <c r="AU399" s="11">
        <f t="shared" si="373"/>
        <v>726000.00000000012</v>
      </c>
      <c r="AV399" s="11">
        <f t="shared" si="373"/>
        <v>726000.00000000012</v>
      </c>
      <c r="AW399" s="11">
        <f t="shared" si="373"/>
        <v>726000.00000000012</v>
      </c>
      <c r="AX399" s="11">
        <f t="shared" si="373"/>
        <v>726000.00000000012</v>
      </c>
      <c r="AY399" s="11">
        <f t="shared" si="373"/>
        <v>726000.00000000012</v>
      </c>
      <c r="AZ399" s="11">
        <f t="shared" si="373"/>
        <v>726000.00000000012</v>
      </c>
      <c r="BA399" s="11">
        <f t="shared" si="373"/>
        <v>726000.00000000012</v>
      </c>
      <c r="BB399" s="11">
        <f t="shared" si="373"/>
        <v>726000.00000000012</v>
      </c>
      <c r="BC399" s="31"/>
      <c r="BD399" s="31"/>
      <c r="BE399" s="22"/>
      <c r="BF399" s="22"/>
      <c r="BG399" s="22"/>
      <c r="BH399" s="31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</row>
    <row r="400" spans="1:79" ht="14.25" hidden="1" customHeight="1" outlineLevel="1" x14ac:dyDescent="0.25">
      <c r="A400" s="80">
        <v>8</v>
      </c>
      <c r="B400" s="80" t="str">
        <f t="shared" si="365"/>
        <v>Dir</v>
      </c>
      <c r="C400" s="22"/>
      <c r="D400" s="22"/>
      <c r="E400" s="22"/>
      <c r="F400" s="216">
        <f t="shared" si="366"/>
        <v>2376000</v>
      </c>
      <c r="G400" s="82"/>
      <c r="H400" s="82"/>
      <c r="I400" s="82"/>
      <c r="J400" s="82"/>
      <c r="K400" s="82"/>
      <c r="L400" s="22"/>
      <c r="M400" s="22"/>
      <c r="N400" s="22"/>
      <c r="O400" s="22"/>
      <c r="P400" s="22"/>
      <c r="Q400" s="22"/>
      <c r="R400" s="22"/>
      <c r="S400" s="125"/>
      <c r="T400" s="116"/>
      <c r="U400" s="116"/>
      <c r="V400" s="116"/>
      <c r="W400" s="116"/>
      <c r="X400" s="116"/>
      <c r="Y400" s="11">
        <f t="shared" ref="Y400:BB400" si="374">IF(Y388&gt;1,$F400,0)</f>
        <v>0</v>
      </c>
      <c r="Z400" s="11">
        <f t="shared" si="374"/>
        <v>0</v>
      </c>
      <c r="AA400" s="11">
        <f t="shared" si="374"/>
        <v>0</v>
      </c>
      <c r="AB400" s="11">
        <f t="shared" si="374"/>
        <v>0</v>
      </c>
      <c r="AC400" s="11">
        <f t="shared" si="374"/>
        <v>0</v>
      </c>
      <c r="AD400" s="11">
        <f t="shared" si="374"/>
        <v>0</v>
      </c>
      <c r="AE400" s="50">
        <f t="shared" si="374"/>
        <v>0</v>
      </c>
      <c r="AF400" s="11">
        <f t="shared" si="374"/>
        <v>0</v>
      </c>
      <c r="AG400" s="11">
        <f t="shared" si="374"/>
        <v>0</v>
      </c>
      <c r="AH400" s="11">
        <f t="shared" si="374"/>
        <v>0</v>
      </c>
      <c r="AI400" s="11">
        <f t="shared" si="374"/>
        <v>0</v>
      </c>
      <c r="AJ400" s="11">
        <f t="shared" si="374"/>
        <v>0</v>
      </c>
      <c r="AK400" s="11">
        <f t="shared" si="374"/>
        <v>0</v>
      </c>
      <c r="AL400" s="11">
        <f t="shared" si="374"/>
        <v>0</v>
      </c>
      <c r="AM400" s="11">
        <f t="shared" si="374"/>
        <v>0</v>
      </c>
      <c r="AN400" s="11">
        <f t="shared" si="374"/>
        <v>0</v>
      </c>
      <c r="AO400" s="11">
        <f t="shared" si="374"/>
        <v>0</v>
      </c>
      <c r="AP400" s="11">
        <f t="shared" si="374"/>
        <v>2376000</v>
      </c>
      <c r="AQ400" s="50">
        <f t="shared" si="374"/>
        <v>2376000</v>
      </c>
      <c r="AR400" s="11">
        <f t="shared" si="374"/>
        <v>2376000</v>
      </c>
      <c r="AS400" s="11">
        <f t="shared" si="374"/>
        <v>2376000</v>
      </c>
      <c r="AT400" s="11">
        <f t="shared" si="374"/>
        <v>2376000</v>
      </c>
      <c r="AU400" s="11">
        <f t="shared" si="374"/>
        <v>2376000</v>
      </c>
      <c r="AV400" s="11">
        <f t="shared" si="374"/>
        <v>2376000</v>
      </c>
      <c r="AW400" s="11">
        <f t="shared" si="374"/>
        <v>2376000</v>
      </c>
      <c r="AX400" s="11">
        <f t="shared" si="374"/>
        <v>2376000</v>
      </c>
      <c r="AY400" s="11">
        <f t="shared" si="374"/>
        <v>2376000</v>
      </c>
      <c r="AZ400" s="11">
        <f t="shared" si="374"/>
        <v>2376000</v>
      </c>
      <c r="BA400" s="11">
        <f t="shared" si="374"/>
        <v>2376000</v>
      </c>
      <c r="BB400" s="11">
        <f t="shared" si="374"/>
        <v>2376000</v>
      </c>
      <c r="BC400" s="31"/>
      <c r="BD400" s="31"/>
      <c r="BE400" s="22"/>
      <c r="BF400" s="22"/>
      <c r="BG400" s="22"/>
      <c r="BH400" s="31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</row>
    <row r="401" spans="1:79" ht="14.25" hidden="1" customHeight="1" outlineLevel="1" x14ac:dyDescent="0.25">
      <c r="A401" s="80">
        <v>9</v>
      </c>
      <c r="B401" s="80" t="str">
        <f t="shared" si="365"/>
        <v>Sub</v>
      </c>
      <c r="C401" s="22"/>
      <c r="D401" s="22"/>
      <c r="E401" s="22"/>
      <c r="F401" s="216">
        <f t="shared" si="366"/>
        <v>726000.00000000012</v>
      </c>
      <c r="G401" s="82"/>
      <c r="H401" s="82"/>
      <c r="I401" s="82"/>
      <c r="J401" s="82"/>
      <c r="K401" s="82"/>
      <c r="L401" s="22"/>
      <c r="M401" s="22"/>
      <c r="N401" s="22"/>
      <c r="O401" s="22"/>
      <c r="P401" s="22"/>
      <c r="Q401" s="22"/>
      <c r="R401" s="22"/>
      <c r="S401" s="125"/>
      <c r="T401" s="116"/>
      <c r="U401" s="116"/>
      <c r="V401" s="116"/>
      <c r="W401" s="116"/>
      <c r="X401" s="116"/>
      <c r="Y401" s="11">
        <f t="shared" ref="Y401:BB401" si="375">IF(Y389&gt;1,$F401,0)</f>
        <v>0</v>
      </c>
      <c r="Z401" s="11">
        <f t="shared" si="375"/>
        <v>0</v>
      </c>
      <c r="AA401" s="11">
        <f t="shared" si="375"/>
        <v>0</v>
      </c>
      <c r="AB401" s="11">
        <f t="shared" si="375"/>
        <v>0</v>
      </c>
      <c r="AC401" s="11">
        <f t="shared" si="375"/>
        <v>0</v>
      </c>
      <c r="AD401" s="11">
        <f t="shared" si="375"/>
        <v>0</v>
      </c>
      <c r="AE401" s="50">
        <f t="shared" si="375"/>
        <v>0</v>
      </c>
      <c r="AF401" s="11">
        <f t="shared" si="375"/>
        <v>0</v>
      </c>
      <c r="AG401" s="11">
        <f t="shared" si="375"/>
        <v>0</v>
      </c>
      <c r="AH401" s="11">
        <f t="shared" si="375"/>
        <v>0</v>
      </c>
      <c r="AI401" s="11">
        <f t="shared" si="375"/>
        <v>0</v>
      </c>
      <c r="AJ401" s="11">
        <f t="shared" si="375"/>
        <v>0</v>
      </c>
      <c r="AK401" s="11">
        <f t="shared" si="375"/>
        <v>0</v>
      </c>
      <c r="AL401" s="11">
        <f t="shared" si="375"/>
        <v>0</v>
      </c>
      <c r="AM401" s="11">
        <f t="shared" si="375"/>
        <v>0</v>
      </c>
      <c r="AN401" s="11">
        <f t="shared" si="375"/>
        <v>0</v>
      </c>
      <c r="AO401" s="11">
        <f t="shared" si="375"/>
        <v>0</v>
      </c>
      <c r="AP401" s="11">
        <f t="shared" si="375"/>
        <v>0</v>
      </c>
      <c r="AQ401" s="50">
        <f t="shared" si="375"/>
        <v>0</v>
      </c>
      <c r="AR401" s="11">
        <f t="shared" si="375"/>
        <v>0</v>
      </c>
      <c r="AS401" s="11">
        <f t="shared" si="375"/>
        <v>0</v>
      </c>
      <c r="AT401" s="11">
        <f t="shared" si="375"/>
        <v>0</v>
      </c>
      <c r="AU401" s="11">
        <f t="shared" si="375"/>
        <v>0</v>
      </c>
      <c r="AV401" s="11">
        <f t="shared" si="375"/>
        <v>0</v>
      </c>
      <c r="AW401" s="11">
        <f t="shared" si="375"/>
        <v>0</v>
      </c>
      <c r="AX401" s="11">
        <f t="shared" si="375"/>
        <v>0</v>
      </c>
      <c r="AY401" s="11">
        <f t="shared" si="375"/>
        <v>0</v>
      </c>
      <c r="AZ401" s="11">
        <f t="shared" si="375"/>
        <v>0</v>
      </c>
      <c r="BA401" s="11">
        <f t="shared" si="375"/>
        <v>0</v>
      </c>
      <c r="BB401" s="11">
        <f t="shared" si="375"/>
        <v>0</v>
      </c>
      <c r="BC401" s="31"/>
      <c r="BD401" s="31"/>
      <c r="BE401" s="22"/>
      <c r="BF401" s="22"/>
      <c r="BG401" s="22"/>
      <c r="BH401" s="31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</row>
    <row r="402" spans="1:79" ht="14.25" hidden="1" customHeight="1" outlineLevel="1" x14ac:dyDescent="0.25">
      <c r="A402" s="80">
        <v>10</v>
      </c>
      <c r="B402" s="80" t="str">
        <f t="shared" si="365"/>
        <v>Dir</v>
      </c>
      <c r="C402" s="22"/>
      <c r="D402" s="22"/>
      <c r="E402" s="22"/>
      <c r="F402" s="216">
        <f t="shared" si="366"/>
        <v>2376000</v>
      </c>
      <c r="G402" s="82"/>
      <c r="H402" s="82"/>
      <c r="I402" s="82"/>
      <c r="J402" s="82"/>
      <c r="K402" s="82"/>
      <c r="L402" s="22"/>
      <c r="M402" s="22"/>
      <c r="N402" s="22"/>
      <c r="O402" s="22"/>
      <c r="P402" s="22"/>
      <c r="Q402" s="22"/>
      <c r="R402" s="22"/>
      <c r="S402" s="125"/>
      <c r="T402" s="116"/>
      <c r="U402" s="116"/>
      <c r="V402" s="116"/>
      <c r="W402" s="116"/>
      <c r="X402" s="116"/>
      <c r="Y402" s="11">
        <f t="shared" ref="Y402:BB402" si="376">IF(Y390&gt;1,$F402,0)</f>
        <v>0</v>
      </c>
      <c r="Z402" s="11">
        <f t="shared" si="376"/>
        <v>0</v>
      </c>
      <c r="AA402" s="11">
        <f t="shared" si="376"/>
        <v>0</v>
      </c>
      <c r="AB402" s="11">
        <f t="shared" si="376"/>
        <v>0</v>
      </c>
      <c r="AC402" s="11">
        <f t="shared" si="376"/>
        <v>0</v>
      </c>
      <c r="AD402" s="11">
        <f t="shared" si="376"/>
        <v>0</v>
      </c>
      <c r="AE402" s="50">
        <f t="shared" si="376"/>
        <v>0</v>
      </c>
      <c r="AF402" s="11">
        <f t="shared" si="376"/>
        <v>0</v>
      </c>
      <c r="AG402" s="11">
        <f t="shared" si="376"/>
        <v>0</v>
      </c>
      <c r="AH402" s="11">
        <f t="shared" si="376"/>
        <v>0</v>
      </c>
      <c r="AI402" s="11">
        <f t="shared" si="376"/>
        <v>0</v>
      </c>
      <c r="AJ402" s="11">
        <f t="shared" si="376"/>
        <v>0</v>
      </c>
      <c r="AK402" s="11">
        <f t="shared" si="376"/>
        <v>0</v>
      </c>
      <c r="AL402" s="11">
        <f t="shared" si="376"/>
        <v>0</v>
      </c>
      <c r="AM402" s="11">
        <f t="shared" si="376"/>
        <v>0</v>
      </c>
      <c r="AN402" s="11">
        <f t="shared" si="376"/>
        <v>0</v>
      </c>
      <c r="AO402" s="11">
        <f t="shared" si="376"/>
        <v>0</v>
      </c>
      <c r="AP402" s="11">
        <f t="shared" si="376"/>
        <v>0</v>
      </c>
      <c r="AQ402" s="50">
        <f t="shared" si="376"/>
        <v>0</v>
      </c>
      <c r="AR402" s="11">
        <f t="shared" si="376"/>
        <v>0</v>
      </c>
      <c r="AS402" s="11">
        <f t="shared" si="376"/>
        <v>0</v>
      </c>
      <c r="AT402" s="11">
        <f t="shared" si="376"/>
        <v>0</v>
      </c>
      <c r="AU402" s="11">
        <f t="shared" si="376"/>
        <v>0</v>
      </c>
      <c r="AV402" s="11">
        <f t="shared" si="376"/>
        <v>0</v>
      </c>
      <c r="AW402" s="11">
        <f t="shared" si="376"/>
        <v>0</v>
      </c>
      <c r="AX402" s="11">
        <f t="shared" si="376"/>
        <v>0</v>
      </c>
      <c r="AY402" s="11">
        <f t="shared" si="376"/>
        <v>0</v>
      </c>
      <c r="AZ402" s="11">
        <f t="shared" si="376"/>
        <v>0</v>
      </c>
      <c r="BA402" s="11">
        <f t="shared" si="376"/>
        <v>0</v>
      </c>
      <c r="BB402" s="11">
        <f t="shared" si="376"/>
        <v>0</v>
      </c>
      <c r="BC402" s="31"/>
      <c r="BD402" s="31"/>
      <c r="BE402" s="22"/>
      <c r="BF402" s="22"/>
      <c r="BG402" s="22"/>
      <c r="BH402" s="31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</row>
    <row r="403" spans="1:79" ht="14.25" hidden="1" customHeight="1" outlineLevel="1" x14ac:dyDescent="0.25">
      <c r="A403" s="22"/>
      <c r="B403" s="22"/>
      <c r="C403" s="22"/>
      <c r="D403" s="22"/>
      <c r="E403" s="22"/>
      <c r="F403" s="80"/>
      <c r="G403" s="82"/>
      <c r="H403" s="82"/>
      <c r="I403" s="82"/>
      <c r="J403" s="82"/>
      <c r="K403" s="82"/>
      <c r="L403" s="22"/>
      <c r="M403" s="22"/>
      <c r="N403" s="22"/>
      <c r="O403" s="22"/>
      <c r="P403" s="22"/>
      <c r="Q403" s="22"/>
      <c r="R403" s="22"/>
      <c r="S403" s="125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25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31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31"/>
      <c r="BD403" s="31"/>
      <c r="BE403" s="22"/>
      <c r="BF403" s="22"/>
      <c r="BG403" s="22"/>
      <c r="BH403" s="31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</row>
    <row r="404" spans="1:79" ht="14.25" hidden="1" customHeight="1" outlineLevel="1" x14ac:dyDescent="0.25">
      <c r="A404" s="46"/>
      <c r="B404" s="46"/>
      <c r="C404" s="140"/>
      <c r="D404" s="140"/>
      <c r="E404" s="46"/>
      <c r="F404" s="110" t="s">
        <v>22</v>
      </c>
      <c r="G404" s="138"/>
      <c r="H404" s="138"/>
      <c r="I404" s="138"/>
      <c r="J404" s="138"/>
      <c r="K404" s="138"/>
      <c r="L404" s="30"/>
      <c r="M404" s="30"/>
      <c r="N404" s="30"/>
      <c r="O404" s="30"/>
      <c r="P404" s="30"/>
      <c r="Q404" s="30"/>
      <c r="R404" s="30"/>
      <c r="S404" s="127"/>
      <c r="T404" s="126">
        <f t="shared" ref="T404:AP404" si="377">T380-T392</f>
        <v>0</v>
      </c>
      <c r="U404" s="126">
        <f t="shared" si="377"/>
        <v>0</v>
      </c>
      <c r="V404" s="126">
        <f t="shared" si="377"/>
        <v>0</v>
      </c>
      <c r="W404" s="126">
        <f t="shared" si="377"/>
        <v>0</v>
      </c>
      <c r="X404" s="126">
        <f t="shared" si="377"/>
        <v>0</v>
      </c>
      <c r="Y404" s="126">
        <f t="shared" si="377"/>
        <v>108900</v>
      </c>
      <c r="Z404" s="126">
        <f t="shared" si="377"/>
        <v>108900</v>
      </c>
      <c r="AA404" s="126">
        <f t="shared" si="377"/>
        <v>108900</v>
      </c>
      <c r="AB404" s="126">
        <f t="shared" si="377"/>
        <v>217800</v>
      </c>
      <c r="AC404" s="126">
        <f t="shared" si="377"/>
        <v>217800</v>
      </c>
      <c r="AD404" s="126">
        <f t="shared" si="377"/>
        <v>217800</v>
      </c>
      <c r="AE404" s="127">
        <f t="shared" si="377"/>
        <v>326700</v>
      </c>
      <c r="AF404" s="126">
        <f t="shared" si="377"/>
        <v>326700</v>
      </c>
      <c r="AG404" s="126">
        <f t="shared" si="377"/>
        <v>435600</v>
      </c>
      <c r="AH404" s="126">
        <f t="shared" si="377"/>
        <v>435600</v>
      </c>
      <c r="AI404" s="126">
        <f t="shared" si="377"/>
        <v>544500</v>
      </c>
      <c r="AJ404" s="126">
        <f t="shared" si="377"/>
        <v>544500</v>
      </c>
      <c r="AK404" s="126">
        <f t="shared" si="377"/>
        <v>544500</v>
      </c>
      <c r="AL404" s="126">
        <f t="shared" si="377"/>
        <v>1019700</v>
      </c>
      <c r="AM404" s="126">
        <f t="shared" si="377"/>
        <v>1128600</v>
      </c>
      <c r="AN404" s="126">
        <f t="shared" si="377"/>
        <v>1128600</v>
      </c>
      <c r="AO404" s="126">
        <f t="shared" si="377"/>
        <v>1128600</v>
      </c>
      <c r="AP404" s="126">
        <f t="shared" si="377"/>
        <v>1603800</v>
      </c>
      <c r="AQ404" s="29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29"/>
      <c r="BD404" s="29"/>
      <c r="BE404" s="46"/>
      <c r="BF404" s="46"/>
      <c r="BG404" s="46"/>
      <c r="BH404" s="29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</row>
    <row r="405" spans="1:79" ht="14.25" hidden="1" customHeight="1" outlineLevel="1" x14ac:dyDescent="0.25">
      <c r="A405" s="43"/>
      <c r="B405" s="43"/>
      <c r="C405" s="43"/>
      <c r="D405" s="43"/>
      <c r="E405" s="43"/>
      <c r="F405" s="166" t="s">
        <v>23</v>
      </c>
      <c r="G405" s="166"/>
      <c r="H405" s="166"/>
      <c r="I405" s="166"/>
      <c r="J405" s="166"/>
      <c r="K405" s="166"/>
      <c r="L405" s="43"/>
      <c r="M405" s="43"/>
      <c r="N405" s="43"/>
      <c r="O405" s="43"/>
      <c r="P405" s="43"/>
      <c r="Q405" s="43"/>
      <c r="R405" s="43"/>
      <c r="S405" s="168"/>
      <c r="T405" s="167"/>
      <c r="U405" s="167"/>
      <c r="V405" s="167"/>
      <c r="W405" s="167"/>
      <c r="X405" s="167"/>
      <c r="Y405" s="167">
        <f t="shared" ref="Y405:AP405" si="378">Y404/Y380</f>
        <v>0.13043478260869562</v>
      </c>
      <c r="Z405" s="167">
        <f t="shared" si="378"/>
        <v>0.13043478260869562</v>
      </c>
      <c r="AA405" s="167">
        <f t="shared" si="378"/>
        <v>0.13043478260869562</v>
      </c>
      <c r="AB405" s="167">
        <f t="shared" si="378"/>
        <v>0.13043478260869562</v>
      </c>
      <c r="AC405" s="167">
        <f t="shared" si="378"/>
        <v>0.13043478260869562</v>
      </c>
      <c r="AD405" s="167">
        <f t="shared" si="378"/>
        <v>0.13043478260869562</v>
      </c>
      <c r="AE405" s="168">
        <f t="shared" si="378"/>
        <v>0.13043478260869562</v>
      </c>
      <c r="AF405" s="167">
        <f t="shared" si="378"/>
        <v>0.13043478260869562</v>
      </c>
      <c r="AG405" s="167">
        <f t="shared" si="378"/>
        <v>0.13043478260869562</v>
      </c>
      <c r="AH405" s="167">
        <f t="shared" si="378"/>
        <v>0.13043478260869562</v>
      </c>
      <c r="AI405" s="167">
        <f t="shared" si="378"/>
        <v>0.13043478260869565</v>
      </c>
      <c r="AJ405" s="167">
        <f t="shared" si="378"/>
        <v>0.13043478260869565</v>
      </c>
      <c r="AK405" s="167">
        <f t="shared" si="378"/>
        <v>0.13043478260869565</v>
      </c>
      <c r="AL405" s="167">
        <f t="shared" si="378"/>
        <v>0.14513856270549555</v>
      </c>
      <c r="AM405" s="167">
        <f t="shared" si="378"/>
        <v>0.14357682619647355</v>
      </c>
      <c r="AN405" s="167">
        <f t="shared" si="378"/>
        <v>0.14357682619647355</v>
      </c>
      <c r="AO405" s="167">
        <f t="shared" si="378"/>
        <v>0.14357682619647355</v>
      </c>
      <c r="AP405" s="167">
        <f t="shared" si="378"/>
        <v>0.14972273567467653</v>
      </c>
      <c r="AQ405" s="45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5"/>
      <c r="BD405" s="45"/>
      <c r="BE405" s="43"/>
      <c r="BF405" s="43"/>
      <c r="BG405" s="43"/>
      <c r="BH405" s="45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</row>
    <row r="406" spans="1:79" ht="14.25" hidden="1" customHeight="1" outlineLevel="1" x14ac:dyDescent="0.25">
      <c r="A406" s="43"/>
      <c r="B406" s="43"/>
      <c r="C406" s="43"/>
      <c r="D406" s="43"/>
      <c r="E406" s="43"/>
      <c r="F406" s="222"/>
      <c r="G406" s="166"/>
      <c r="H406" s="166"/>
      <c r="I406" s="166"/>
      <c r="J406" s="166"/>
      <c r="K406" s="166"/>
      <c r="L406" s="43"/>
      <c r="M406" s="43"/>
      <c r="N406" s="43"/>
      <c r="O406" s="43"/>
      <c r="P406" s="43"/>
      <c r="Q406" s="43"/>
      <c r="R406" s="43"/>
      <c r="S406" s="168"/>
      <c r="T406" s="167"/>
      <c r="U406" s="167"/>
      <c r="V406" s="167"/>
      <c r="W406" s="167"/>
      <c r="X406" s="167"/>
      <c r="Y406" s="167"/>
      <c r="Z406" s="167"/>
      <c r="AA406" s="167"/>
      <c r="AB406" s="167"/>
      <c r="AC406" s="167"/>
      <c r="AD406" s="167"/>
      <c r="AE406" s="168"/>
      <c r="AF406" s="167"/>
      <c r="AG406" s="167"/>
      <c r="AH406" s="167"/>
      <c r="AI406" s="167"/>
      <c r="AJ406" s="167"/>
      <c r="AK406" s="167"/>
      <c r="AL406" s="167"/>
      <c r="AM406" s="167"/>
      <c r="AN406" s="167"/>
      <c r="AO406" s="167"/>
      <c r="AP406" s="167"/>
      <c r="AQ406" s="45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5"/>
      <c r="BD406" s="45"/>
      <c r="BE406" s="43"/>
      <c r="BF406" s="43"/>
      <c r="BG406" s="43"/>
      <c r="BH406" s="45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</row>
    <row r="407" spans="1:79" ht="14.25" hidden="1" customHeight="1" outlineLevel="1" x14ac:dyDescent="0.25">
      <c r="A407" s="43"/>
      <c r="B407" s="43"/>
      <c r="C407" s="43"/>
      <c r="D407" s="43"/>
      <c r="E407" s="43"/>
      <c r="F407" s="139" t="s">
        <v>241</v>
      </c>
      <c r="G407" s="166"/>
      <c r="H407" s="166"/>
      <c r="I407" s="166"/>
      <c r="J407" s="166"/>
      <c r="K407" s="166"/>
      <c r="L407" s="43"/>
      <c r="M407" s="43"/>
      <c r="N407" s="43"/>
      <c r="O407" s="43"/>
      <c r="P407" s="43"/>
      <c r="Q407" s="43"/>
      <c r="R407" s="43"/>
      <c r="S407" s="168"/>
      <c r="T407" s="167"/>
      <c r="U407" s="167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8"/>
      <c r="AF407" s="167"/>
      <c r="AG407" s="167"/>
      <c r="AH407" s="167"/>
      <c r="AI407" s="167"/>
      <c r="AJ407" s="167"/>
      <c r="AK407" s="167"/>
      <c r="AL407" s="167"/>
      <c r="AM407" s="167"/>
      <c r="AN407" s="167"/>
      <c r="AO407" s="167"/>
      <c r="AP407" s="167"/>
      <c r="AQ407" s="45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5"/>
      <c r="BD407" s="45"/>
      <c r="BE407" s="43"/>
      <c r="BF407" s="43"/>
      <c r="BG407" s="43"/>
      <c r="BH407" s="45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</row>
    <row r="408" spans="1:79" ht="14.25" hidden="1" customHeight="1" outlineLevel="1" x14ac:dyDescent="0.25">
      <c r="A408" s="22"/>
      <c r="B408" s="22"/>
      <c r="C408" s="22"/>
      <c r="D408" s="22"/>
      <c r="E408" s="22"/>
      <c r="F408" s="82" t="s">
        <v>362</v>
      </c>
      <c r="G408" s="82"/>
      <c r="H408" s="82"/>
      <c r="I408" s="82"/>
      <c r="J408" s="82"/>
      <c r="K408" s="82"/>
      <c r="L408" s="22"/>
      <c r="M408" s="116"/>
      <c r="N408" s="116"/>
      <c r="O408" s="116"/>
      <c r="P408" s="116"/>
      <c r="Q408" s="116"/>
      <c r="R408" s="116"/>
      <c r="S408" s="125"/>
      <c r="T408" s="116"/>
      <c r="U408" s="116"/>
      <c r="V408" s="116"/>
      <c r="W408" s="116"/>
      <c r="X408" s="116"/>
      <c r="Y408" s="116">
        <f t="shared" ref="Y408:AP408" si="379">Y380</f>
        <v>834900.00000000012</v>
      </c>
      <c r="Z408" s="116">
        <f t="shared" si="379"/>
        <v>834900.00000000012</v>
      </c>
      <c r="AA408" s="116">
        <f t="shared" si="379"/>
        <v>834900.00000000012</v>
      </c>
      <c r="AB408" s="116">
        <f t="shared" si="379"/>
        <v>1669800.0000000002</v>
      </c>
      <c r="AC408" s="116">
        <f t="shared" si="379"/>
        <v>1669800.0000000002</v>
      </c>
      <c r="AD408" s="116">
        <f t="shared" si="379"/>
        <v>1669800.0000000002</v>
      </c>
      <c r="AE408" s="125">
        <f t="shared" si="379"/>
        <v>2504700.0000000005</v>
      </c>
      <c r="AF408" s="116">
        <f t="shared" si="379"/>
        <v>2504700.0000000005</v>
      </c>
      <c r="AG408" s="116">
        <f t="shared" si="379"/>
        <v>3339600.0000000005</v>
      </c>
      <c r="AH408" s="116">
        <f t="shared" si="379"/>
        <v>3339600.0000000005</v>
      </c>
      <c r="AI408" s="116">
        <f t="shared" si="379"/>
        <v>4174500.0000000005</v>
      </c>
      <c r="AJ408" s="116">
        <f t="shared" si="379"/>
        <v>4174500.0000000005</v>
      </c>
      <c r="AK408" s="116">
        <f t="shared" si="379"/>
        <v>4174500.0000000005</v>
      </c>
      <c r="AL408" s="116">
        <f t="shared" si="379"/>
        <v>7025700</v>
      </c>
      <c r="AM408" s="116">
        <f t="shared" si="379"/>
        <v>7860600</v>
      </c>
      <c r="AN408" s="116">
        <f t="shared" si="379"/>
        <v>7860600</v>
      </c>
      <c r="AO408" s="116">
        <f t="shared" si="379"/>
        <v>7860600</v>
      </c>
      <c r="AP408" s="116">
        <f t="shared" si="379"/>
        <v>10711800</v>
      </c>
      <c r="AQ408" s="31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31"/>
      <c r="BD408" s="31"/>
      <c r="BE408" s="22"/>
      <c r="BF408" s="22"/>
      <c r="BG408" s="22"/>
      <c r="BH408" s="31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</row>
    <row r="409" spans="1:79" ht="14.25" hidden="1" customHeight="1" outlineLevel="1" x14ac:dyDescent="0.25">
      <c r="A409" s="22"/>
      <c r="B409" s="22"/>
      <c r="C409" s="22"/>
      <c r="D409" s="22"/>
      <c r="E409" s="22"/>
      <c r="F409" s="82" t="s">
        <v>363</v>
      </c>
      <c r="G409" s="82"/>
      <c r="H409" s="82"/>
      <c r="I409" s="82"/>
      <c r="J409" s="82"/>
      <c r="K409" s="82"/>
      <c r="L409" s="22"/>
      <c r="M409" s="116"/>
      <c r="N409" s="116"/>
      <c r="O409" s="116"/>
      <c r="P409" s="116"/>
      <c r="Q409" s="116"/>
      <c r="R409" s="116"/>
      <c r="S409" s="125"/>
      <c r="T409" s="116"/>
      <c r="U409" s="116"/>
      <c r="V409" s="116"/>
      <c r="W409" s="116"/>
      <c r="X409" s="116"/>
      <c r="Y409" s="116">
        <f t="shared" ref="Y409:AP409" si="380">Y392</f>
        <v>726000.00000000012</v>
      </c>
      <c r="Z409" s="116">
        <f t="shared" si="380"/>
        <v>726000.00000000012</v>
      </c>
      <c r="AA409" s="116">
        <f t="shared" si="380"/>
        <v>726000.00000000012</v>
      </c>
      <c r="AB409" s="116">
        <f t="shared" si="380"/>
        <v>1452000.0000000002</v>
      </c>
      <c r="AC409" s="116">
        <f t="shared" si="380"/>
        <v>1452000.0000000002</v>
      </c>
      <c r="AD409" s="116">
        <f t="shared" si="380"/>
        <v>1452000.0000000002</v>
      </c>
      <c r="AE409" s="125">
        <f t="shared" si="380"/>
        <v>2178000.0000000005</v>
      </c>
      <c r="AF409" s="116">
        <f t="shared" si="380"/>
        <v>2178000.0000000005</v>
      </c>
      <c r="AG409" s="116">
        <f t="shared" si="380"/>
        <v>2904000.0000000005</v>
      </c>
      <c r="AH409" s="116">
        <f t="shared" si="380"/>
        <v>2904000.0000000005</v>
      </c>
      <c r="AI409" s="116">
        <f t="shared" si="380"/>
        <v>3630000.0000000005</v>
      </c>
      <c r="AJ409" s="116">
        <f t="shared" si="380"/>
        <v>3630000.0000000005</v>
      </c>
      <c r="AK409" s="116">
        <f t="shared" si="380"/>
        <v>3630000.0000000005</v>
      </c>
      <c r="AL409" s="116">
        <f t="shared" si="380"/>
        <v>6006000</v>
      </c>
      <c r="AM409" s="116">
        <f t="shared" si="380"/>
        <v>6732000</v>
      </c>
      <c r="AN409" s="116">
        <f t="shared" si="380"/>
        <v>6732000</v>
      </c>
      <c r="AO409" s="116">
        <f t="shared" si="380"/>
        <v>6732000</v>
      </c>
      <c r="AP409" s="116">
        <f t="shared" si="380"/>
        <v>9108000</v>
      </c>
      <c r="AQ409" s="31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31"/>
      <c r="BD409" s="31"/>
      <c r="BE409" s="22"/>
      <c r="BF409" s="22"/>
      <c r="BG409" s="22"/>
      <c r="BH409" s="31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</row>
    <row r="410" spans="1:79" ht="14.25" hidden="1" customHeight="1" outlineLevel="1" x14ac:dyDescent="0.25">
      <c r="A410" s="142"/>
      <c r="B410" s="142"/>
      <c r="C410" s="142"/>
      <c r="D410" s="142"/>
      <c r="E410" s="142"/>
      <c r="F410" s="143"/>
      <c r="G410" s="143"/>
      <c r="H410" s="143"/>
      <c r="I410" s="143"/>
      <c r="J410" s="143"/>
      <c r="K410" s="143"/>
      <c r="L410" s="142"/>
      <c r="M410" s="144"/>
      <c r="N410" s="144"/>
      <c r="O410" s="144"/>
      <c r="P410" s="144"/>
      <c r="Q410" s="144"/>
      <c r="R410" s="144"/>
      <c r="S410" s="145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5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6"/>
      <c r="AR410" s="142"/>
      <c r="AS410" s="142"/>
      <c r="AT410" s="142"/>
      <c r="AU410" s="142"/>
      <c r="AV410" s="142"/>
      <c r="AW410" s="142"/>
      <c r="AX410" s="142"/>
      <c r="AY410" s="142"/>
      <c r="AZ410" s="142"/>
      <c r="BA410" s="142"/>
      <c r="BB410" s="142"/>
      <c r="BC410" s="146"/>
      <c r="BD410" s="146"/>
      <c r="BE410" s="142"/>
      <c r="BF410" s="142"/>
      <c r="BG410" s="142"/>
      <c r="BH410" s="146"/>
      <c r="BI410" s="142"/>
      <c r="BJ410" s="142"/>
      <c r="BK410" s="142"/>
      <c r="BL410" s="142"/>
      <c r="BM410" s="142"/>
      <c r="BN410" s="142"/>
      <c r="BO410" s="142"/>
      <c r="BP410" s="142"/>
      <c r="BQ410" s="142"/>
      <c r="BR410" s="142"/>
      <c r="BS410" s="142"/>
      <c r="BT410" s="142"/>
      <c r="BU410" s="142"/>
      <c r="BV410" s="142"/>
      <c r="BW410" s="142"/>
      <c r="BX410" s="142"/>
      <c r="BY410" s="142"/>
      <c r="BZ410" s="142"/>
      <c r="CA410" s="142"/>
    </row>
    <row r="411" spans="1:79" ht="14.25" hidden="1" customHeight="1" outlineLevel="1" x14ac:dyDescent="0.25">
      <c r="A411" s="142"/>
      <c r="B411" s="142"/>
      <c r="C411" s="142"/>
      <c r="D411" s="142"/>
      <c r="E411" s="142"/>
      <c r="F411" s="148" t="s">
        <v>244</v>
      </c>
      <c r="G411" s="143"/>
      <c r="H411" s="143"/>
      <c r="I411" s="143"/>
      <c r="J411" s="143"/>
      <c r="K411" s="143"/>
      <c r="L411" s="142"/>
      <c r="M411" s="144"/>
      <c r="N411" s="144"/>
      <c r="O411" s="144"/>
      <c r="P411" s="144"/>
      <c r="Q411" s="144"/>
      <c r="R411" s="144"/>
      <c r="S411" s="145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5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6"/>
      <c r="AR411" s="142"/>
      <c r="AS411" s="142"/>
      <c r="AT411" s="142"/>
      <c r="AU411" s="142"/>
      <c r="AV411" s="142"/>
      <c r="AW411" s="142"/>
      <c r="AX411" s="142"/>
      <c r="AY411" s="142"/>
      <c r="AZ411" s="142"/>
      <c r="BA411" s="142"/>
      <c r="BB411" s="142"/>
      <c r="BC411" s="146"/>
      <c r="BD411" s="146"/>
      <c r="BE411" s="142"/>
      <c r="BF411" s="142"/>
      <c r="BG411" s="142"/>
      <c r="BH411" s="146"/>
      <c r="BI411" s="142"/>
      <c r="BJ411" s="142"/>
      <c r="BK411" s="142"/>
      <c r="BL411" s="142"/>
      <c r="BM411" s="142"/>
      <c r="BN411" s="142"/>
      <c r="BO411" s="142"/>
      <c r="BP411" s="142"/>
      <c r="BQ411" s="142"/>
      <c r="BR411" s="142"/>
      <c r="BS411" s="142"/>
      <c r="BT411" s="142"/>
      <c r="BU411" s="142"/>
      <c r="BV411" s="142"/>
      <c r="BW411" s="142"/>
      <c r="BX411" s="142"/>
      <c r="BY411" s="142"/>
      <c r="BZ411" s="142"/>
      <c r="CA411" s="142"/>
    </row>
    <row r="412" spans="1:79" ht="14.25" hidden="1" customHeight="1" outlineLevel="1" x14ac:dyDescent="0.25">
      <c r="A412" s="142"/>
      <c r="B412" s="142"/>
      <c r="C412" s="142"/>
      <c r="D412" s="142"/>
      <c r="E412" s="142"/>
      <c r="F412" s="143" t="s">
        <v>245</v>
      </c>
      <c r="G412" s="143"/>
      <c r="H412" s="143"/>
      <c r="I412" s="143"/>
      <c r="J412" s="143"/>
      <c r="K412" s="143"/>
      <c r="L412" s="142"/>
      <c r="M412" s="142"/>
      <c r="N412" s="144"/>
      <c r="O412" s="144"/>
      <c r="P412" s="144"/>
      <c r="Q412" s="144"/>
      <c r="R412" s="144"/>
      <c r="S412" s="145"/>
      <c r="T412" s="144"/>
      <c r="U412" s="144"/>
      <c r="V412" s="144"/>
      <c r="W412" s="144"/>
      <c r="X412" s="144"/>
      <c r="Y412" s="144">
        <f t="shared" ref="Y412:AP412" si="381">Y408</f>
        <v>834900.00000000012</v>
      </c>
      <c r="Z412" s="144">
        <f t="shared" si="381"/>
        <v>834900.00000000012</v>
      </c>
      <c r="AA412" s="144">
        <f t="shared" si="381"/>
        <v>834900.00000000012</v>
      </c>
      <c r="AB412" s="144">
        <f t="shared" si="381"/>
        <v>1669800.0000000002</v>
      </c>
      <c r="AC412" s="144">
        <f t="shared" si="381"/>
        <v>1669800.0000000002</v>
      </c>
      <c r="AD412" s="144">
        <f t="shared" si="381"/>
        <v>1669800.0000000002</v>
      </c>
      <c r="AE412" s="145">
        <f t="shared" si="381"/>
        <v>2504700.0000000005</v>
      </c>
      <c r="AF412" s="144">
        <f t="shared" si="381"/>
        <v>2504700.0000000005</v>
      </c>
      <c r="AG412" s="144">
        <f t="shared" si="381"/>
        <v>3339600.0000000005</v>
      </c>
      <c r="AH412" s="144">
        <f t="shared" si="381"/>
        <v>3339600.0000000005</v>
      </c>
      <c r="AI412" s="144">
        <f t="shared" si="381"/>
        <v>4174500.0000000005</v>
      </c>
      <c r="AJ412" s="144">
        <f t="shared" si="381"/>
        <v>4174500.0000000005</v>
      </c>
      <c r="AK412" s="144">
        <f t="shared" si="381"/>
        <v>4174500.0000000005</v>
      </c>
      <c r="AL412" s="144">
        <f t="shared" si="381"/>
        <v>7025700</v>
      </c>
      <c r="AM412" s="144">
        <f t="shared" si="381"/>
        <v>7860600</v>
      </c>
      <c r="AN412" s="144">
        <f t="shared" si="381"/>
        <v>7860600</v>
      </c>
      <c r="AO412" s="144">
        <f t="shared" si="381"/>
        <v>7860600</v>
      </c>
      <c r="AP412" s="144">
        <f t="shared" si="381"/>
        <v>10711800</v>
      </c>
      <c r="AQ412" s="146"/>
      <c r="AR412" s="142"/>
      <c r="AS412" s="142"/>
      <c r="AT412" s="142"/>
      <c r="AU412" s="142"/>
      <c r="AV412" s="142"/>
      <c r="AW412" s="142"/>
      <c r="AX412" s="142"/>
      <c r="AY412" s="142"/>
      <c r="AZ412" s="142"/>
      <c r="BA412" s="142"/>
      <c r="BB412" s="142"/>
      <c r="BC412" s="146"/>
      <c r="BD412" s="146"/>
      <c r="BE412" s="142"/>
      <c r="BF412" s="142"/>
      <c r="BG412" s="142"/>
      <c r="BH412" s="146"/>
      <c r="BI412" s="142"/>
      <c r="BJ412" s="142"/>
      <c r="BK412" s="142"/>
      <c r="BL412" s="142"/>
      <c r="BM412" s="142"/>
      <c r="BN412" s="142"/>
      <c r="BO412" s="142"/>
      <c r="BP412" s="142"/>
      <c r="BQ412" s="142"/>
      <c r="BR412" s="142"/>
      <c r="BS412" s="142"/>
      <c r="BT412" s="142"/>
      <c r="BU412" s="142"/>
      <c r="BV412" s="142"/>
      <c r="BW412" s="142"/>
      <c r="BX412" s="142"/>
      <c r="BY412" s="142"/>
      <c r="BZ412" s="142"/>
      <c r="CA412" s="142"/>
    </row>
    <row r="413" spans="1:79" ht="14.25" hidden="1" customHeight="1" outlineLevel="1" x14ac:dyDescent="0.25">
      <c r="A413" s="142"/>
      <c r="B413" s="142"/>
      <c r="C413" s="142"/>
      <c r="D413" s="142"/>
      <c r="E413" s="142"/>
      <c r="F413" s="143" t="s">
        <v>318</v>
      </c>
      <c r="G413" s="143"/>
      <c r="H413" s="143"/>
      <c r="I413" s="143"/>
      <c r="J413" s="143"/>
      <c r="K413" s="143"/>
      <c r="L413" s="142"/>
      <c r="M413" s="223"/>
      <c r="N413" s="223"/>
      <c r="O413" s="223"/>
      <c r="P413" s="223"/>
      <c r="Q413" s="223"/>
      <c r="R413" s="223"/>
      <c r="S413" s="224"/>
      <c r="T413" s="225"/>
      <c r="U413" s="225"/>
      <c r="V413" s="225"/>
      <c r="W413" s="225"/>
      <c r="X413" s="225"/>
      <c r="Y413" s="144">
        <f t="shared" ref="Y413:AP413" si="382">Y409</f>
        <v>726000.00000000012</v>
      </c>
      <c r="Z413" s="144">
        <f t="shared" si="382"/>
        <v>726000.00000000012</v>
      </c>
      <c r="AA413" s="144">
        <f t="shared" si="382"/>
        <v>726000.00000000012</v>
      </c>
      <c r="AB413" s="144">
        <f t="shared" si="382"/>
        <v>1452000.0000000002</v>
      </c>
      <c r="AC413" s="144">
        <f t="shared" si="382"/>
        <v>1452000.0000000002</v>
      </c>
      <c r="AD413" s="144">
        <f t="shared" si="382"/>
        <v>1452000.0000000002</v>
      </c>
      <c r="AE413" s="145">
        <f t="shared" si="382"/>
        <v>2178000.0000000005</v>
      </c>
      <c r="AF413" s="144">
        <f t="shared" si="382"/>
        <v>2178000.0000000005</v>
      </c>
      <c r="AG413" s="144">
        <f t="shared" si="382"/>
        <v>2904000.0000000005</v>
      </c>
      <c r="AH413" s="144">
        <f t="shared" si="382"/>
        <v>2904000.0000000005</v>
      </c>
      <c r="AI413" s="144">
        <f t="shared" si="382"/>
        <v>3630000.0000000005</v>
      </c>
      <c r="AJ413" s="144">
        <f t="shared" si="382"/>
        <v>3630000.0000000005</v>
      </c>
      <c r="AK413" s="144">
        <f t="shared" si="382"/>
        <v>3630000.0000000005</v>
      </c>
      <c r="AL413" s="144">
        <f t="shared" si="382"/>
        <v>6006000</v>
      </c>
      <c r="AM413" s="144">
        <f t="shared" si="382"/>
        <v>6732000</v>
      </c>
      <c r="AN413" s="144">
        <f t="shared" si="382"/>
        <v>6732000</v>
      </c>
      <c r="AO413" s="144">
        <f t="shared" si="382"/>
        <v>6732000</v>
      </c>
      <c r="AP413" s="144">
        <f t="shared" si="382"/>
        <v>9108000</v>
      </c>
      <c r="AQ413" s="146"/>
      <c r="AR413" s="142"/>
      <c r="AS413" s="142"/>
      <c r="AT413" s="142"/>
      <c r="AU413" s="142"/>
      <c r="AV413" s="142"/>
      <c r="AW413" s="142"/>
      <c r="AX413" s="142"/>
      <c r="AY413" s="142"/>
      <c r="AZ413" s="142"/>
      <c r="BA413" s="142"/>
      <c r="BB413" s="142"/>
      <c r="BC413" s="146"/>
      <c r="BD413" s="146"/>
      <c r="BE413" s="142"/>
      <c r="BF413" s="142"/>
      <c r="BG413" s="142"/>
      <c r="BH413" s="146"/>
      <c r="BI413" s="142"/>
      <c r="BJ413" s="142"/>
      <c r="BK413" s="142"/>
      <c r="BL413" s="142"/>
      <c r="BM413" s="142"/>
      <c r="BN413" s="142"/>
      <c r="BO413" s="142"/>
      <c r="BP413" s="142"/>
      <c r="BQ413" s="142"/>
      <c r="BR413" s="142"/>
      <c r="BS413" s="142"/>
      <c r="BT413" s="142"/>
      <c r="BU413" s="142"/>
      <c r="BV413" s="142"/>
      <c r="BW413" s="142"/>
      <c r="BX413" s="142"/>
      <c r="BY413" s="142"/>
      <c r="BZ413" s="142"/>
      <c r="CA413" s="142"/>
    </row>
    <row r="414" spans="1:79" ht="14.25" hidden="1" customHeight="1" outlineLevel="1" x14ac:dyDescent="0.25">
      <c r="A414" s="46"/>
      <c r="B414" s="46"/>
      <c r="C414" s="46"/>
      <c r="D414" s="46"/>
      <c r="E414" s="46"/>
      <c r="F414" s="139"/>
      <c r="G414" s="139"/>
      <c r="H414" s="139"/>
      <c r="I414" s="139"/>
      <c r="J414" s="139"/>
      <c r="K414" s="139"/>
      <c r="L414" s="46"/>
      <c r="M414" s="46"/>
      <c r="N414" s="140"/>
      <c r="O414" s="140"/>
      <c r="P414" s="140"/>
      <c r="Q414" s="140"/>
      <c r="R414" s="140"/>
      <c r="S414" s="141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1"/>
      <c r="AF414" s="140"/>
      <c r="AG414" s="140"/>
      <c r="AH414" s="140"/>
      <c r="AI414" s="140"/>
      <c r="AJ414" s="140"/>
      <c r="AK414" s="140"/>
      <c r="AL414" s="140"/>
      <c r="AM414" s="140"/>
      <c r="AN414" s="140"/>
      <c r="AO414" s="140"/>
      <c r="AP414" s="140"/>
      <c r="AQ414" s="29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29"/>
      <c r="BD414" s="29"/>
      <c r="BE414" s="46"/>
      <c r="BF414" s="46"/>
      <c r="BG414" s="46"/>
      <c r="BH414" s="29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</row>
    <row r="415" spans="1:79" ht="14.25" hidden="1" customHeight="1" outlineLevel="1" x14ac:dyDescent="0.25">
      <c r="A415" s="43"/>
      <c r="B415" s="43"/>
      <c r="C415" s="43"/>
      <c r="D415" s="43"/>
      <c r="E415" s="43"/>
      <c r="F415" s="222"/>
      <c r="G415" s="166"/>
      <c r="H415" s="166"/>
      <c r="I415" s="166"/>
      <c r="J415" s="166"/>
      <c r="K415" s="166"/>
      <c r="L415" s="43"/>
      <c r="M415" s="43"/>
      <c r="N415" s="43"/>
      <c r="O415" s="43"/>
      <c r="P415" s="43"/>
      <c r="Q415" s="43"/>
      <c r="R415" s="43"/>
      <c r="S415" s="168"/>
      <c r="T415" s="167"/>
      <c r="U415" s="167"/>
      <c r="V415" s="167"/>
      <c r="W415" s="167"/>
      <c r="X415" s="167"/>
      <c r="Y415" s="167"/>
      <c r="Z415" s="167"/>
      <c r="AA415" s="167"/>
      <c r="AB415" s="167"/>
      <c r="AC415" s="167"/>
      <c r="AD415" s="167"/>
      <c r="AE415" s="168"/>
      <c r="AF415" s="167"/>
      <c r="AG415" s="167"/>
      <c r="AH415" s="167"/>
      <c r="AI415" s="167"/>
      <c r="AJ415" s="167"/>
      <c r="AK415" s="167"/>
      <c r="AL415" s="167"/>
      <c r="AM415" s="167"/>
      <c r="AN415" s="167"/>
      <c r="AO415" s="167"/>
      <c r="AP415" s="167"/>
      <c r="AQ415" s="45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5"/>
      <c r="BD415" s="45"/>
      <c r="BE415" s="43"/>
      <c r="BF415" s="43"/>
      <c r="BG415" s="43"/>
      <c r="BH415" s="45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</row>
    <row r="416" spans="1:79" ht="14.25" hidden="1" customHeight="1" outlineLevel="1" x14ac:dyDescent="0.25">
      <c r="A416" s="226"/>
      <c r="B416" s="22" t="s">
        <v>364</v>
      </c>
      <c r="C416" s="212">
        <v>30</v>
      </c>
      <c r="D416" s="22" t="s">
        <v>237</v>
      </c>
      <c r="E416" s="226"/>
      <c r="F416" s="80"/>
      <c r="G416" s="227"/>
      <c r="H416" s="227"/>
      <c r="I416" s="227"/>
      <c r="J416" s="227"/>
      <c r="K416" s="227"/>
      <c r="L416" s="226"/>
      <c r="M416" s="226"/>
      <c r="N416" s="226"/>
      <c r="O416" s="226"/>
      <c r="P416" s="226"/>
      <c r="Q416" s="226"/>
      <c r="R416" s="226"/>
      <c r="S416" s="228"/>
      <c r="T416" s="229"/>
      <c r="U416" s="229"/>
      <c r="V416" s="229"/>
      <c r="W416" s="229"/>
      <c r="X416" s="116"/>
      <c r="Y416" s="116">
        <v>0</v>
      </c>
      <c r="Z416" s="116">
        <f t="shared" ref="Z416:AP416" si="383">Y408</f>
        <v>834900.00000000012</v>
      </c>
      <c r="AA416" s="116">
        <f t="shared" si="383"/>
        <v>834900.00000000012</v>
      </c>
      <c r="AB416" s="116">
        <f t="shared" si="383"/>
        <v>834900.00000000012</v>
      </c>
      <c r="AC416" s="116">
        <f t="shared" si="383"/>
        <v>1669800.0000000002</v>
      </c>
      <c r="AD416" s="116">
        <f t="shared" si="383"/>
        <v>1669800.0000000002</v>
      </c>
      <c r="AE416" s="125">
        <f t="shared" si="383"/>
        <v>1669800.0000000002</v>
      </c>
      <c r="AF416" s="116">
        <f t="shared" si="383"/>
        <v>2504700.0000000005</v>
      </c>
      <c r="AG416" s="116">
        <f t="shared" si="383"/>
        <v>2504700.0000000005</v>
      </c>
      <c r="AH416" s="116">
        <f t="shared" si="383"/>
        <v>3339600.0000000005</v>
      </c>
      <c r="AI416" s="116">
        <f t="shared" si="383"/>
        <v>3339600.0000000005</v>
      </c>
      <c r="AJ416" s="116">
        <f t="shared" si="383"/>
        <v>4174500.0000000005</v>
      </c>
      <c r="AK416" s="116">
        <f t="shared" si="383"/>
        <v>4174500.0000000005</v>
      </c>
      <c r="AL416" s="116">
        <f t="shared" si="383"/>
        <v>4174500.0000000005</v>
      </c>
      <c r="AM416" s="116">
        <f t="shared" si="383"/>
        <v>7025700</v>
      </c>
      <c r="AN416" s="116">
        <f t="shared" si="383"/>
        <v>7860600</v>
      </c>
      <c r="AO416" s="116">
        <f t="shared" si="383"/>
        <v>7860600</v>
      </c>
      <c r="AP416" s="116">
        <f t="shared" si="383"/>
        <v>7860600</v>
      </c>
      <c r="AQ416" s="230"/>
      <c r="AR416" s="226"/>
      <c r="AS416" s="226"/>
      <c r="AT416" s="226"/>
      <c r="AU416" s="226"/>
      <c r="AV416" s="226"/>
      <c r="AW416" s="226"/>
      <c r="AX416" s="226"/>
      <c r="AY416" s="226"/>
      <c r="AZ416" s="226"/>
      <c r="BA416" s="226"/>
      <c r="BB416" s="226"/>
      <c r="BC416" s="230"/>
      <c r="BD416" s="230"/>
      <c r="BE416" s="226"/>
      <c r="BF416" s="226"/>
      <c r="BG416" s="226"/>
      <c r="BH416" s="230"/>
      <c r="BI416" s="226"/>
      <c r="BJ416" s="226"/>
      <c r="BK416" s="226"/>
      <c r="BL416" s="226"/>
      <c r="BM416" s="226"/>
      <c r="BN416" s="226"/>
      <c r="BO416" s="226"/>
      <c r="BP416" s="226"/>
      <c r="BQ416" s="226"/>
      <c r="BR416" s="226"/>
      <c r="BS416" s="226"/>
      <c r="BT416" s="226"/>
      <c r="BU416" s="226"/>
      <c r="BV416" s="226"/>
      <c r="BW416" s="226"/>
      <c r="BX416" s="226"/>
      <c r="BY416" s="226"/>
      <c r="BZ416" s="226"/>
      <c r="CA416" s="226"/>
    </row>
    <row r="417" spans="1:79" ht="14.25" hidden="1" customHeight="1" outlineLevel="1" x14ac:dyDescent="0.25">
      <c r="A417" s="22"/>
      <c r="B417" s="22" t="s">
        <v>365</v>
      </c>
      <c r="C417" s="212">
        <v>30</v>
      </c>
      <c r="D417" s="22" t="s">
        <v>237</v>
      </c>
      <c r="E417" s="22"/>
      <c r="F417" s="80"/>
      <c r="G417" s="82"/>
      <c r="H417" s="82"/>
      <c r="I417" s="82"/>
      <c r="J417" s="82"/>
      <c r="K417" s="82"/>
      <c r="L417" s="22"/>
      <c r="M417" s="22"/>
      <c r="N417" s="22"/>
      <c r="O417" s="22"/>
      <c r="P417" s="22"/>
      <c r="Q417" s="22"/>
      <c r="R417" s="22"/>
      <c r="S417" s="158"/>
      <c r="T417" s="157"/>
      <c r="U417" s="157"/>
      <c r="V417" s="157"/>
      <c r="W417" s="157"/>
      <c r="X417" s="157"/>
      <c r="Y417" s="157">
        <v>0</v>
      </c>
      <c r="Z417" s="157">
        <f t="shared" ref="Z417:AP417" si="384">Y409</f>
        <v>726000.00000000012</v>
      </c>
      <c r="AA417" s="157">
        <f t="shared" si="384"/>
        <v>726000.00000000012</v>
      </c>
      <c r="AB417" s="157">
        <f t="shared" si="384"/>
        <v>726000.00000000012</v>
      </c>
      <c r="AC417" s="157">
        <f t="shared" si="384"/>
        <v>1452000.0000000002</v>
      </c>
      <c r="AD417" s="157">
        <f t="shared" si="384"/>
        <v>1452000.0000000002</v>
      </c>
      <c r="AE417" s="158">
        <f t="shared" si="384"/>
        <v>1452000.0000000002</v>
      </c>
      <c r="AF417" s="157">
        <f t="shared" si="384"/>
        <v>2178000.0000000005</v>
      </c>
      <c r="AG417" s="157">
        <f t="shared" si="384"/>
        <v>2178000.0000000005</v>
      </c>
      <c r="AH417" s="157">
        <f t="shared" si="384"/>
        <v>2904000.0000000005</v>
      </c>
      <c r="AI417" s="157">
        <f t="shared" si="384"/>
        <v>2904000.0000000005</v>
      </c>
      <c r="AJ417" s="157">
        <f t="shared" si="384"/>
        <v>3630000.0000000005</v>
      </c>
      <c r="AK417" s="157">
        <f t="shared" si="384"/>
        <v>3630000.0000000005</v>
      </c>
      <c r="AL417" s="157">
        <f t="shared" si="384"/>
        <v>3630000.0000000005</v>
      </c>
      <c r="AM417" s="157">
        <f t="shared" si="384"/>
        <v>6006000</v>
      </c>
      <c r="AN417" s="157">
        <f t="shared" si="384"/>
        <v>6732000</v>
      </c>
      <c r="AO417" s="157">
        <f t="shared" si="384"/>
        <v>6732000</v>
      </c>
      <c r="AP417" s="157">
        <f t="shared" si="384"/>
        <v>6732000</v>
      </c>
      <c r="AQ417" s="31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31"/>
      <c r="BD417" s="31"/>
      <c r="BE417" s="22"/>
      <c r="BF417" s="22"/>
      <c r="BG417" s="22"/>
      <c r="BH417" s="31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</row>
    <row r="418" spans="1:79" ht="14.25" hidden="1" customHeight="1" outlineLevel="1" x14ac:dyDescent="0.25">
      <c r="A418" s="46"/>
      <c r="B418" s="46" t="s">
        <v>366</v>
      </c>
      <c r="C418" s="81"/>
      <c r="D418" s="46"/>
      <c r="E418" s="46"/>
      <c r="F418" s="81"/>
      <c r="G418" s="139"/>
      <c r="H418" s="139"/>
      <c r="I418" s="139"/>
      <c r="J418" s="139"/>
      <c r="K418" s="139"/>
      <c r="L418" s="46"/>
      <c r="M418" s="46"/>
      <c r="N418" s="46"/>
      <c r="O418" s="46"/>
      <c r="P418" s="46"/>
      <c r="Q418" s="46"/>
      <c r="R418" s="46"/>
      <c r="S418" s="141"/>
      <c r="T418" s="140"/>
      <c r="U418" s="140"/>
      <c r="V418" s="140"/>
      <c r="W418" s="140"/>
      <c r="X418" s="140"/>
      <c r="Y418" s="140"/>
      <c r="Z418" s="140">
        <f t="shared" ref="Z418:AP418" si="385">Z416-Z417</f>
        <v>108900</v>
      </c>
      <c r="AA418" s="140">
        <f t="shared" si="385"/>
        <v>108900</v>
      </c>
      <c r="AB418" s="140">
        <f t="shared" si="385"/>
        <v>108900</v>
      </c>
      <c r="AC418" s="140">
        <f t="shared" si="385"/>
        <v>217800</v>
      </c>
      <c r="AD418" s="140">
        <f t="shared" si="385"/>
        <v>217800</v>
      </c>
      <c r="AE418" s="141">
        <f t="shared" si="385"/>
        <v>217800</v>
      </c>
      <c r="AF418" s="140">
        <f t="shared" si="385"/>
        <v>326700</v>
      </c>
      <c r="AG418" s="140">
        <f t="shared" si="385"/>
        <v>326700</v>
      </c>
      <c r="AH418" s="140">
        <f t="shared" si="385"/>
        <v>435600</v>
      </c>
      <c r="AI418" s="140">
        <f t="shared" si="385"/>
        <v>435600</v>
      </c>
      <c r="AJ418" s="140">
        <f t="shared" si="385"/>
        <v>544500</v>
      </c>
      <c r="AK418" s="140">
        <f t="shared" si="385"/>
        <v>544500</v>
      </c>
      <c r="AL418" s="140">
        <f t="shared" si="385"/>
        <v>544500</v>
      </c>
      <c r="AM418" s="140">
        <f t="shared" si="385"/>
        <v>1019700</v>
      </c>
      <c r="AN418" s="140">
        <f t="shared" si="385"/>
        <v>1128600</v>
      </c>
      <c r="AO418" s="140">
        <f t="shared" si="385"/>
        <v>1128600</v>
      </c>
      <c r="AP418" s="140">
        <f t="shared" si="385"/>
        <v>1128600</v>
      </c>
      <c r="AQ418" s="29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29"/>
      <c r="BD418" s="29"/>
      <c r="BE418" s="46"/>
      <c r="BF418" s="46"/>
      <c r="BG418" s="46"/>
      <c r="BH418" s="29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</row>
    <row r="419" spans="1:79" ht="14.25" hidden="1" customHeight="1" outlineLevel="1" x14ac:dyDescent="0.25">
      <c r="A419" s="22"/>
      <c r="B419" s="22"/>
      <c r="C419" s="11"/>
      <c r="D419" s="11"/>
      <c r="E419" s="22"/>
      <c r="F419" s="80"/>
      <c r="G419" s="82"/>
      <c r="H419" s="82"/>
      <c r="I419" s="82"/>
      <c r="J419" s="82"/>
      <c r="K419" s="82"/>
      <c r="L419" s="177"/>
      <c r="M419" s="116"/>
      <c r="N419" s="116"/>
      <c r="O419" s="116"/>
      <c r="P419" s="116"/>
      <c r="Q419" s="116"/>
      <c r="R419" s="116"/>
      <c r="S419" s="125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25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31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31"/>
      <c r="BD419" s="31"/>
      <c r="BE419" s="22"/>
      <c r="BF419" s="22"/>
      <c r="BG419" s="22"/>
      <c r="BH419" s="31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</row>
    <row r="420" spans="1:79" ht="14.25" customHeight="1" collapsed="1" x14ac:dyDescent="0.25">
      <c r="A420" s="22"/>
      <c r="B420" s="22"/>
      <c r="C420" s="11"/>
      <c r="D420" s="11"/>
      <c r="E420" s="22"/>
      <c r="F420" s="80"/>
      <c r="G420" s="82"/>
      <c r="H420" s="82"/>
      <c r="I420" s="82"/>
      <c r="J420" s="82"/>
      <c r="K420" s="82"/>
      <c r="L420" s="82"/>
      <c r="M420" s="116"/>
      <c r="N420" s="116"/>
      <c r="O420" s="116"/>
      <c r="P420" s="116"/>
      <c r="Q420" s="116"/>
      <c r="R420" s="116"/>
      <c r="S420" s="125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25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31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31"/>
      <c r="BD420" s="31"/>
      <c r="BE420" s="22"/>
      <c r="BF420" s="22"/>
      <c r="BG420" s="22"/>
      <c r="BH420" s="31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</row>
    <row r="421" spans="1:79" ht="14.25" customHeight="1" x14ac:dyDescent="0.25">
      <c r="A421" s="126"/>
      <c r="B421" s="30" t="s">
        <v>20</v>
      </c>
      <c r="C421" s="126"/>
      <c r="D421" s="126"/>
      <c r="E421" s="126"/>
      <c r="F421" s="231"/>
      <c r="G421" s="232"/>
      <c r="H421" s="232"/>
      <c r="I421" s="232"/>
      <c r="J421" s="232"/>
      <c r="K421" s="232"/>
      <c r="L421" s="126"/>
      <c r="M421" s="126"/>
      <c r="N421" s="126"/>
      <c r="O421" s="126"/>
      <c r="P421" s="126"/>
      <c r="Q421" s="126"/>
      <c r="R421" s="126"/>
      <c r="S421" s="127">
        <f t="shared" ref="S421:AP421" si="386">S438</f>
        <v>0</v>
      </c>
      <c r="T421" s="126">
        <f t="shared" si="386"/>
        <v>0</v>
      </c>
      <c r="U421" s="126">
        <f t="shared" si="386"/>
        <v>0</v>
      </c>
      <c r="V421" s="126">
        <f t="shared" si="386"/>
        <v>0</v>
      </c>
      <c r="W421" s="126">
        <f t="shared" si="386"/>
        <v>0</v>
      </c>
      <c r="X421" s="126">
        <f t="shared" si="386"/>
        <v>0</v>
      </c>
      <c r="Y421" s="126">
        <f t="shared" si="386"/>
        <v>0</v>
      </c>
      <c r="Z421" s="126">
        <f t="shared" si="386"/>
        <v>0</v>
      </c>
      <c r="AA421" s="126">
        <f t="shared" si="386"/>
        <v>0</v>
      </c>
      <c r="AB421" s="126">
        <f t="shared" si="386"/>
        <v>0</v>
      </c>
      <c r="AC421" s="126">
        <f t="shared" si="386"/>
        <v>0</v>
      </c>
      <c r="AD421" s="126">
        <f t="shared" si="386"/>
        <v>0</v>
      </c>
      <c r="AE421" s="127">
        <f t="shared" si="386"/>
        <v>0</v>
      </c>
      <c r="AF421" s="126">
        <f t="shared" si="386"/>
        <v>0</v>
      </c>
      <c r="AG421" s="126">
        <f t="shared" si="386"/>
        <v>0</v>
      </c>
      <c r="AH421" s="126">
        <f t="shared" si="386"/>
        <v>0</v>
      </c>
      <c r="AI421" s="126">
        <f t="shared" si="386"/>
        <v>0</v>
      </c>
      <c r="AJ421" s="126">
        <f t="shared" si="386"/>
        <v>0</v>
      </c>
      <c r="AK421" s="126">
        <f t="shared" si="386"/>
        <v>0</v>
      </c>
      <c r="AL421" s="126">
        <f t="shared" si="386"/>
        <v>0</v>
      </c>
      <c r="AM421" s="126">
        <f t="shared" si="386"/>
        <v>0</v>
      </c>
      <c r="AN421" s="126">
        <f t="shared" si="386"/>
        <v>0</v>
      </c>
      <c r="AO421" s="126">
        <f t="shared" si="386"/>
        <v>0</v>
      </c>
      <c r="AP421" s="126">
        <f t="shared" si="386"/>
        <v>0</v>
      </c>
      <c r="AQ421" s="127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7"/>
      <c r="BD421" s="127"/>
      <c r="BE421" s="126"/>
      <c r="BF421" s="126"/>
      <c r="BG421" s="126"/>
      <c r="BH421" s="127"/>
      <c r="BI421" s="126"/>
      <c r="BJ421" s="126"/>
      <c r="BK421" s="126"/>
      <c r="BL421" s="126"/>
      <c r="BM421" s="126"/>
      <c r="BN421" s="126"/>
      <c r="BO421" s="126"/>
      <c r="BP421" s="126"/>
      <c r="BQ421" s="126"/>
      <c r="BR421" s="126"/>
      <c r="BS421" s="126"/>
      <c r="BT421" s="126"/>
      <c r="BU421" s="126"/>
      <c r="BV421" s="126"/>
      <c r="BW421" s="126"/>
      <c r="BX421" s="126"/>
      <c r="BY421" s="126"/>
      <c r="BZ421" s="126"/>
      <c r="CA421" s="126"/>
    </row>
    <row r="422" spans="1:79" ht="14.25" hidden="1" customHeight="1" outlineLevel="1" x14ac:dyDescent="0.25">
      <c r="A422" s="22"/>
      <c r="B422" s="22"/>
      <c r="C422" s="22"/>
      <c r="D422" s="22"/>
      <c r="E422" s="22"/>
      <c r="F422" s="80"/>
      <c r="G422" s="82"/>
      <c r="H422" s="82"/>
      <c r="I422" s="82"/>
      <c r="J422" s="82"/>
      <c r="K422" s="82"/>
      <c r="L422" s="22"/>
      <c r="M422" s="22"/>
      <c r="N422" s="22"/>
      <c r="O422" s="22"/>
      <c r="P422" s="22"/>
      <c r="Q422" s="22"/>
      <c r="R422" s="22"/>
      <c r="S422" s="31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31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31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31"/>
      <c r="BD422" s="31"/>
      <c r="BE422" s="22"/>
      <c r="BF422" s="22"/>
      <c r="BG422" s="22"/>
      <c r="BH422" s="31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</row>
    <row r="423" spans="1:79" ht="14.25" hidden="1" customHeight="1" outlineLevel="1" x14ac:dyDescent="0.25">
      <c r="A423" s="22"/>
      <c r="B423" s="22"/>
      <c r="C423" s="80">
        <v>2027</v>
      </c>
      <c r="D423" s="80">
        <v>2028</v>
      </c>
      <c r="E423" s="22"/>
      <c r="F423" s="80"/>
      <c r="G423" s="82"/>
      <c r="H423" s="82"/>
      <c r="I423" s="82"/>
      <c r="J423" s="82"/>
      <c r="K423" s="82"/>
      <c r="L423" s="22"/>
      <c r="M423" s="22"/>
      <c r="N423" s="22"/>
      <c r="O423" s="22"/>
      <c r="P423" s="22"/>
      <c r="Q423" s="22"/>
      <c r="R423" s="22"/>
      <c r="S423" s="31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31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31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31"/>
      <c r="BD423" s="31"/>
      <c r="BE423" s="22"/>
      <c r="BF423" s="22"/>
      <c r="BG423" s="22"/>
      <c r="BH423" s="31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</row>
    <row r="424" spans="1:79" ht="14.25" hidden="1" customHeight="1" outlineLevel="1" x14ac:dyDescent="0.25">
      <c r="A424" s="22"/>
      <c r="B424" s="22" t="s">
        <v>367</v>
      </c>
      <c r="C424" s="212">
        <v>2</v>
      </c>
      <c r="D424" s="212">
        <v>2</v>
      </c>
      <c r="E424" s="22"/>
      <c r="F424" s="80" t="s">
        <v>368</v>
      </c>
      <c r="G424" s="82"/>
      <c r="H424" s="82"/>
      <c r="I424" s="82"/>
      <c r="J424" s="82"/>
      <c r="K424" s="82"/>
      <c r="L424" s="22"/>
      <c r="M424" s="22"/>
      <c r="N424" s="22"/>
      <c r="O424" s="22"/>
      <c r="P424" s="22"/>
      <c r="Q424" s="22"/>
      <c r="R424" s="22"/>
      <c r="S424" s="31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31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31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31"/>
      <c r="BD424" s="31"/>
      <c r="BE424" s="22"/>
      <c r="BF424" s="22"/>
      <c r="BG424" s="22"/>
      <c r="BH424" s="31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</row>
    <row r="425" spans="1:79" ht="14.25" hidden="1" customHeight="1" outlineLevel="1" x14ac:dyDescent="0.25">
      <c r="A425" s="43"/>
      <c r="B425" s="43" t="s">
        <v>369</v>
      </c>
      <c r="C425" s="43"/>
      <c r="D425" s="43"/>
      <c r="E425" s="43"/>
      <c r="F425" s="222" t="s">
        <v>370</v>
      </c>
      <c r="G425" s="166"/>
      <c r="H425" s="166"/>
      <c r="I425" s="166"/>
      <c r="J425" s="166"/>
      <c r="K425" s="166"/>
      <c r="L425" s="43"/>
      <c r="M425" s="43"/>
      <c r="N425" s="43"/>
      <c r="O425" s="43"/>
      <c r="P425" s="43"/>
      <c r="Q425" s="43"/>
      <c r="R425" s="43"/>
      <c r="S425" s="45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5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5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5"/>
      <c r="BD425" s="45"/>
      <c r="BE425" s="43"/>
      <c r="BF425" s="43"/>
      <c r="BG425" s="43"/>
      <c r="BH425" s="45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</row>
    <row r="426" spans="1:79" ht="14.25" hidden="1" customHeight="1" outlineLevel="1" x14ac:dyDescent="0.25">
      <c r="A426" s="22"/>
      <c r="B426" s="22" t="s">
        <v>371</v>
      </c>
      <c r="C426" s="233"/>
      <c r="D426" s="234">
        <v>0.9</v>
      </c>
      <c r="E426" s="22"/>
      <c r="F426" s="80" t="s">
        <v>372</v>
      </c>
      <c r="G426" s="82"/>
      <c r="H426" s="82"/>
      <c r="I426" s="82"/>
      <c r="J426" s="82"/>
      <c r="K426" s="82"/>
      <c r="L426" s="22"/>
      <c r="M426" s="22"/>
      <c r="N426" s="22"/>
      <c r="O426" s="22"/>
      <c r="P426" s="22"/>
      <c r="Q426" s="22"/>
      <c r="R426" s="22"/>
      <c r="S426" s="31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31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31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31"/>
      <c r="BD426" s="31"/>
      <c r="BE426" s="22"/>
      <c r="BF426" s="22"/>
      <c r="BG426" s="22"/>
      <c r="BH426" s="31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</row>
    <row r="427" spans="1:79" ht="14.25" hidden="1" customHeight="1" outlineLevel="1" x14ac:dyDescent="0.25">
      <c r="A427" s="22"/>
      <c r="B427" s="22"/>
      <c r="C427" s="22"/>
      <c r="D427" s="22"/>
      <c r="E427" s="22"/>
      <c r="F427" s="80"/>
      <c r="G427" s="82"/>
      <c r="H427" s="82"/>
      <c r="I427" s="82"/>
      <c r="J427" s="82"/>
      <c r="K427" s="82"/>
      <c r="L427" s="22"/>
      <c r="M427" s="22"/>
      <c r="N427" s="22"/>
      <c r="O427" s="22"/>
      <c r="P427" s="22"/>
      <c r="Q427" s="22"/>
      <c r="R427" s="22"/>
      <c r="S427" s="31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31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31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31"/>
      <c r="BD427" s="31"/>
      <c r="BE427" s="22"/>
      <c r="BF427" s="22"/>
      <c r="BG427" s="22"/>
      <c r="BH427" s="31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</row>
    <row r="428" spans="1:79" ht="14.25" hidden="1" customHeight="1" outlineLevel="1" x14ac:dyDescent="0.25">
      <c r="A428" s="46"/>
      <c r="B428" s="235" t="s">
        <v>373</v>
      </c>
      <c r="C428" s="236"/>
      <c r="D428" s="30"/>
      <c r="E428" s="30"/>
      <c r="F428" s="138" t="s">
        <v>374</v>
      </c>
      <c r="G428" s="138"/>
      <c r="H428" s="138"/>
      <c r="I428" s="138"/>
      <c r="J428" s="138"/>
      <c r="K428" s="138"/>
      <c r="L428" s="30"/>
      <c r="M428" s="30"/>
      <c r="N428" s="30"/>
      <c r="O428" s="30"/>
      <c r="P428" s="30"/>
      <c r="Q428" s="30"/>
      <c r="R428" s="30"/>
      <c r="S428" s="111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111"/>
      <c r="AF428" s="30"/>
      <c r="AG428" s="30"/>
      <c r="AH428" s="30"/>
      <c r="AI428" s="30"/>
      <c r="AJ428" s="30">
        <f t="shared" ref="AJ428:AP428" si="387">SUM(AJ429:AJ431)</f>
        <v>0</v>
      </c>
      <c r="AK428" s="30">
        <f t="shared" si="387"/>
        <v>0</v>
      </c>
      <c r="AL428" s="30">
        <f t="shared" si="387"/>
        <v>0</v>
      </c>
      <c r="AM428" s="30">
        <f t="shared" si="387"/>
        <v>0</v>
      </c>
      <c r="AN428" s="30">
        <f t="shared" si="387"/>
        <v>0</v>
      </c>
      <c r="AO428" s="30">
        <f t="shared" si="387"/>
        <v>0</v>
      </c>
      <c r="AP428" s="30">
        <f t="shared" si="387"/>
        <v>0</v>
      </c>
      <c r="AQ428" s="29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29"/>
      <c r="BD428" s="29"/>
      <c r="BE428" s="46"/>
      <c r="BF428" s="46"/>
      <c r="BG428" s="46"/>
      <c r="BH428" s="29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</row>
    <row r="429" spans="1:79" ht="14.25" hidden="1" customHeight="1" outlineLevel="1" x14ac:dyDescent="0.25">
      <c r="A429" s="22"/>
      <c r="B429" s="22" t="s">
        <v>375</v>
      </c>
      <c r="C429" s="234">
        <v>0.55000000000000004</v>
      </c>
      <c r="D429" s="22"/>
      <c r="E429" s="22"/>
      <c r="F429" s="82" t="s">
        <v>376</v>
      </c>
      <c r="G429" s="82"/>
      <c r="H429" s="82"/>
      <c r="I429" s="82"/>
      <c r="J429" s="82"/>
      <c r="K429" s="82"/>
      <c r="L429" s="22"/>
      <c r="M429" s="22"/>
      <c r="N429" s="22"/>
      <c r="O429" s="22"/>
      <c r="P429" s="22"/>
      <c r="Q429" s="22"/>
      <c r="R429" s="22"/>
      <c r="S429" s="31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31"/>
      <c r="AF429" s="22"/>
      <c r="AG429" s="22"/>
      <c r="AH429" s="22"/>
      <c r="AI429" s="22"/>
      <c r="AJ429" s="22">
        <f t="shared" ref="AJ429:AP429" si="388">ROUND($C429*AJ$425,0)</f>
        <v>0</v>
      </c>
      <c r="AK429" s="22">
        <f t="shared" si="388"/>
        <v>0</v>
      </c>
      <c r="AL429" s="22">
        <f t="shared" si="388"/>
        <v>0</v>
      </c>
      <c r="AM429" s="22">
        <f t="shared" si="388"/>
        <v>0</v>
      </c>
      <c r="AN429" s="22">
        <f t="shared" si="388"/>
        <v>0</v>
      </c>
      <c r="AO429" s="22">
        <f t="shared" si="388"/>
        <v>0</v>
      </c>
      <c r="AP429" s="22">
        <f t="shared" si="388"/>
        <v>0</v>
      </c>
      <c r="AQ429" s="31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31"/>
      <c r="BD429" s="31"/>
      <c r="BE429" s="22"/>
      <c r="BF429" s="22"/>
      <c r="BG429" s="22"/>
      <c r="BH429" s="31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</row>
    <row r="430" spans="1:79" ht="14.25" hidden="1" customHeight="1" outlineLevel="1" x14ac:dyDescent="0.25">
      <c r="A430" s="22"/>
      <c r="B430" s="22" t="s">
        <v>377</v>
      </c>
      <c r="C430" s="234">
        <v>0.3</v>
      </c>
      <c r="D430" s="22"/>
      <c r="E430" s="22"/>
      <c r="F430" s="82" t="s">
        <v>378</v>
      </c>
      <c r="G430" s="82"/>
      <c r="H430" s="82"/>
      <c r="I430" s="82"/>
      <c r="J430" s="82"/>
      <c r="K430" s="82"/>
      <c r="L430" s="22"/>
      <c r="M430" s="22"/>
      <c r="N430" s="22"/>
      <c r="O430" s="22"/>
      <c r="P430" s="22"/>
      <c r="Q430" s="22"/>
      <c r="R430" s="22"/>
      <c r="S430" s="31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31"/>
      <c r="AF430" s="22"/>
      <c r="AG430" s="22"/>
      <c r="AH430" s="22"/>
      <c r="AI430" s="22"/>
      <c r="AJ430" s="22">
        <f t="shared" ref="AJ430:AP430" si="389">ROUND($C430*AJ$425,0)</f>
        <v>0</v>
      </c>
      <c r="AK430" s="22">
        <f t="shared" si="389"/>
        <v>0</v>
      </c>
      <c r="AL430" s="22">
        <f t="shared" si="389"/>
        <v>0</v>
      </c>
      <c r="AM430" s="22">
        <f t="shared" si="389"/>
        <v>0</v>
      </c>
      <c r="AN430" s="22">
        <f t="shared" si="389"/>
        <v>0</v>
      </c>
      <c r="AO430" s="22">
        <f t="shared" si="389"/>
        <v>0</v>
      </c>
      <c r="AP430" s="22">
        <f t="shared" si="389"/>
        <v>0</v>
      </c>
      <c r="AQ430" s="31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31"/>
      <c r="BD430" s="31"/>
      <c r="BE430" s="22"/>
      <c r="BF430" s="22"/>
      <c r="BG430" s="22"/>
      <c r="BH430" s="31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</row>
    <row r="431" spans="1:79" ht="14.25" hidden="1" customHeight="1" outlineLevel="1" x14ac:dyDescent="0.25">
      <c r="A431" s="22"/>
      <c r="B431" s="22" t="s">
        <v>379</v>
      </c>
      <c r="C431" s="234">
        <v>0.15</v>
      </c>
      <c r="D431" s="22"/>
      <c r="E431" s="22"/>
      <c r="F431" s="82" t="s">
        <v>380</v>
      </c>
      <c r="G431" s="82"/>
      <c r="H431" s="82"/>
      <c r="I431" s="82"/>
      <c r="J431" s="82"/>
      <c r="K431" s="82"/>
      <c r="L431" s="22"/>
      <c r="M431" s="22"/>
      <c r="N431" s="22"/>
      <c r="O431" s="22"/>
      <c r="P431" s="22"/>
      <c r="Q431" s="22"/>
      <c r="R431" s="22"/>
      <c r="S431" s="31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31"/>
      <c r="AF431" s="22"/>
      <c r="AG431" s="22"/>
      <c r="AH431" s="22"/>
      <c r="AI431" s="22"/>
      <c r="AJ431" s="22">
        <f t="shared" ref="AJ431:AP431" si="390">ROUND($C431*AJ$425,0)</f>
        <v>0</v>
      </c>
      <c r="AK431" s="22">
        <f t="shared" si="390"/>
        <v>0</v>
      </c>
      <c r="AL431" s="22">
        <f t="shared" si="390"/>
        <v>0</v>
      </c>
      <c r="AM431" s="22">
        <f t="shared" si="390"/>
        <v>0</v>
      </c>
      <c r="AN431" s="22">
        <f t="shared" si="390"/>
        <v>0</v>
      </c>
      <c r="AO431" s="22">
        <f t="shared" si="390"/>
        <v>0</v>
      </c>
      <c r="AP431" s="22">
        <f t="shared" si="390"/>
        <v>0</v>
      </c>
      <c r="AQ431" s="31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31"/>
      <c r="BD431" s="31"/>
      <c r="BE431" s="22"/>
      <c r="BF431" s="22"/>
      <c r="BG431" s="22"/>
      <c r="BH431" s="31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</row>
    <row r="432" spans="1:79" ht="14.25" hidden="1" customHeight="1" outlineLevel="1" x14ac:dyDescent="0.25">
      <c r="A432" s="22"/>
      <c r="B432" s="22"/>
      <c r="C432" s="22"/>
      <c r="D432" s="22"/>
      <c r="E432" s="22"/>
      <c r="F432" s="82"/>
      <c r="G432" s="82"/>
      <c r="H432" s="82"/>
      <c r="I432" s="82"/>
      <c r="J432" s="82"/>
      <c r="K432" s="82"/>
      <c r="L432" s="22"/>
      <c r="M432" s="22"/>
      <c r="N432" s="22"/>
      <c r="O432" s="22"/>
      <c r="P432" s="22"/>
      <c r="Q432" s="22"/>
      <c r="R432" s="22"/>
      <c r="S432" s="31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31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31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31"/>
      <c r="BD432" s="31"/>
      <c r="BE432" s="22"/>
      <c r="BF432" s="22"/>
      <c r="BG432" s="22"/>
      <c r="BH432" s="31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</row>
    <row r="433" spans="1:79" ht="14.25" hidden="1" customHeight="1" outlineLevel="1" x14ac:dyDescent="0.25">
      <c r="A433" s="46"/>
      <c r="B433" s="46" t="s">
        <v>381</v>
      </c>
      <c r="C433" s="237">
        <v>500</v>
      </c>
      <c r="D433" s="237">
        <v>700</v>
      </c>
      <c r="E433" s="46"/>
      <c r="F433" s="139" t="s">
        <v>382</v>
      </c>
      <c r="G433" s="139"/>
      <c r="H433" s="139"/>
      <c r="I433" s="139"/>
      <c r="J433" s="139"/>
      <c r="K433" s="139"/>
      <c r="L433" s="46"/>
      <c r="M433" s="46"/>
      <c r="N433" s="46"/>
      <c r="O433" s="46"/>
      <c r="P433" s="46"/>
      <c r="Q433" s="46"/>
      <c r="R433" s="46"/>
      <c r="S433" s="10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9"/>
      <c r="AG433" s="9"/>
      <c r="AH433" s="9"/>
      <c r="AI433" s="9"/>
      <c r="AJ433" s="9">
        <f t="shared" ref="AJ433:AP433" si="391">SUM(AJ434:AJ436)</f>
        <v>0</v>
      </c>
      <c r="AK433" s="9">
        <f t="shared" si="391"/>
        <v>0</v>
      </c>
      <c r="AL433" s="9">
        <f t="shared" si="391"/>
        <v>0</v>
      </c>
      <c r="AM433" s="9">
        <f t="shared" si="391"/>
        <v>0</v>
      </c>
      <c r="AN433" s="9">
        <f t="shared" si="391"/>
        <v>0</v>
      </c>
      <c r="AO433" s="9">
        <f t="shared" si="391"/>
        <v>0</v>
      </c>
      <c r="AP433" s="9">
        <f t="shared" si="391"/>
        <v>0</v>
      </c>
      <c r="AQ433" s="29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29"/>
      <c r="BD433" s="29"/>
      <c r="BE433" s="46"/>
      <c r="BF433" s="46"/>
      <c r="BG433" s="46"/>
      <c r="BH433" s="29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</row>
    <row r="434" spans="1:79" ht="14.25" hidden="1" customHeight="1" outlineLevel="1" x14ac:dyDescent="0.25">
      <c r="A434" s="22"/>
      <c r="B434" s="22" t="s">
        <v>375</v>
      </c>
      <c r="C434" s="22"/>
      <c r="D434" s="22"/>
      <c r="E434" s="22"/>
      <c r="F434" s="82" t="s">
        <v>376</v>
      </c>
      <c r="G434" s="82"/>
      <c r="H434" s="82"/>
      <c r="I434" s="82"/>
      <c r="J434" s="82"/>
      <c r="K434" s="82"/>
      <c r="L434" s="22"/>
      <c r="M434" s="22"/>
      <c r="N434" s="22"/>
      <c r="O434" s="22"/>
      <c r="P434" s="22"/>
      <c r="Q434" s="22"/>
      <c r="R434" s="22"/>
      <c r="S434" s="50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50"/>
      <c r="AF434" s="11"/>
      <c r="AG434" s="11"/>
      <c r="AH434" s="11"/>
      <c r="AI434" s="11"/>
      <c r="AJ434" s="11">
        <f t="shared" ref="AJ434:AP434" si="392">AJ429*$D$433</f>
        <v>0</v>
      </c>
      <c r="AK434" s="11">
        <f t="shared" si="392"/>
        <v>0</v>
      </c>
      <c r="AL434" s="11">
        <f t="shared" si="392"/>
        <v>0</v>
      </c>
      <c r="AM434" s="11">
        <f t="shared" si="392"/>
        <v>0</v>
      </c>
      <c r="AN434" s="11">
        <f t="shared" si="392"/>
        <v>0</v>
      </c>
      <c r="AO434" s="11">
        <f t="shared" si="392"/>
        <v>0</v>
      </c>
      <c r="AP434" s="11">
        <f t="shared" si="392"/>
        <v>0</v>
      </c>
      <c r="AQ434" s="31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31"/>
      <c r="BD434" s="31"/>
      <c r="BE434" s="22"/>
      <c r="BF434" s="22"/>
      <c r="BG434" s="22"/>
      <c r="BH434" s="31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</row>
    <row r="435" spans="1:79" ht="14.25" hidden="1" customHeight="1" outlineLevel="1" x14ac:dyDescent="0.25">
      <c r="A435" s="22"/>
      <c r="B435" s="22" t="s">
        <v>377</v>
      </c>
      <c r="C435" s="22"/>
      <c r="D435" s="22"/>
      <c r="E435" s="22"/>
      <c r="F435" s="82" t="s">
        <v>378</v>
      </c>
      <c r="G435" s="82"/>
      <c r="H435" s="82"/>
      <c r="I435" s="82"/>
      <c r="J435" s="82"/>
      <c r="K435" s="82"/>
      <c r="L435" s="22"/>
      <c r="M435" s="22"/>
      <c r="N435" s="22"/>
      <c r="O435" s="22"/>
      <c r="P435" s="22"/>
      <c r="Q435" s="22"/>
      <c r="R435" s="22"/>
      <c r="S435" s="50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50"/>
      <c r="AF435" s="11"/>
      <c r="AG435" s="11"/>
      <c r="AH435" s="11"/>
      <c r="AI435" s="11"/>
      <c r="AJ435" s="11">
        <f t="shared" ref="AJ435:AP435" si="393">AJ430*$D$433</f>
        <v>0</v>
      </c>
      <c r="AK435" s="11">
        <f t="shared" si="393"/>
        <v>0</v>
      </c>
      <c r="AL435" s="11">
        <f t="shared" si="393"/>
        <v>0</v>
      </c>
      <c r="AM435" s="11">
        <f t="shared" si="393"/>
        <v>0</v>
      </c>
      <c r="AN435" s="11">
        <f t="shared" si="393"/>
        <v>0</v>
      </c>
      <c r="AO435" s="11">
        <f t="shared" si="393"/>
        <v>0</v>
      </c>
      <c r="AP435" s="11">
        <f t="shared" si="393"/>
        <v>0</v>
      </c>
      <c r="AQ435" s="31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31"/>
      <c r="BD435" s="31"/>
      <c r="BE435" s="22"/>
      <c r="BF435" s="22"/>
      <c r="BG435" s="22"/>
      <c r="BH435" s="31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</row>
    <row r="436" spans="1:79" ht="14.25" hidden="1" customHeight="1" outlineLevel="1" x14ac:dyDescent="0.25">
      <c r="A436" s="22"/>
      <c r="B436" s="22" t="s">
        <v>379</v>
      </c>
      <c r="C436" s="22"/>
      <c r="D436" s="22"/>
      <c r="E436" s="22"/>
      <c r="F436" s="82" t="s">
        <v>380</v>
      </c>
      <c r="G436" s="82"/>
      <c r="H436" s="82"/>
      <c r="I436" s="82"/>
      <c r="J436" s="82"/>
      <c r="K436" s="82"/>
      <c r="L436" s="22"/>
      <c r="M436" s="22"/>
      <c r="N436" s="22"/>
      <c r="O436" s="22"/>
      <c r="P436" s="22"/>
      <c r="Q436" s="22"/>
      <c r="R436" s="22"/>
      <c r="S436" s="50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50"/>
      <c r="AF436" s="11"/>
      <c r="AG436" s="11"/>
      <c r="AH436" s="11"/>
      <c r="AI436" s="11"/>
      <c r="AJ436" s="11">
        <f t="shared" ref="AJ436:AP436" si="394">AJ431*$D$433</f>
        <v>0</v>
      </c>
      <c r="AK436" s="11">
        <f t="shared" si="394"/>
        <v>0</v>
      </c>
      <c r="AL436" s="11">
        <f t="shared" si="394"/>
        <v>0</v>
      </c>
      <c r="AM436" s="11">
        <f t="shared" si="394"/>
        <v>0</v>
      </c>
      <c r="AN436" s="11">
        <f t="shared" si="394"/>
        <v>0</v>
      </c>
      <c r="AO436" s="11">
        <f t="shared" si="394"/>
        <v>0</v>
      </c>
      <c r="AP436" s="11">
        <f t="shared" si="394"/>
        <v>0</v>
      </c>
      <c r="AQ436" s="31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31"/>
      <c r="BD436" s="31"/>
      <c r="BE436" s="22"/>
      <c r="BF436" s="22"/>
      <c r="BG436" s="22"/>
      <c r="BH436" s="31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</row>
    <row r="437" spans="1:79" ht="14.25" hidden="1" customHeight="1" outlineLevel="1" x14ac:dyDescent="0.25">
      <c r="A437" s="22"/>
      <c r="B437" s="22"/>
      <c r="C437" s="22"/>
      <c r="D437" s="22"/>
      <c r="E437" s="22"/>
      <c r="F437" s="82"/>
      <c r="G437" s="82"/>
      <c r="H437" s="82"/>
      <c r="I437" s="82"/>
      <c r="J437" s="82"/>
      <c r="K437" s="82"/>
      <c r="L437" s="22"/>
      <c r="M437" s="22"/>
      <c r="N437" s="22"/>
      <c r="O437" s="22"/>
      <c r="P437" s="22"/>
      <c r="Q437" s="22"/>
      <c r="R437" s="22"/>
      <c r="S437" s="31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31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31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31"/>
      <c r="BD437" s="31"/>
      <c r="BE437" s="22"/>
      <c r="BF437" s="22"/>
      <c r="BG437" s="22"/>
      <c r="BH437" s="31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</row>
    <row r="438" spans="1:79" ht="14.25" hidden="1" customHeight="1" outlineLevel="1" x14ac:dyDescent="0.25">
      <c r="A438" s="140"/>
      <c r="B438" s="238" t="s">
        <v>383</v>
      </c>
      <c r="C438" s="126"/>
      <c r="D438" s="126"/>
      <c r="E438" s="126"/>
      <c r="F438" s="232" t="s">
        <v>384</v>
      </c>
      <c r="G438" s="232"/>
      <c r="H438" s="232"/>
      <c r="I438" s="232"/>
      <c r="J438" s="232"/>
      <c r="K438" s="232"/>
      <c r="L438" s="126"/>
      <c r="M438" s="126"/>
      <c r="N438" s="126"/>
      <c r="O438" s="126"/>
      <c r="P438" s="126"/>
      <c r="Q438" s="126"/>
      <c r="R438" s="126"/>
      <c r="S438" s="127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7"/>
      <c r="AF438" s="126"/>
      <c r="AG438" s="126"/>
      <c r="AH438" s="126"/>
      <c r="AI438" s="126"/>
      <c r="AJ438" s="126">
        <f t="shared" ref="AJ438:AP438" si="395">SUM(AJ439:AJ441)</f>
        <v>0</v>
      </c>
      <c r="AK438" s="126">
        <f t="shared" si="395"/>
        <v>0</v>
      </c>
      <c r="AL438" s="126">
        <f t="shared" si="395"/>
        <v>0</v>
      </c>
      <c r="AM438" s="126">
        <f t="shared" si="395"/>
        <v>0</v>
      </c>
      <c r="AN438" s="126">
        <f t="shared" si="395"/>
        <v>0</v>
      </c>
      <c r="AO438" s="126">
        <f t="shared" si="395"/>
        <v>0</v>
      </c>
      <c r="AP438" s="126">
        <f t="shared" si="395"/>
        <v>0</v>
      </c>
      <c r="AQ438" s="141"/>
      <c r="AR438" s="140"/>
      <c r="AS438" s="140"/>
      <c r="AT438" s="140"/>
      <c r="AU438" s="140"/>
      <c r="AV438" s="140"/>
      <c r="AW438" s="140"/>
      <c r="AX438" s="140"/>
      <c r="AY438" s="140"/>
      <c r="AZ438" s="140"/>
      <c r="BA438" s="140"/>
      <c r="BB438" s="140"/>
      <c r="BC438" s="141"/>
      <c r="BD438" s="141"/>
      <c r="BE438" s="140"/>
      <c r="BF438" s="140"/>
      <c r="BG438" s="140"/>
      <c r="BH438" s="141"/>
      <c r="BI438" s="140"/>
      <c r="BJ438" s="140"/>
      <c r="BK438" s="140"/>
      <c r="BL438" s="140"/>
      <c r="BM438" s="140"/>
      <c r="BN438" s="140"/>
      <c r="BO438" s="140"/>
      <c r="BP438" s="140"/>
      <c r="BQ438" s="140"/>
      <c r="BR438" s="140"/>
      <c r="BS438" s="140"/>
      <c r="BT438" s="140"/>
      <c r="BU438" s="140"/>
      <c r="BV438" s="140"/>
      <c r="BW438" s="140"/>
      <c r="BX438" s="140"/>
      <c r="BY438" s="140"/>
      <c r="BZ438" s="140"/>
      <c r="CA438" s="140"/>
    </row>
    <row r="439" spans="1:79" ht="14.25" hidden="1" customHeight="1" outlineLevel="1" x14ac:dyDescent="0.25">
      <c r="A439" s="22"/>
      <c r="B439" s="22" t="s">
        <v>375</v>
      </c>
      <c r="C439" s="239">
        <v>15</v>
      </c>
      <c r="D439" s="22"/>
      <c r="E439" s="22"/>
      <c r="F439" s="82" t="s">
        <v>376</v>
      </c>
      <c r="G439" s="82"/>
      <c r="H439" s="82"/>
      <c r="I439" s="82"/>
      <c r="J439" s="82"/>
      <c r="K439" s="82"/>
      <c r="L439" s="22"/>
      <c r="M439" s="22"/>
      <c r="N439" s="22"/>
      <c r="O439" s="22"/>
      <c r="P439" s="22"/>
      <c r="Q439" s="22"/>
      <c r="R439" s="22"/>
      <c r="S439" s="50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50"/>
      <c r="AF439" s="11"/>
      <c r="AG439" s="11"/>
      <c r="AH439" s="11"/>
      <c r="AI439" s="11"/>
      <c r="AJ439" s="11">
        <f t="shared" ref="AJ439:AP439" si="396">AJ434*$C439</f>
        <v>0</v>
      </c>
      <c r="AK439" s="11">
        <f t="shared" si="396"/>
        <v>0</v>
      </c>
      <c r="AL439" s="11">
        <f t="shared" si="396"/>
        <v>0</v>
      </c>
      <c r="AM439" s="11">
        <f t="shared" si="396"/>
        <v>0</v>
      </c>
      <c r="AN439" s="11">
        <f t="shared" si="396"/>
        <v>0</v>
      </c>
      <c r="AO439" s="11">
        <f t="shared" si="396"/>
        <v>0</v>
      </c>
      <c r="AP439" s="11">
        <f t="shared" si="396"/>
        <v>0</v>
      </c>
      <c r="AQ439" s="31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31"/>
      <c r="BD439" s="31"/>
      <c r="BE439" s="22"/>
      <c r="BF439" s="22"/>
      <c r="BG439" s="22"/>
      <c r="BH439" s="31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</row>
    <row r="440" spans="1:79" ht="14.25" hidden="1" customHeight="1" outlineLevel="1" x14ac:dyDescent="0.25">
      <c r="A440" s="22"/>
      <c r="B440" s="22" t="s">
        <v>377</v>
      </c>
      <c r="C440" s="239">
        <v>20</v>
      </c>
      <c r="D440" s="22"/>
      <c r="E440" s="22"/>
      <c r="F440" s="82" t="s">
        <v>378</v>
      </c>
      <c r="G440" s="82"/>
      <c r="H440" s="82"/>
      <c r="I440" s="82"/>
      <c r="J440" s="82"/>
      <c r="K440" s="82"/>
      <c r="L440" s="22"/>
      <c r="M440" s="22"/>
      <c r="N440" s="22"/>
      <c r="O440" s="22"/>
      <c r="P440" s="22"/>
      <c r="Q440" s="22"/>
      <c r="R440" s="22"/>
      <c r="S440" s="50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50"/>
      <c r="AF440" s="11"/>
      <c r="AG440" s="11"/>
      <c r="AH440" s="11"/>
      <c r="AI440" s="11"/>
      <c r="AJ440" s="11">
        <f t="shared" ref="AJ440:AP440" si="397">AJ435*$C440</f>
        <v>0</v>
      </c>
      <c r="AK440" s="11">
        <f t="shared" si="397"/>
        <v>0</v>
      </c>
      <c r="AL440" s="11">
        <f t="shared" si="397"/>
        <v>0</v>
      </c>
      <c r="AM440" s="11">
        <f t="shared" si="397"/>
        <v>0</v>
      </c>
      <c r="AN440" s="11">
        <f t="shared" si="397"/>
        <v>0</v>
      </c>
      <c r="AO440" s="11">
        <f t="shared" si="397"/>
        <v>0</v>
      </c>
      <c r="AP440" s="11">
        <f t="shared" si="397"/>
        <v>0</v>
      </c>
      <c r="AQ440" s="31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31"/>
      <c r="BD440" s="31"/>
      <c r="BE440" s="22"/>
      <c r="BF440" s="22"/>
      <c r="BG440" s="22"/>
      <c r="BH440" s="31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</row>
    <row r="441" spans="1:79" ht="14.25" hidden="1" customHeight="1" outlineLevel="1" x14ac:dyDescent="0.25">
      <c r="A441" s="22"/>
      <c r="B441" s="22" t="s">
        <v>379</v>
      </c>
      <c r="C441" s="239">
        <v>25</v>
      </c>
      <c r="D441" s="22"/>
      <c r="E441" s="22"/>
      <c r="F441" s="82" t="s">
        <v>380</v>
      </c>
      <c r="G441" s="82"/>
      <c r="H441" s="82"/>
      <c r="I441" s="82"/>
      <c r="J441" s="82"/>
      <c r="K441" s="82"/>
      <c r="L441" s="22"/>
      <c r="M441" s="22"/>
      <c r="N441" s="22"/>
      <c r="O441" s="22"/>
      <c r="P441" s="22"/>
      <c r="Q441" s="22"/>
      <c r="R441" s="22"/>
      <c r="S441" s="50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50">
        <f t="shared" ref="AE441:AP441" si="398">AE436*$C441</f>
        <v>0</v>
      </c>
      <c r="AF441" s="11">
        <f t="shared" si="398"/>
        <v>0</v>
      </c>
      <c r="AG441" s="11">
        <f t="shared" si="398"/>
        <v>0</v>
      </c>
      <c r="AH441" s="11">
        <f t="shared" si="398"/>
        <v>0</v>
      </c>
      <c r="AI441" s="11">
        <f t="shared" si="398"/>
        <v>0</v>
      </c>
      <c r="AJ441" s="11">
        <f t="shared" si="398"/>
        <v>0</v>
      </c>
      <c r="AK441" s="11">
        <f t="shared" si="398"/>
        <v>0</v>
      </c>
      <c r="AL441" s="11">
        <f t="shared" si="398"/>
        <v>0</v>
      </c>
      <c r="AM441" s="11">
        <f t="shared" si="398"/>
        <v>0</v>
      </c>
      <c r="AN441" s="11">
        <f t="shared" si="398"/>
        <v>0</v>
      </c>
      <c r="AO441" s="11">
        <f t="shared" si="398"/>
        <v>0</v>
      </c>
      <c r="AP441" s="11">
        <f t="shared" si="398"/>
        <v>0</v>
      </c>
      <c r="AQ441" s="31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31"/>
      <c r="BD441" s="31"/>
      <c r="BE441" s="22"/>
      <c r="BF441" s="22"/>
      <c r="BG441" s="22"/>
      <c r="BH441" s="31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</row>
    <row r="442" spans="1:79" ht="14.25" hidden="1" customHeight="1" outlineLevel="1" x14ac:dyDescent="0.25">
      <c r="A442" s="22"/>
      <c r="B442" s="22"/>
      <c r="C442" s="240"/>
      <c r="D442" s="22"/>
      <c r="E442" s="22"/>
      <c r="F442" s="82"/>
      <c r="G442" s="82"/>
      <c r="H442" s="82"/>
      <c r="I442" s="82"/>
      <c r="J442" s="82"/>
      <c r="K442" s="82"/>
      <c r="L442" s="22"/>
      <c r="M442" s="22"/>
      <c r="N442" s="22"/>
      <c r="O442" s="22"/>
      <c r="P442" s="22"/>
      <c r="Q442" s="22"/>
      <c r="R442" s="22"/>
      <c r="S442" s="50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50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31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31"/>
      <c r="BD442" s="31"/>
      <c r="BE442" s="22"/>
      <c r="BF442" s="22"/>
      <c r="BG442" s="22"/>
      <c r="BH442" s="31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</row>
    <row r="443" spans="1:79" ht="14.25" hidden="1" customHeight="1" outlineLevel="1" x14ac:dyDescent="0.25">
      <c r="A443" s="46"/>
      <c r="B443" s="30" t="s">
        <v>385</v>
      </c>
      <c r="C443" s="241"/>
      <c r="D443" s="30"/>
      <c r="E443" s="30"/>
      <c r="F443" s="232" t="s">
        <v>386</v>
      </c>
      <c r="G443" s="138"/>
      <c r="H443" s="138"/>
      <c r="I443" s="138"/>
      <c r="J443" s="138"/>
      <c r="K443" s="138"/>
      <c r="L443" s="30"/>
      <c r="M443" s="30"/>
      <c r="N443" s="30"/>
      <c r="O443" s="30"/>
      <c r="P443" s="30"/>
      <c r="Q443" s="30"/>
      <c r="R443" s="30"/>
      <c r="S443" s="6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6"/>
      <c r="AF443" s="7"/>
      <c r="AG443" s="7"/>
      <c r="AH443" s="7"/>
      <c r="AI443" s="7"/>
      <c r="AJ443" s="126">
        <f t="shared" ref="AJ443:AP443" si="399">SUM(AJ444:AJ446)</f>
        <v>0</v>
      </c>
      <c r="AK443" s="126">
        <f t="shared" si="399"/>
        <v>0</v>
      </c>
      <c r="AL443" s="126">
        <f t="shared" si="399"/>
        <v>0</v>
      </c>
      <c r="AM443" s="126">
        <f t="shared" si="399"/>
        <v>0</v>
      </c>
      <c r="AN443" s="126">
        <f t="shared" si="399"/>
        <v>0</v>
      </c>
      <c r="AO443" s="126">
        <f t="shared" si="399"/>
        <v>0</v>
      </c>
      <c r="AP443" s="126">
        <f t="shared" si="399"/>
        <v>0</v>
      </c>
      <c r="AQ443" s="29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29"/>
      <c r="BD443" s="29"/>
      <c r="BE443" s="46"/>
      <c r="BF443" s="46"/>
      <c r="BG443" s="46"/>
      <c r="BH443" s="29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</row>
    <row r="444" spans="1:79" ht="14.25" hidden="1" customHeight="1" outlineLevel="1" x14ac:dyDescent="0.25">
      <c r="A444" s="22"/>
      <c r="B444" s="22" t="s">
        <v>375</v>
      </c>
      <c r="C444" s="239">
        <v>9</v>
      </c>
      <c r="D444" s="131">
        <f t="shared" ref="D444:D446" si="400">C444/C439</f>
        <v>0.6</v>
      </c>
      <c r="E444" s="22"/>
      <c r="F444" s="82" t="s">
        <v>376</v>
      </c>
      <c r="G444" s="82"/>
      <c r="H444" s="82"/>
      <c r="I444" s="82"/>
      <c r="J444" s="82"/>
      <c r="K444" s="82"/>
      <c r="L444" s="22"/>
      <c r="M444" s="22"/>
      <c r="N444" s="22"/>
      <c r="O444" s="22"/>
      <c r="P444" s="22"/>
      <c r="Q444" s="22"/>
      <c r="R444" s="22"/>
      <c r="S444" s="50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50"/>
      <c r="AF444" s="11"/>
      <c r="AG444" s="11"/>
      <c r="AH444" s="11"/>
      <c r="AI444" s="11"/>
      <c r="AJ444" s="11">
        <f t="shared" ref="AJ444:AP444" si="401">AJ434*$C444</f>
        <v>0</v>
      </c>
      <c r="AK444" s="11">
        <f t="shared" si="401"/>
        <v>0</v>
      </c>
      <c r="AL444" s="11">
        <f t="shared" si="401"/>
        <v>0</v>
      </c>
      <c r="AM444" s="11">
        <f t="shared" si="401"/>
        <v>0</v>
      </c>
      <c r="AN444" s="11">
        <f t="shared" si="401"/>
        <v>0</v>
      </c>
      <c r="AO444" s="11">
        <f t="shared" si="401"/>
        <v>0</v>
      </c>
      <c r="AP444" s="11">
        <f t="shared" si="401"/>
        <v>0</v>
      </c>
      <c r="AQ444" s="31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31"/>
      <c r="BD444" s="31"/>
      <c r="BE444" s="22"/>
      <c r="BF444" s="22"/>
      <c r="BG444" s="22"/>
      <c r="BH444" s="31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</row>
    <row r="445" spans="1:79" ht="14.25" hidden="1" customHeight="1" outlineLevel="1" x14ac:dyDescent="0.25">
      <c r="A445" s="22"/>
      <c r="B445" s="22" t="s">
        <v>377</v>
      </c>
      <c r="C445" s="239">
        <v>12</v>
      </c>
      <c r="D445" s="131">
        <f t="shared" si="400"/>
        <v>0.6</v>
      </c>
      <c r="E445" s="22"/>
      <c r="F445" s="82" t="s">
        <v>378</v>
      </c>
      <c r="G445" s="82"/>
      <c r="H445" s="82"/>
      <c r="I445" s="82"/>
      <c r="J445" s="82"/>
      <c r="K445" s="82"/>
      <c r="L445" s="22"/>
      <c r="M445" s="22"/>
      <c r="N445" s="22"/>
      <c r="O445" s="22"/>
      <c r="P445" s="22"/>
      <c r="Q445" s="22"/>
      <c r="R445" s="22"/>
      <c r="S445" s="50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50"/>
      <c r="AF445" s="11"/>
      <c r="AG445" s="11"/>
      <c r="AH445" s="11"/>
      <c r="AI445" s="11"/>
      <c r="AJ445" s="11">
        <f t="shared" ref="AJ445:AP445" si="402">AJ435*$C445</f>
        <v>0</v>
      </c>
      <c r="AK445" s="11">
        <f t="shared" si="402"/>
        <v>0</v>
      </c>
      <c r="AL445" s="11">
        <f t="shared" si="402"/>
        <v>0</v>
      </c>
      <c r="AM445" s="11">
        <f t="shared" si="402"/>
        <v>0</v>
      </c>
      <c r="AN445" s="11">
        <f t="shared" si="402"/>
        <v>0</v>
      </c>
      <c r="AO445" s="11">
        <f t="shared" si="402"/>
        <v>0</v>
      </c>
      <c r="AP445" s="11">
        <f t="shared" si="402"/>
        <v>0</v>
      </c>
      <c r="AQ445" s="31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31"/>
      <c r="BD445" s="31"/>
      <c r="BE445" s="22"/>
      <c r="BF445" s="22"/>
      <c r="BG445" s="22"/>
      <c r="BH445" s="31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</row>
    <row r="446" spans="1:79" ht="14.25" hidden="1" customHeight="1" outlineLevel="1" x14ac:dyDescent="0.25">
      <c r="A446" s="22"/>
      <c r="B446" s="22" t="s">
        <v>379</v>
      </c>
      <c r="C446" s="239">
        <v>15</v>
      </c>
      <c r="D446" s="131">
        <f t="shared" si="400"/>
        <v>0.6</v>
      </c>
      <c r="E446" s="22"/>
      <c r="F446" s="82" t="s">
        <v>380</v>
      </c>
      <c r="G446" s="82"/>
      <c r="H446" s="82"/>
      <c r="I446" s="82"/>
      <c r="J446" s="82"/>
      <c r="K446" s="82"/>
      <c r="L446" s="22"/>
      <c r="M446" s="22"/>
      <c r="N446" s="22"/>
      <c r="O446" s="22"/>
      <c r="P446" s="22"/>
      <c r="Q446" s="22"/>
      <c r="R446" s="22"/>
      <c r="S446" s="50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50"/>
      <c r="AF446" s="11"/>
      <c r="AG446" s="11"/>
      <c r="AH446" s="11"/>
      <c r="AI446" s="11"/>
      <c r="AJ446" s="11">
        <f t="shared" ref="AJ446:AP446" si="403">AJ436*$C446</f>
        <v>0</v>
      </c>
      <c r="AK446" s="11">
        <f t="shared" si="403"/>
        <v>0</v>
      </c>
      <c r="AL446" s="11">
        <f t="shared" si="403"/>
        <v>0</v>
      </c>
      <c r="AM446" s="11">
        <f t="shared" si="403"/>
        <v>0</v>
      </c>
      <c r="AN446" s="11">
        <f t="shared" si="403"/>
        <v>0</v>
      </c>
      <c r="AO446" s="11">
        <f t="shared" si="403"/>
        <v>0</v>
      </c>
      <c r="AP446" s="11">
        <f t="shared" si="403"/>
        <v>0</v>
      </c>
      <c r="AQ446" s="31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31"/>
      <c r="BD446" s="31"/>
      <c r="BE446" s="22"/>
      <c r="BF446" s="22"/>
      <c r="BG446" s="22"/>
      <c r="BH446" s="31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</row>
    <row r="447" spans="1:79" ht="14.25" hidden="1" customHeight="1" outlineLevel="1" x14ac:dyDescent="0.25">
      <c r="A447" s="22"/>
      <c r="B447" s="22"/>
      <c r="C447" s="240"/>
      <c r="D447" s="22"/>
      <c r="E447" s="22"/>
      <c r="F447" s="82"/>
      <c r="G447" s="82"/>
      <c r="H447" s="82"/>
      <c r="I447" s="82"/>
      <c r="J447" s="82"/>
      <c r="K447" s="82"/>
      <c r="L447" s="22"/>
      <c r="M447" s="22"/>
      <c r="N447" s="22"/>
      <c r="O447" s="22"/>
      <c r="P447" s="22"/>
      <c r="Q447" s="22"/>
      <c r="R447" s="22"/>
      <c r="S447" s="50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50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31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31"/>
      <c r="BD447" s="31"/>
      <c r="BE447" s="22"/>
      <c r="BF447" s="22"/>
      <c r="BG447" s="22"/>
      <c r="BH447" s="31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</row>
    <row r="448" spans="1:79" ht="14.25" hidden="1" customHeight="1" outlineLevel="1" x14ac:dyDescent="0.25">
      <c r="A448" s="22"/>
      <c r="B448" s="22"/>
      <c r="C448" s="116"/>
      <c r="D448" s="116"/>
      <c r="E448" s="22"/>
      <c r="F448" s="82"/>
      <c r="G448" s="82"/>
      <c r="H448" s="82"/>
      <c r="I448" s="82"/>
      <c r="J448" s="82"/>
      <c r="K448" s="82"/>
      <c r="L448" s="22"/>
      <c r="M448" s="22"/>
      <c r="N448" s="22"/>
      <c r="O448" s="22"/>
      <c r="P448" s="22"/>
      <c r="Q448" s="22"/>
      <c r="R448" s="22"/>
      <c r="S448" s="125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25"/>
      <c r="AF448" s="116"/>
      <c r="AG448" s="116"/>
      <c r="AH448" s="116"/>
      <c r="AI448" s="11"/>
      <c r="AJ448" s="116"/>
      <c r="AK448" s="116"/>
      <c r="AL448" s="116"/>
      <c r="AM448" s="116"/>
      <c r="AN448" s="116"/>
      <c r="AO448" s="116"/>
      <c r="AP448" s="116"/>
      <c r="AQ448" s="31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31"/>
      <c r="BD448" s="31"/>
      <c r="BE448" s="22"/>
      <c r="BF448" s="22"/>
      <c r="BG448" s="22"/>
      <c r="BH448" s="31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</row>
    <row r="449" spans="1:79" ht="14.25" hidden="1" customHeight="1" outlineLevel="1" x14ac:dyDescent="0.25">
      <c r="A449" s="46"/>
      <c r="B449" s="30" t="s">
        <v>22</v>
      </c>
      <c r="C449" s="126"/>
      <c r="D449" s="126"/>
      <c r="E449" s="30"/>
      <c r="F449" s="110"/>
      <c r="G449" s="138"/>
      <c r="H449" s="138"/>
      <c r="I449" s="138"/>
      <c r="J449" s="126"/>
      <c r="K449" s="126"/>
      <c r="L449" s="126"/>
      <c r="M449" s="126"/>
      <c r="N449" s="126"/>
      <c r="O449" s="126"/>
      <c r="P449" s="126"/>
      <c r="Q449" s="126"/>
      <c r="R449" s="126"/>
      <c r="S449" s="127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7"/>
      <c r="AF449" s="126"/>
      <c r="AG449" s="126"/>
      <c r="AH449" s="126"/>
      <c r="AI449" s="126"/>
      <c r="AJ449" s="126">
        <f t="shared" ref="AJ449:AP449" si="404">AJ438-AJ443</f>
        <v>0</v>
      </c>
      <c r="AK449" s="126">
        <f t="shared" si="404"/>
        <v>0</v>
      </c>
      <c r="AL449" s="126">
        <f t="shared" si="404"/>
        <v>0</v>
      </c>
      <c r="AM449" s="126">
        <f t="shared" si="404"/>
        <v>0</v>
      </c>
      <c r="AN449" s="126">
        <f t="shared" si="404"/>
        <v>0</v>
      </c>
      <c r="AO449" s="126">
        <f t="shared" si="404"/>
        <v>0</v>
      </c>
      <c r="AP449" s="126">
        <f t="shared" si="404"/>
        <v>0</v>
      </c>
      <c r="AQ449" s="29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29"/>
      <c r="BD449" s="29"/>
      <c r="BE449" s="46"/>
      <c r="BF449" s="46"/>
      <c r="BG449" s="46"/>
      <c r="BH449" s="29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</row>
    <row r="450" spans="1:79" ht="14.25" hidden="1" customHeight="1" outlineLevel="1" x14ac:dyDescent="0.25">
      <c r="A450" s="43"/>
      <c r="B450" s="43" t="s">
        <v>23</v>
      </c>
      <c r="C450" s="43"/>
      <c r="D450" s="43"/>
      <c r="E450" s="43"/>
      <c r="F450" s="222"/>
      <c r="G450" s="166"/>
      <c r="H450" s="166"/>
      <c r="I450" s="166"/>
      <c r="J450" s="167"/>
      <c r="K450" s="167"/>
      <c r="L450" s="167"/>
      <c r="M450" s="167"/>
      <c r="N450" s="167"/>
      <c r="O450" s="167"/>
      <c r="P450" s="167"/>
      <c r="Q450" s="167"/>
      <c r="R450" s="167"/>
      <c r="S450" s="168"/>
      <c r="T450" s="167"/>
      <c r="U450" s="167"/>
      <c r="V450" s="167"/>
      <c r="W450" s="167"/>
      <c r="X450" s="167"/>
      <c r="Y450" s="167"/>
      <c r="Z450" s="167"/>
      <c r="AA450" s="167"/>
      <c r="AB450" s="167"/>
      <c r="AC450" s="167"/>
      <c r="AD450" s="167"/>
      <c r="AE450" s="168"/>
      <c r="AF450" s="167"/>
      <c r="AG450" s="167"/>
      <c r="AH450" s="167"/>
      <c r="AI450" s="167"/>
      <c r="AJ450" s="167"/>
      <c r="AK450" s="167"/>
      <c r="AL450" s="167"/>
      <c r="AM450" s="167"/>
      <c r="AN450" s="167"/>
      <c r="AO450" s="167"/>
      <c r="AP450" s="167"/>
      <c r="AQ450" s="45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5"/>
      <c r="BD450" s="45"/>
      <c r="BE450" s="43"/>
      <c r="BF450" s="43"/>
      <c r="BG450" s="43"/>
      <c r="BH450" s="45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</row>
    <row r="451" spans="1:79" ht="14.25" hidden="1" customHeight="1" outlineLevel="1" x14ac:dyDescent="0.25">
      <c r="A451" s="43"/>
      <c r="B451" s="43"/>
      <c r="C451" s="43"/>
      <c r="D451" s="43"/>
      <c r="E451" s="43"/>
      <c r="F451" s="222"/>
      <c r="G451" s="166"/>
      <c r="H451" s="166"/>
      <c r="I451" s="166"/>
      <c r="J451" s="167"/>
      <c r="K451" s="167"/>
      <c r="L451" s="167"/>
      <c r="M451" s="167"/>
      <c r="N451" s="167"/>
      <c r="O451" s="167"/>
      <c r="P451" s="167"/>
      <c r="Q451" s="167"/>
      <c r="R451" s="167"/>
      <c r="S451" s="168"/>
      <c r="T451" s="167"/>
      <c r="U451" s="167"/>
      <c r="V451" s="167"/>
      <c r="W451" s="167"/>
      <c r="X451" s="167"/>
      <c r="Y451" s="167"/>
      <c r="Z451" s="167"/>
      <c r="AA451" s="167"/>
      <c r="AB451" s="167"/>
      <c r="AC451" s="167"/>
      <c r="AD451" s="167"/>
      <c r="AE451" s="168"/>
      <c r="AF451" s="167"/>
      <c r="AG451" s="167"/>
      <c r="AH451" s="167"/>
      <c r="AI451" s="167"/>
      <c r="AJ451" s="167"/>
      <c r="AK451" s="167"/>
      <c r="AL451" s="167"/>
      <c r="AM451" s="167"/>
      <c r="AN451" s="167"/>
      <c r="AO451" s="167"/>
      <c r="AP451" s="167"/>
      <c r="AQ451" s="45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5"/>
      <c r="BD451" s="45"/>
      <c r="BE451" s="43"/>
      <c r="BF451" s="43"/>
      <c r="BG451" s="43"/>
      <c r="BH451" s="45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</row>
    <row r="452" spans="1:79" ht="14.25" hidden="1" customHeight="1" outlineLevel="1" x14ac:dyDescent="0.25">
      <c r="A452" s="43"/>
      <c r="B452" s="43"/>
      <c r="C452" s="43"/>
      <c r="D452" s="43"/>
      <c r="E452" s="43"/>
      <c r="F452" s="222"/>
      <c r="G452" s="166"/>
      <c r="H452" s="166"/>
      <c r="I452" s="166"/>
      <c r="J452" s="167"/>
      <c r="K452" s="167"/>
      <c r="L452" s="167"/>
      <c r="M452" s="167"/>
      <c r="N452" s="167"/>
      <c r="O452" s="167"/>
      <c r="P452" s="167"/>
      <c r="Q452" s="167"/>
      <c r="R452" s="167"/>
      <c r="S452" s="168"/>
      <c r="T452" s="167"/>
      <c r="U452" s="167"/>
      <c r="V452" s="167"/>
      <c r="W452" s="167"/>
      <c r="X452" s="167"/>
      <c r="Y452" s="167"/>
      <c r="Z452" s="167"/>
      <c r="AA452" s="167"/>
      <c r="AB452" s="167"/>
      <c r="AC452" s="167"/>
      <c r="AD452" s="167"/>
      <c r="AE452" s="168"/>
      <c r="AF452" s="167"/>
      <c r="AG452" s="167"/>
      <c r="AH452" s="167"/>
      <c r="AI452" s="167"/>
      <c r="AJ452" s="167"/>
      <c r="AK452" s="167"/>
      <c r="AL452" s="167"/>
      <c r="AM452" s="167"/>
      <c r="AN452" s="167"/>
      <c r="AO452" s="167"/>
      <c r="AP452" s="167"/>
      <c r="AQ452" s="45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5"/>
      <c r="BD452" s="45"/>
      <c r="BE452" s="43"/>
      <c r="BF452" s="43"/>
      <c r="BG452" s="43"/>
      <c r="BH452" s="45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</row>
    <row r="453" spans="1:79" ht="14.25" hidden="1" customHeight="1" outlineLevel="1" x14ac:dyDescent="0.25">
      <c r="A453" s="43"/>
      <c r="B453" s="43"/>
      <c r="C453" s="43"/>
      <c r="D453" s="43"/>
      <c r="E453" s="43"/>
      <c r="F453" s="139" t="s">
        <v>241</v>
      </c>
      <c r="G453" s="166"/>
      <c r="H453" s="166"/>
      <c r="I453" s="166"/>
      <c r="J453" s="167"/>
      <c r="K453" s="167"/>
      <c r="L453" s="167"/>
      <c r="M453" s="167"/>
      <c r="N453" s="167"/>
      <c r="O453" s="167"/>
      <c r="P453" s="167"/>
      <c r="Q453" s="167"/>
      <c r="R453" s="167"/>
      <c r="S453" s="168"/>
      <c r="T453" s="167"/>
      <c r="U453" s="167"/>
      <c r="V453" s="167"/>
      <c r="W453" s="167"/>
      <c r="X453" s="167"/>
      <c r="Y453" s="167"/>
      <c r="Z453" s="167"/>
      <c r="AA453" s="167"/>
      <c r="AB453" s="167"/>
      <c r="AC453" s="167"/>
      <c r="AD453" s="167"/>
      <c r="AE453" s="168"/>
      <c r="AF453" s="167"/>
      <c r="AG453" s="167"/>
      <c r="AH453" s="167"/>
      <c r="AI453" s="167"/>
      <c r="AJ453" s="167"/>
      <c r="AK453" s="167"/>
      <c r="AL453" s="167"/>
      <c r="AM453" s="167"/>
      <c r="AN453" s="167"/>
      <c r="AO453" s="167"/>
      <c r="AP453" s="167"/>
      <c r="AQ453" s="45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5"/>
      <c r="BD453" s="45"/>
      <c r="BE453" s="43"/>
      <c r="BF453" s="43"/>
      <c r="BG453" s="43"/>
      <c r="BH453" s="45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</row>
    <row r="454" spans="1:79" ht="14.25" hidden="1" customHeight="1" outlineLevel="1" x14ac:dyDescent="0.25">
      <c r="A454" s="22"/>
      <c r="B454" s="22"/>
      <c r="C454" s="22"/>
      <c r="D454" s="22"/>
      <c r="E454" s="22"/>
      <c r="F454" s="82" t="s">
        <v>362</v>
      </c>
      <c r="G454" s="242">
        <f t="shared" ref="G454:BB454" si="405">G438</f>
        <v>0</v>
      </c>
      <c r="H454" s="242">
        <f t="shared" si="405"/>
        <v>0</v>
      </c>
      <c r="I454" s="116">
        <f t="shared" si="405"/>
        <v>0</v>
      </c>
      <c r="J454" s="116">
        <f t="shared" si="405"/>
        <v>0</v>
      </c>
      <c r="K454" s="116">
        <f t="shared" si="405"/>
        <v>0</v>
      </c>
      <c r="L454" s="116">
        <f t="shared" si="405"/>
        <v>0</v>
      </c>
      <c r="M454" s="116">
        <f t="shared" si="405"/>
        <v>0</v>
      </c>
      <c r="N454" s="116">
        <f t="shared" si="405"/>
        <v>0</v>
      </c>
      <c r="O454" s="116">
        <f t="shared" si="405"/>
        <v>0</v>
      </c>
      <c r="P454" s="116">
        <f t="shared" si="405"/>
        <v>0</v>
      </c>
      <c r="Q454" s="116">
        <f t="shared" si="405"/>
        <v>0</v>
      </c>
      <c r="R454" s="116">
        <f t="shared" si="405"/>
        <v>0</v>
      </c>
      <c r="S454" s="125">
        <f t="shared" si="405"/>
        <v>0</v>
      </c>
      <c r="T454" s="116">
        <f t="shared" si="405"/>
        <v>0</v>
      </c>
      <c r="U454" s="116">
        <f t="shared" si="405"/>
        <v>0</v>
      </c>
      <c r="V454" s="116">
        <f t="shared" si="405"/>
        <v>0</v>
      </c>
      <c r="W454" s="116">
        <f t="shared" si="405"/>
        <v>0</v>
      </c>
      <c r="X454" s="116">
        <f t="shared" si="405"/>
        <v>0</v>
      </c>
      <c r="Y454" s="116">
        <f t="shared" si="405"/>
        <v>0</v>
      </c>
      <c r="Z454" s="116">
        <f t="shared" si="405"/>
        <v>0</v>
      </c>
      <c r="AA454" s="116">
        <f t="shared" si="405"/>
        <v>0</v>
      </c>
      <c r="AB454" s="116">
        <f t="shared" si="405"/>
        <v>0</v>
      </c>
      <c r="AC454" s="116">
        <f t="shared" si="405"/>
        <v>0</v>
      </c>
      <c r="AD454" s="116">
        <f t="shared" si="405"/>
        <v>0</v>
      </c>
      <c r="AE454" s="125">
        <f t="shared" si="405"/>
        <v>0</v>
      </c>
      <c r="AF454" s="116">
        <f t="shared" si="405"/>
        <v>0</v>
      </c>
      <c r="AG454" s="116">
        <f t="shared" si="405"/>
        <v>0</v>
      </c>
      <c r="AH454" s="116">
        <f t="shared" si="405"/>
        <v>0</v>
      </c>
      <c r="AI454" s="116">
        <f t="shared" si="405"/>
        <v>0</v>
      </c>
      <c r="AJ454" s="116">
        <f t="shared" si="405"/>
        <v>0</v>
      </c>
      <c r="AK454" s="116">
        <f t="shared" si="405"/>
        <v>0</v>
      </c>
      <c r="AL454" s="116">
        <f t="shared" si="405"/>
        <v>0</v>
      </c>
      <c r="AM454" s="116">
        <f t="shared" si="405"/>
        <v>0</v>
      </c>
      <c r="AN454" s="116">
        <f t="shared" si="405"/>
        <v>0</v>
      </c>
      <c r="AO454" s="116">
        <f t="shared" si="405"/>
        <v>0</v>
      </c>
      <c r="AP454" s="116">
        <f t="shared" si="405"/>
        <v>0</v>
      </c>
      <c r="AQ454" s="125">
        <f t="shared" si="405"/>
        <v>0</v>
      </c>
      <c r="AR454" s="116">
        <f t="shared" si="405"/>
        <v>0</v>
      </c>
      <c r="AS454" s="116">
        <f t="shared" si="405"/>
        <v>0</v>
      </c>
      <c r="AT454" s="116">
        <f t="shared" si="405"/>
        <v>0</v>
      </c>
      <c r="AU454" s="116">
        <f t="shared" si="405"/>
        <v>0</v>
      </c>
      <c r="AV454" s="116">
        <f t="shared" si="405"/>
        <v>0</v>
      </c>
      <c r="AW454" s="116">
        <f t="shared" si="405"/>
        <v>0</v>
      </c>
      <c r="AX454" s="116">
        <f t="shared" si="405"/>
        <v>0</v>
      </c>
      <c r="AY454" s="116">
        <f t="shared" si="405"/>
        <v>0</v>
      </c>
      <c r="AZ454" s="116">
        <f t="shared" si="405"/>
        <v>0</v>
      </c>
      <c r="BA454" s="116">
        <f t="shared" si="405"/>
        <v>0</v>
      </c>
      <c r="BB454" s="116">
        <f t="shared" si="405"/>
        <v>0</v>
      </c>
      <c r="BC454" s="31"/>
      <c r="BD454" s="31"/>
      <c r="BE454" s="22"/>
      <c r="BF454" s="22"/>
      <c r="BG454" s="22"/>
      <c r="BH454" s="31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</row>
    <row r="455" spans="1:79" ht="14.25" hidden="1" customHeight="1" outlineLevel="1" x14ac:dyDescent="0.25">
      <c r="A455" s="22"/>
      <c r="B455" s="22"/>
      <c r="C455" s="22"/>
      <c r="D455" s="22"/>
      <c r="E455" s="22"/>
      <c r="F455" s="82" t="s">
        <v>363</v>
      </c>
      <c r="G455" s="242">
        <f t="shared" ref="G455:BB455" si="406">G443</f>
        <v>0</v>
      </c>
      <c r="H455" s="242">
        <f t="shared" si="406"/>
        <v>0</v>
      </c>
      <c r="I455" s="116">
        <f t="shared" si="406"/>
        <v>0</v>
      </c>
      <c r="J455" s="116">
        <f t="shared" si="406"/>
        <v>0</v>
      </c>
      <c r="K455" s="116">
        <f t="shared" si="406"/>
        <v>0</v>
      </c>
      <c r="L455" s="116">
        <f t="shared" si="406"/>
        <v>0</v>
      </c>
      <c r="M455" s="116">
        <f t="shared" si="406"/>
        <v>0</v>
      </c>
      <c r="N455" s="116">
        <f t="shared" si="406"/>
        <v>0</v>
      </c>
      <c r="O455" s="116">
        <f t="shared" si="406"/>
        <v>0</v>
      </c>
      <c r="P455" s="116">
        <f t="shared" si="406"/>
        <v>0</v>
      </c>
      <c r="Q455" s="116">
        <f t="shared" si="406"/>
        <v>0</v>
      </c>
      <c r="R455" s="116">
        <f t="shared" si="406"/>
        <v>0</v>
      </c>
      <c r="S455" s="125">
        <f t="shared" si="406"/>
        <v>0</v>
      </c>
      <c r="T455" s="116">
        <f t="shared" si="406"/>
        <v>0</v>
      </c>
      <c r="U455" s="116">
        <f t="shared" si="406"/>
        <v>0</v>
      </c>
      <c r="V455" s="116">
        <f t="shared" si="406"/>
        <v>0</v>
      </c>
      <c r="W455" s="116">
        <f t="shared" si="406"/>
        <v>0</v>
      </c>
      <c r="X455" s="116">
        <f t="shared" si="406"/>
        <v>0</v>
      </c>
      <c r="Y455" s="116">
        <f t="shared" si="406"/>
        <v>0</v>
      </c>
      <c r="Z455" s="116">
        <f t="shared" si="406"/>
        <v>0</v>
      </c>
      <c r="AA455" s="116">
        <f t="shared" si="406"/>
        <v>0</v>
      </c>
      <c r="AB455" s="116">
        <f t="shared" si="406"/>
        <v>0</v>
      </c>
      <c r="AC455" s="116">
        <f t="shared" si="406"/>
        <v>0</v>
      </c>
      <c r="AD455" s="116">
        <f t="shared" si="406"/>
        <v>0</v>
      </c>
      <c r="AE455" s="125">
        <f t="shared" si="406"/>
        <v>0</v>
      </c>
      <c r="AF455" s="116">
        <f t="shared" si="406"/>
        <v>0</v>
      </c>
      <c r="AG455" s="116">
        <f t="shared" si="406"/>
        <v>0</v>
      </c>
      <c r="AH455" s="116">
        <f t="shared" si="406"/>
        <v>0</v>
      </c>
      <c r="AI455" s="116">
        <f t="shared" si="406"/>
        <v>0</v>
      </c>
      <c r="AJ455" s="116">
        <f t="shared" si="406"/>
        <v>0</v>
      </c>
      <c r="AK455" s="116">
        <f t="shared" si="406"/>
        <v>0</v>
      </c>
      <c r="AL455" s="116">
        <f t="shared" si="406"/>
        <v>0</v>
      </c>
      <c r="AM455" s="116">
        <f t="shared" si="406"/>
        <v>0</v>
      </c>
      <c r="AN455" s="116">
        <f t="shared" si="406"/>
        <v>0</v>
      </c>
      <c r="AO455" s="116">
        <f t="shared" si="406"/>
        <v>0</v>
      </c>
      <c r="AP455" s="116">
        <f t="shared" si="406"/>
        <v>0</v>
      </c>
      <c r="AQ455" s="125">
        <f t="shared" si="406"/>
        <v>0</v>
      </c>
      <c r="AR455" s="116">
        <f t="shared" si="406"/>
        <v>0</v>
      </c>
      <c r="AS455" s="116">
        <f t="shared" si="406"/>
        <v>0</v>
      </c>
      <c r="AT455" s="116">
        <f t="shared" si="406"/>
        <v>0</v>
      </c>
      <c r="AU455" s="116">
        <f t="shared" si="406"/>
        <v>0</v>
      </c>
      <c r="AV455" s="116">
        <f t="shared" si="406"/>
        <v>0</v>
      </c>
      <c r="AW455" s="116">
        <f t="shared" si="406"/>
        <v>0</v>
      </c>
      <c r="AX455" s="116">
        <f t="shared" si="406"/>
        <v>0</v>
      </c>
      <c r="AY455" s="116">
        <f t="shared" si="406"/>
        <v>0</v>
      </c>
      <c r="AZ455" s="116">
        <f t="shared" si="406"/>
        <v>0</v>
      </c>
      <c r="BA455" s="116">
        <f t="shared" si="406"/>
        <v>0</v>
      </c>
      <c r="BB455" s="116">
        <f t="shared" si="406"/>
        <v>0</v>
      </c>
      <c r="BC455" s="31"/>
      <c r="BD455" s="31"/>
      <c r="BE455" s="22"/>
      <c r="BF455" s="22"/>
      <c r="BG455" s="22"/>
      <c r="BH455" s="31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</row>
    <row r="456" spans="1:79" ht="14.25" hidden="1" customHeight="1" outlineLevel="1" x14ac:dyDescent="0.25">
      <c r="A456" s="142"/>
      <c r="B456" s="142"/>
      <c r="C456" s="142"/>
      <c r="D456" s="142"/>
      <c r="E456" s="142"/>
      <c r="F456" s="143"/>
      <c r="G456" s="143"/>
      <c r="H456" s="143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5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5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5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6"/>
      <c r="BD456" s="146"/>
      <c r="BE456" s="142"/>
      <c r="BF456" s="142"/>
      <c r="BG456" s="142"/>
      <c r="BH456" s="146"/>
      <c r="BI456" s="142"/>
      <c r="BJ456" s="142"/>
      <c r="BK456" s="142"/>
      <c r="BL456" s="142"/>
      <c r="BM456" s="142"/>
      <c r="BN456" s="142"/>
      <c r="BO456" s="142"/>
      <c r="BP456" s="142"/>
      <c r="BQ456" s="142"/>
      <c r="BR456" s="142"/>
      <c r="BS456" s="142"/>
      <c r="BT456" s="142"/>
      <c r="BU456" s="142"/>
      <c r="BV456" s="142"/>
      <c r="BW456" s="142"/>
      <c r="BX456" s="142"/>
      <c r="BY456" s="142"/>
      <c r="BZ456" s="142"/>
      <c r="CA456" s="142"/>
    </row>
    <row r="457" spans="1:79" ht="14.25" hidden="1" customHeight="1" outlineLevel="1" x14ac:dyDescent="0.25">
      <c r="A457" s="142"/>
      <c r="B457" s="142"/>
      <c r="C457" s="142"/>
      <c r="D457" s="142"/>
      <c r="E457" s="142"/>
      <c r="F457" s="148" t="s">
        <v>244</v>
      </c>
      <c r="G457" s="143"/>
      <c r="H457" s="143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5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5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5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6"/>
      <c r="BD457" s="146"/>
      <c r="BE457" s="142"/>
      <c r="BF457" s="142"/>
      <c r="BG457" s="142"/>
      <c r="BH457" s="146"/>
      <c r="BI457" s="142"/>
      <c r="BJ457" s="142"/>
      <c r="BK457" s="142"/>
      <c r="BL457" s="142"/>
      <c r="BM457" s="142"/>
      <c r="BN457" s="142"/>
      <c r="BO457" s="142"/>
      <c r="BP457" s="142"/>
      <c r="BQ457" s="142"/>
      <c r="BR457" s="142"/>
      <c r="BS457" s="142"/>
      <c r="BT457" s="142"/>
      <c r="BU457" s="142"/>
      <c r="BV457" s="142"/>
      <c r="BW457" s="142"/>
      <c r="BX457" s="142"/>
      <c r="BY457" s="142"/>
      <c r="BZ457" s="142"/>
      <c r="CA457" s="142"/>
    </row>
    <row r="458" spans="1:79" ht="14.25" hidden="1" customHeight="1" outlineLevel="1" x14ac:dyDescent="0.25">
      <c r="A458" s="142"/>
      <c r="B458" s="142"/>
      <c r="C458" s="142"/>
      <c r="D458" s="142"/>
      <c r="E458" s="142"/>
      <c r="F458" s="143" t="s">
        <v>245</v>
      </c>
      <c r="G458" s="243">
        <f t="shared" ref="G458:BB458" si="407">G454</f>
        <v>0</v>
      </c>
      <c r="H458" s="243">
        <f t="shared" si="407"/>
        <v>0</v>
      </c>
      <c r="I458" s="144">
        <f t="shared" si="407"/>
        <v>0</v>
      </c>
      <c r="J458" s="144">
        <f t="shared" si="407"/>
        <v>0</v>
      </c>
      <c r="K458" s="144">
        <f t="shared" si="407"/>
        <v>0</v>
      </c>
      <c r="L458" s="144">
        <f t="shared" si="407"/>
        <v>0</v>
      </c>
      <c r="M458" s="144">
        <f t="shared" si="407"/>
        <v>0</v>
      </c>
      <c r="N458" s="144">
        <f t="shared" si="407"/>
        <v>0</v>
      </c>
      <c r="O458" s="144">
        <f t="shared" si="407"/>
        <v>0</v>
      </c>
      <c r="P458" s="144">
        <f t="shared" si="407"/>
        <v>0</v>
      </c>
      <c r="Q458" s="144">
        <f t="shared" si="407"/>
        <v>0</v>
      </c>
      <c r="R458" s="144">
        <f t="shared" si="407"/>
        <v>0</v>
      </c>
      <c r="S458" s="145">
        <f t="shared" si="407"/>
        <v>0</v>
      </c>
      <c r="T458" s="144">
        <f t="shared" si="407"/>
        <v>0</v>
      </c>
      <c r="U458" s="144">
        <f t="shared" si="407"/>
        <v>0</v>
      </c>
      <c r="V458" s="144">
        <f t="shared" si="407"/>
        <v>0</v>
      </c>
      <c r="W458" s="144">
        <f t="shared" si="407"/>
        <v>0</v>
      </c>
      <c r="X458" s="144">
        <f t="shared" si="407"/>
        <v>0</v>
      </c>
      <c r="Y458" s="144">
        <f t="shared" si="407"/>
        <v>0</v>
      </c>
      <c r="Z458" s="144">
        <f t="shared" si="407"/>
        <v>0</v>
      </c>
      <c r="AA458" s="144">
        <f t="shared" si="407"/>
        <v>0</v>
      </c>
      <c r="AB458" s="144">
        <f t="shared" si="407"/>
        <v>0</v>
      </c>
      <c r="AC458" s="144">
        <f t="shared" si="407"/>
        <v>0</v>
      </c>
      <c r="AD458" s="144">
        <f t="shared" si="407"/>
        <v>0</v>
      </c>
      <c r="AE458" s="145">
        <f t="shared" si="407"/>
        <v>0</v>
      </c>
      <c r="AF458" s="144">
        <f t="shared" si="407"/>
        <v>0</v>
      </c>
      <c r="AG458" s="144">
        <f t="shared" si="407"/>
        <v>0</v>
      </c>
      <c r="AH458" s="144">
        <f t="shared" si="407"/>
        <v>0</v>
      </c>
      <c r="AI458" s="144">
        <f t="shared" si="407"/>
        <v>0</v>
      </c>
      <c r="AJ458" s="144">
        <f t="shared" si="407"/>
        <v>0</v>
      </c>
      <c r="AK458" s="144">
        <f t="shared" si="407"/>
        <v>0</v>
      </c>
      <c r="AL458" s="144">
        <f t="shared" si="407"/>
        <v>0</v>
      </c>
      <c r="AM458" s="144">
        <f t="shared" si="407"/>
        <v>0</v>
      </c>
      <c r="AN458" s="144">
        <f t="shared" si="407"/>
        <v>0</v>
      </c>
      <c r="AO458" s="144">
        <f t="shared" si="407"/>
        <v>0</v>
      </c>
      <c r="AP458" s="144">
        <f t="shared" si="407"/>
        <v>0</v>
      </c>
      <c r="AQ458" s="145">
        <f t="shared" si="407"/>
        <v>0</v>
      </c>
      <c r="AR458" s="144">
        <f t="shared" si="407"/>
        <v>0</v>
      </c>
      <c r="AS458" s="144">
        <f t="shared" si="407"/>
        <v>0</v>
      </c>
      <c r="AT458" s="144">
        <f t="shared" si="407"/>
        <v>0</v>
      </c>
      <c r="AU458" s="144">
        <f t="shared" si="407"/>
        <v>0</v>
      </c>
      <c r="AV458" s="144">
        <f t="shared" si="407"/>
        <v>0</v>
      </c>
      <c r="AW458" s="144">
        <f t="shared" si="407"/>
        <v>0</v>
      </c>
      <c r="AX458" s="144">
        <f t="shared" si="407"/>
        <v>0</v>
      </c>
      <c r="AY458" s="144">
        <f t="shared" si="407"/>
        <v>0</v>
      </c>
      <c r="AZ458" s="144">
        <f t="shared" si="407"/>
        <v>0</v>
      </c>
      <c r="BA458" s="144">
        <f t="shared" si="407"/>
        <v>0</v>
      </c>
      <c r="BB458" s="144">
        <f t="shared" si="407"/>
        <v>0</v>
      </c>
      <c r="BC458" s="146"/>
      <c r="BD458" s="146"/>
      <c r="BE458" s="142"/>
      <c r="BF458" s="142"/>
      <c r="BG458" s="142"/>
      <c r="BH458" s="146"/>
      <c r="BI458" s="142"/>
      <c r="BJ458" s="142"/>
      <c r="BK458" s="142"/>
      <c r="BL458" s="142"/>
      <c r="BM458" s="142"/>
      <c r="BN458" s="142"/>
      <c r="BO458" s="142"/>
      <c r="BP458" s="142"/>
      <c r="BQ458" s="142"/>
      <c r="BR458" s="142"/>
      <c r="BS458" s="142"/>
      <c r="BT458" s="142"/>
      <c r="BU458" s="142"/>
      <c r="BV458" s="142"/>
      <c r="BW458" s="142"/>
      <c r="BX458" s="142"/>
      <c r="BY458" s="142"/>
      <c r="BZ458" s="142"/>
      <c r="CA458" s="142"/>
    </row>
    <row r="459" spans="1:79" ht="14.25" hidden="1" customHeight="1" outlineLevel="1" x14ac:dyDescent="0.25">
      <c r="A459" s="142"/>
      <c r="B459" s="142"/>
      <c r="C459" s="142"/>
      <c r="D459" s="142"/>
      <c r="E459" s="142"/>
      <c r="F459" s="143" t="s">
        <v>318</v>
      </c>
      <c r="G459" s="243">
        <f t="shared" ref="G459:BB459" si="408">G455</f>
        <v>0</v>
      </c>
      <c r="H459" s="243">
        <f t="shared" si="408"/>
        <v>0</v>
      </c>
      <c r="I459" s="144">
        <f t="shared" si="408"/>
        <v>0</v>
      </c>
      <c r="J459" s="144">
        <f t="shared" si="408"/>
        <v>0</v>
      </c>
      <c r="K459" s="144">
        <f t="shared" si="408"/>
        <v>0</v>
      </c>
      <c r="L459" s="144">
        <f t="shared" si="408"/>
        <v>0</v>
      </c>
      <c r="M459" s="144">
        <f t="shared" si="408"/>
        <v>0</v>
      </c>
      <c r="N459" s="144">
        <f t="shared" si="408"/>
        <v>0</v>
      </c>
      <c r="O459" s="144">
        <f t="shared" si="408"/>
        <v>0</v>
      </c>
      <c r="P459" s="144">
        <f t="shared" si="408"/>
        <v>0</v>
      </c>
      <c r="Q459" s="144">
        <f t="shared" si="408"/>
        <v>0</v>
      </c>
      <c r="R459" s="144">
        <f t="shared" si="408"/>
        <v>0</v>
      </c>
      <c r="S459" s="145">
        <f t="shared" si="408"/>
        <v>0</v>
      </c>
      <c r="T459" s="144">
        <f t="shared" si="408"/>
        <v>0</v>
      </c>
      <c r="U459" s="144">
        <f t="shared" si="408"/>
        <v>0</v>
      </c>
      <c r="V459" s="144">
        <f t="shared" si="408"/>
        <v>0</v>
      </c>
      <c r="W459" s="144">
        <f t="shared" si="408"/>
        <v>0</v>
      </c>
      <c r="X459" s="144">
        <f t="shared" si="408"/>
        <v>0</v>
      </c>
      <c r="Y459" s="144">
        <f t="shared" si="408"/>
        <v>0</v>
      </c>
      <c r="Z459" s="144">
        <f t="shared" si="408"/>
        <v>0</v>
      </c>
      <c r="AA459" s="144">
        <f t="shared" si="408"/>
        <v>0</v>
      </c>
      <c r="AB459" s="144">
        <f t="shared" si="408"/>
        <v>0</v>
      </c>
      <c r="AC459" s="144">
        <f t="shared" si="408"/>
        <v>0</v>
      </c>
      <c r="AD459" s="144">
        <f t="shared" si="408"/>
        <v>0</v>
      </c>
      <c r="AE459" s="145">
        <f t="shared" si="408"/>
        <v>0</v>
      </c>
      <c r="AF459" s="144">
        <f t="shared" si="408"/>
        <v>0</v>
      </c>
      <c r="AG459" s="144">
        <f t="shared" si="408"/>
        <v>0</v>
      </c>
      <c r="AH459" s="144">
        <f t="shared" si="408"/>
        <v>0</v>
      </c>
      <c r="AI459" s="144">
        <f t="shared" si="408"/>
        <v>0</v>
      </c>
      <c r="AJ459" s="144">
        <f t="shared" si="408"/>
        <v>0</v>
      </c>
      <c r="AK459" s="144">
        <f t="shared" si="408"/>
        <v>0</v>
      </c>
      <c r="AL459" s="144">
        <f t="shared" si="408"/>
        <v>0</v>
      </c>
      <c r="AM459" s="144">
        <f t="shared" si="408"/>
        <v>0</v>
      </c>
      <c r="AN459" s="144">
        <f t="shared" si="408"/>
        <v>0</v>
      </c>
      <c r="AO459" s="144">
        <f t="shared" si="408"/>
        <v>0</v>
      </c>
      <c r="AP459" s="144">
        <f t="shared" si="408"/>
        <v>0</v>
      </c>
      <c r="AQ459" s="145">
        <f t="shared" si="408"/>
        <v>0</v>
      </c>
      <c r="AR459" s="144">
        <f t="shared" si="408"/>
        <v>0</v>
      </c>
      <c r="AS459" s="144">
        <f t="shared" si="408"/>
        <v>0</v>
      </c>
      <c r="AT459" s="144">
        <f t="shared" si="408"/>
        <v>0</v>
      </c>
      <c r="AU459" s="144">
        <f t="shared" si="408"/>
        <v>0</v>
      </c>
      <c r="AV459" s="144">
        <f t="shared" si="408"/>
        <v>0</v>
      </c>
      <c r="AW459" s="144">
        <f t="shared" si="408"/>
        <v>0</v>
      </c>
      <c r="AX459" s="144">
        <f t="shared" si="408"/>
        <v>0</v>
      </c>
      <c r="AY459" s="144">
        <f t="shared" si="408"/>
        <v>0</v>
      </c>
      <c r="AZ459" s="144">
        <f t="shared" si="408"/>
        <v>0</v>
      </c>
      <c r="BA459" s="144">
        <f t="shared" si="408"/>
        <v>0</v>
      </c>
      <c r="BB459" s="144">
        <f t="shared" si="408"/>
        <v>0</v>
      </c>
      <c r="BC459" s="146"/>
      <c r="BD459" s="146"/>
      <c r="BE459" s="142"/>
      <c r="BF459" s="142"/>
      <c r="BG459" s="142"/>
      <c r="BH459" s="146"/>
      <c r="BI459" s="142"/>
      <c r="BJ459" s="142"/>
      <c r="BK459" s="142"/>
      <c r="BL459" s="142"/>
      <c r="BM459" s="142"/>
      <c r="BN459" s="142"/>
      <c r="BO459" s="142"/>
      <c r="BP459" s="142"/>
      <c r="BQ459" s="142"/>
      <c r="BR459" s="142"/>
      <c r="BS459" s="142"/>
      <c r="BT459" s="142"/>
      <c r="BU459" s="142"/>
      <c r="BV459" s="142"/>
      <c r="BW459" s="142"/>
      <c r="BX459" s="142"/>
      <c r="BY459" s="142"/>
      <c r="BZ459" s="142"/>
      <c r="CA459" s="142"/>
    </row>
    <row r="460" spans="1:79" ht="14.25" hidden="1" customHeight="1" outlineLevel="1" x14ac:dyDescent="0.25">
      <c r="A460" s="43"/>
      <c r="B460" s="43"/>
      <c r="C460" s="43"/>
      <c r="D460" s="43"/>
      <c r="E460" s="43"/>
      <c r="F460" s="222"/>
      <c r="G460" s="166"/>
      <c r="H460" s="166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8"/>
      <c r="T460" s="167"/>
      <c r="U460" s="167"/>
      <c r="V460" s="167"/>
      <c r="W460" s="167"/>
      <c r="X460" s="167"/>
      <c r="Y460" s="167"/>
      <c r="Z460" s="167"/>
      <c r="AA460" s="167"/>
      <c r="AB460" s="167"/>
      <c r="AC460" s="167"/>
      <c r="AD460" s="167"/>
      <c r="AE460" s="168"/>
      <c r="AF460" s="167"/>
      <c r="AG460" s="167"/>
      <c r="AH460" s="167"/>
      <c r="AI460" s="167"/>
      <c r="AJ460" s="167"/>
      <c r="AK460" s="167"/>
      <c r="AL460" s="167"/>
      <c r="AM460" s="167"/>
      <c r="AN460" s="167"/>
      <c r="AO460" s="167"/>
      <c r="AP460" s="167"/>
      <c r="AQ460" s="168"/>
      <c r="AR460" s="167"/>
      <c r="AS460" s="167"/>
      <c r="AT460" s="167"/>
      <c r="AU460" s="167"/>
      <c r="AV460" s="167"/>
      <c r="AW460" s="167"/>
      <c r="AX460" s="167"/>
      <c r="AY460" s="167"/>
      <c r="AZ460" s="167"/>
      <c r="BA460" s="167"/>
      <c r="BB460" s="167"/>
      <c r="BC460" s="45"/>
      <c r="BD460" s="45"/>
      <c r="BE460" s="43"/>
      <c r="BF460" s="43"/>
      <c r="BG460" s="43"/>
      <c r="BH460" s="45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</row>
    <row r="461" spans="1:79" ht="14.25" hidden="1" customHeight="1" outlineLevel="1" x14ac:dyDescent="0.25">
      <c r="A461" s="22"/>
      <c r="B461" s="22" t="s">
        <v>364</v>
      </c>
      <c r="C461" s="212">
        <v>30</v>
      </c>
      <c r="D461" s="22" t="s">
        <v>237</v>
      </c>
      <c r="E461" s="22"/>
      <c r="F461" s="82" t="s">
        <v>387</v>
      </c>
      <c r="G461" s="82"/>
      <c r="H461" s="242">
        <f t="shared" ref="H461:BB461" si="409">G438</f>
        <v>0</v>
      </c>
      <c r="I461" s="116">
        <f t="shared" si="409"/>
        <v>0</v>
      </c>
      <c r="J461" s="116">
        <f t="shared" si="409"/>
        <v>0</v>
      </c>
      <c r="K461" s="116">
        <f t="shared" si="409"/>
        <v>0</v>
      </c>
      <c r="L461" s="116">
        <f t="shared" si="409"/>
        <v>0</v>
      </c>
      <c r="M461" s="116">
        <f t="shared" si="409"/>
        <v>0</v>
      </c>
      <c r="N461" s="116">
        <f t="shared" si="409"/>
        <v>0</v>
      </c>
      <c r="O461" s="116">
        <f t="shared" si="409"/>
        <v>0</v>
      </c>
      <c r="P461" s="116">
        <f t="shared" si="409"/>
        <v>0</v>
      </c>
      <c r="Q461" s="116">
        <f t="shared" si="409"/>
        <v>0</v>
      </c>
      <c r="R461" s="116">
        <f t="shared" si="409"/>
        <v>0</v>
      </c>
      <c r="S461" s="125">
        <f t="shared" si="409"/>
        <v>0</v>
      </c>
      <c r="T461" s="116">
        <f t="shared" si="409"/>
        <v>0</v>
      </c>
      <c r="U461" s="116">
        <f t="shared" si="409"/>
        <v>0</v>
      </c>
      <c r="V461" s="116">
        <f t="shared" si="409"/>
        <v>0</v>
      </c>
      <c r="W461" s="116">
        <f t="shared" si="409"/>
        <v>0</v>
      </c>
      <c r="X461" s="116">
        <f t="shared" si="409"/>
        <v>0</v>
      </c>
      <c r="Y461" s="116">
        <f t="shared" si="409"/>
        <v>0</v>
      </c>
      <c r="Z461" s="116">
        <f t="shared" si="409"/>
        <v>0</v>
      </c>
      <c r="AA461" s="116">
        <f t="shared" si="409"/>
        <v>0</v>
      </c>
      <c r="AB461" s="116">
        <f t="shared" si="409"/>
        <v>0</v>
      </c>
      <c r="AC461" s="116">
        <f t="shared" si="409"/>
        <v>0</v>
      </c>
      <c r="AD461" s="116">
        <f t="shared" si="409"/>
        <v>0</v>
      </c>
      <c r="AE461" s="125">
        <f t="shared" si="409"/>
        <v>0</v>
      </c>
      <c r="AF461" s="116">
        <f t="shared" si="409"/>
        <v>0</v>
      </c>
      <c r="AG461" s="116">
        <f t="shared" si="409"/>
        <v>0</v>
      </c>
      <c r="AH461" s="116">
        <f t="shared" si="409"/>
        <v>0</v>
      </c>
      <c r="AI461" s="116">
        <f t="shared" si="409"/>
        <v>0</v>
      </c>
      <c r="AJ461" s="116">
        <f t="shared" si="409"/>
        <v>0</v>
      </c>
      <c r="AK461" s="116">
        <f t="shared" si="409"/>
        <v>0</v>
      </c>
      <c r="AL461" s="116">
        <f t="shared" si="409"/>
        <v>0</v>
      </c>
      <c r="AM461" s="116">
        <f t="shared" si="409"/>
        <v>0</v>
      </c>
      <c r="AN461" s="116">
        <f t="shared" si="409"/>
        <v>0</v>
      </c>
      <c r="AO461" s="116">
        <f t="shared" si="409"/>
        <v>0</v>
      </c>
      <c r="AP461" s="116">
        <f t="shared" si="409"/>
        <v>0</v>
      </c>
      <c r="AQ461" s="125">
        <f t="shared" si="409"/>
        <v>0</v>
      </c>
      <c r="AR461" s="116">
        <f t="shared" si="409"/>
        <v>0</v>
      </c>
      <c r="AS461" s="116">
        <f t="shared" si="409"/>
        <v>0</v>
      </c>
      <c r="AT461" s="116">
        <f t="shared" si="409"/>
        <v>0</v>
      </c>
      <c r="AU461" s="116">
        <f t="shared" si="409"/>
        <v>0</v>
      </c>
      <c r="AV461" s="116">
        <f t="shared" si="409"/>
        <v>0</v>
      </c>
      <c r="AW461" s="116">
        <f t="shared" si="409"/>
        <v>0</v>
      </c>
      <c r="AX461" s="116">
        <f t="shared" si="409"/>
        <v>0</v>
      </c>
      <c r="AY461" s="116">
        <f t="shared" si="409"/>
        <v>0</v>
      </c>
      <c r="AZ461" s="116">
        <f t="shared" si="409"/>
        <v>0</v>
      </c>
      <c r="BA461" s="116">
        <f t="shared" si="409"/>
        <v>0</v>
      </c>
      <c r="BB461" s="116">
        <f t="shared" si="409"/>
        <v>0</v>
      </c>
      <c r="BC461" s="31"/>
      <c r="BD461" s="31"/>
      <c r="BE461" s="22"/>
      <c r="BF461" s="22"/>
      <c r="BG461" s="22"/>
      <c r="BH461" s="31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</row>
    <row r="462" spans="1:79" ht="14.25" hidden="1" customHeight="1" outlineLevel="1" x14ac:dyDescent="0.25">
      <c r="A462" s="22"/>
      <c r="B462" s="22" t="s">
        <v>365</v>
      </c>
      <c r="C462" s="212">
        <v>30</v>
      </c>
      <c r="D462" s="22" t="s">
        <v>237</v>
      </c>
      <c r="E462" s="22"/>
      <c r="F462" s="165" t="s">
        <v>388</v>
      </c>
      <c r="G462" s="82"/>
      <c r="H462" s="244">
        <f t="shared" ref="H462:BB462" si="410">G443</f>
        <v>0</v>
      </c>
      <c r="I462" s="157">
        <f t="shared" si="410"/>
        <v>0</v>
      </c>
      <c r="J462" s="157">
        <f t="shared" si="410"/>
        <v>0</v>
      </c>
      <c r="K462" s="157">
        <f t="shared" si="410"/>
        <v>0</v>
      </c>
      <c r="L462" s="157">
        <f t="shared" si="410"/>
        <v>0</v>
      </c>
      <c r="M462" s="157">
        <f t="shared" si="410"/>
        <v>0</v>
      </c>
      <c r="N462" s="157">
        <f t="shared" si="410"/>
        <v>0</v>
      </c>
      <c r="O462" s="157">
        <f t="shared" si="410"/>
        <v>0</v>
      </c>
      <c r="P462" s="157">
        <f t="shared" si="410"/>
        <v>0</v>
      </c>
      <c r="Q462" s="157">
        <f t="shared" si="410"/>
        <v>0</v>
      </c>
      <c r="R462" s="157">
        <f t="shared" si="410"/>
        <v>0</v>
      </c>
      <c r="S462" s="158">
        <f t="shared" si="410"/>
        <v>0</v>
      </c>
      <c r="T462" s="157">
        <f t="shared" si="410"/>
        <v>0</v>
      </c>
      <c r="U462" s="157">
        <f t="shared" si="410"/>
        <v>0</v>
      </c>
      <c r="V462" s="157">
        <f t="shared" si="410"/>
        <v>0</v>
      </c>
      <c r="W462" s="157">
        <f t="shared" si="410"/>
        <v>0</v>
      </c>
      <c r="X462" s="157">
        <f t="shared" si="410"/>
        <v>0</v>
      </c>
      <c r="Y462" s="157">
        <f t="shared" si="410"/>
        <v>0</v>
      </c>
      <c r="Z462" s="157">
        <f t="shared" si="410"/>
        <v>0</v>
      </c>
      <c r="AA462" s="157">
        <f t="shared" si="410"/>
        <v>0</v>
      </c>
      <c r="AB462" s="157">
        <f t="shared" si="410"/>
        <v>0</v>
      </c>
      <c r="AC462" s="157">
        <f t="shared" si="410"/>
        <v>0</v>
      </c>
      <c r="AD462" s="157">
        <f t="shared" si="410"/>
        <v>0</v>
      </c>
      <c r="AE462" s="158">
        <f t="shared" si="410"/>
        <v>0</v>
      </c>
      <c r="AF462" s="157">
        <f t="shared" si="410"/>
        <v>0</v>
      </c>
      <c r="AG462" s="157">
        <f t="shared" si="410"/>
        <v>0</v>
      </c>
      <c r="AH462" s="157">
        <f t="shared" si="410"/>
        <v>0</v>
      </c>
      <c r="AI462" s="157">
        <f t="shared" si="410"/>
        <v>0</v>
      </c>
      <c r="AJ462" s="157">
        <f t="shared" si="410"/>
        <v>0</v>
      </c>
      <c r="AK462" s="157">
        <f t="shared" si="410"/>
        <v>0</v>
      </c>
      <c r="AL462" s="157">
        <f t="shared" si="410"/>
        <v>0</v>
      </c>
      <c r="AM462" s="157">
        <f t="shared" si="410"/>
        <v>0</v>
      </c>
      <c r="AN462" s="157">
        <f t="shared" si="410"/>
        <v>0</v>
      </c>
      <c r="AO462" s="157">
        <f t="shared" si="410"/>
        <v>0</v>
      </c>
      <c r="AP462" s="157">
        <f t="shared" si="410"/>
        <v>0</v>
      </c>
      <c r="AQ462" s="158">
        <f t="shared" si="410"/>
        <v>0</v>
      </c>
      <c r="AR462" s="157">
        <f t="shared" si="410"/>
        <v>0</v>
      </c>
      <c r="AS462" s="157">
        <f t="shared" si="410"/>
        <v>0</v>
      </c>
      <c r="AT462" s="157">
        <f t="shared" si="410"/>
        <v>0</v>
      </c>
      <c r="AU462" s="157">
        <f t="shared" si="410"/>
        <v>0</v>
      </c>
      <c r="AV462" s="157">
        <f t="shared" si="410"/>
        <v>0</v>
      </c>
      <c r="AW462" s="157">
        <f t="shared" si="410"/>
        <v>0</v>
      </c>
      <c r="AX462" s="157">
        <f t="shared" si="410"/>
        <v>0</v>
      </c>
      <c r="AY462" s="157">
        <f t="shared" si="410"/>
        <v>0</v>
      </c>
      <c r="AZ462" s="157">
        <f t="shared" si="410"/>
        <v>0</v>
      </c>
      <c r="BA462" s="157">
        <f t="shared" si="410"/>
        <v>0</v>
      </c>
      <c r="BB462" s="157">
        <f t="shared" si="410"/>
        <v>0</v>
      </c>
      <c r="BC462" s="31"/>
      <c r="BD462" s="31"/>
      <c r="BE462" s="22"/>
      <c r="BF462" s="22"/>
      <c r="BG462" s="22"/>
      <c r="BH462" s="31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</row>
    <row r="463" spans="1:79" ht="14.25" hidden="1" customHeight="1" outlineLevel="1" x14ac:dyDescent="0.25">
      <c r="A463" s="46"/>
      <c r="B463" s="46" t="s">
        <v>366</v>
      </c>
      <c r="C463" s="81"/>
      <c r="D463" s="46"/>
      <c r="E463" s="46"/>
      <c r="F463" s="139" t="s">
        <v>389</v>
      </c>
      <c r="G463" s="139"/>
      <c r="H463" s="187">
        <f t="shared" ref="H463:BB463" si="411">H461-H462</f>
        <v>0</v>
      </c>
      <c r="I463" s="140">
        <f t="shared" si="411"/>
        <v>0</v>
      </c>
      <c r="J463" s="140">
        <f t="shared" si="411"/>
        <v>0</v>
      </c>
      <c r="K463" s="140">
        <f t="shared" si="411"/>
        <v>0</v>
      </c>
      <c r="L463" s="140">
        <f t="shared" si="411"/>
        <v>0</v>
      </c>
      <c r="M463" s="140">
        <f t="shared" si="411"/>
        <v>0</v>
      </c>
      <c r="N463" s="140">
        <f t="shared" si="411"/>
        <v>0</v>
      </c>
      <c r="O463" s="140">
        <f t="shared" si="411"/>
        <v>0</v>
      </c>
      <c r="P463" s="140">
        <f t="shared" si="411"/>
        <v>0</v>
      </c>
      <c r="Q463" s="140">
        <f t="shared" si="411"/>
        <v>0</v>
      </c>
      <c r="R463" s="140">
        <f t="shared" si="411"/>
        <v>0</v>
      </c>
      <c r="S463" s="141">
        <f t="shared" si="411"/>
        <v>0</v>
      </c>
      <c r="T463" s="140">
        <f t="shared" si="411"/>
        <v>0</v>
      </c>
      <c r="U463" s="140">
        <f t="shared" si="411"/>
        <v>0</v>
      </c>
      <c r="V463" s="140">
        <f t="shared" si="411"/>
        <v>0</v>
      </c>
      <c r="W463" s="140">
        <f t="shared" si="411"/>
        <v>0</v>
      </c>
      <c r="X463" s="140">
        <f t="shared" si="411"/>
        <v>0</v>
      </c>
      <c r="Y463" s="140">
        <f t="shared" si="411"/>
        <v>0</v>
      </c>
      <c r="Z463" s="140">
        <f t="shared" si="411"/>
        <v>0</v>
      </c>
      <c r="AA463" s="140">
        <f t="shared" si="411"/>
        <v>0</v>
      </c>
      <c r="AB463" s="140">
        <f t="shared" si="411"/>
        <v>0</v>
      </c>
      <c r="AC463" s="140">
        <f t="shared" si="411"/>
        <v>0</v>
      </c>
      <c r="AD463" s="140">
        <f t="shared" si="411"/>
        <v>0</v>
      </c>
      <c r="AE463" s="141">
        <f t="shared" si="411"/>
        <v>0</v>
      </c>
      <c r="AF463" s="140">
        <f t="shared" si="411"/>
        <v>0</v>
      </c>
      <c r="AG463" s="140">
        <f t="shared" si="411"/>
        <v>0</v>
      </c>
      <c r="AH463" s="140">
        <f t="shared" si="411"/>
        <v>0</v>
      </c>
      <c r="AI463" s="140">
        <f t="shared" si="411"/>
        <v>0</v>
      </c>
      <c r="AJ463" s="140">
        <f t="shared" si="411"/>
        <v>0</v>
      </c>
      <c r="AK463" s="140">
        <f t="shared" si="411"/>
        <v>0</v>
      </c>
      <c r="AL463" s="140">
        <f t="shared" si="411"/>
        <v>0</v>
      </c>
      <c r="AM463" s="140">
        <f t="shared" si="411"/>
        <v>0</v>
      </c>
      <c r="AN463" s="140">
        <f t="shared" si="411"/>
        <v>0</v>
      </c>
      <c r="AO463" s="140">
        <f t="shared" si="411"/>
        <v>0</v>
      </c>
      <c r="AP463" s="140">
        <f t="shared" si="411"/>
        <v>0</v>
      </c>
      <c r="AQ463" s="141">
        <f t="shared" si="411"/>
        <v>0</v>
      </c>
      <c r="AR463" s="140">
        <f t="shared" si="411"/>
        <v>0</v>
      </c>
      <c r="AS463" s="140">
        <f t="shared" si="411"/>
        <v>0</v>
      </c>
      <c r="AT463" s="140">
        <f t="shared" si="411"/>
        <v>0</v>
      </c>
      <c r="AU463" s="140">
        <f t="shared" si="411"/>
        <v>0</v>
      </c>
      <c r="AV463" s="140">
        <f t="shared" si="411"/>
        <v>0</v>
      </c>
      <c r="AW463" s="140">
        <f t="shared" si="411"/>
        <v>0</v>
      </c>
      <c r="AX463" s="140">
        <f t="shared" si="411"/>
        <v>0</v>
      </c>
      <c r="AY463" s="140">
        <f t="shared" si="411"/>
        <v>0</v>
      </c>
      <c r="AZ463" s="140">
        <f t="shared" si="411"/>
        <v>0</v>
      </c>
      <c r="BA463" s="140">
        <f t="shared" si="411"/>
        <v>0</v>
      </c>
      <c r="BB463" s="140">
        <f t="shared" si="411"/>
        <v>0</v>
      </c>
      <c r="BC463" s="29"/>
      <c r="BD463" s="29"/>
      <c r="BE463" s="46"/>
      <c r="BF463" s="46"/>
      <c r="BG463" s="46"/>
      <c r="BH463" s="29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</row>
    <row r="464" spans="1:79" ht="14.25" hidden="1" customHeight="1" outlineLevel="1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29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29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29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29"/>
      <c r="BD464" s="29"/>
      <c r="BE464" s="46"/>
      <c r="BF464" s="46"/>
      <c r="BG464" s="46"/>
      <c r="BH464" s="29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</row>
    <row r="465" spans="1:79" ht="14.25" hidden="1" customHeight="1" outlineLevel="1" x14ac:dyDescent="0.2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5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5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5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5"/>
      <c r="BD465" s="45"/>
      <c r="BE465" s="43"/>
      <c r="BF465" s="43"/>
      <c r="BG465" s="43"/>
      <c r="BH465" s="45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</row>
    <row r="466" spans="1:79" ht="14.25" customHeight="1" collapsed="1" x14ac:dyDescent="0.25">
      <c r="A466" s="22"/>
      <c r="B466" s="22"/>
      <c r="C466" s="22"/>
      <c r="D466" s="22"/>
      <c r="E466" s="22"/>
      <c r="F466" s="80"/>
      <c r="G466" s="82"/>
      <c r="H466" s="82"/>
      <c r="I466" s="82"/>
      <c r="J466" s="82"/>
      <c r="K466" s="82"/>
      <c r="L466" s="22"/>
      <c r="M466" s="22"/>
      <c r="N466" s="22"/>
      <c r="O466" s="22"/>
      <c r="P466" s="22"/>
      <c r="Q466" s="22"/>
      <c r="R466" s="22"/>
      <c r="S466" s="31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31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31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31"/>
      <c r="BD466" s="31"/>
      <c r="BE466" s="22"/>
      <c r="BF466" s="22"/>
      <c r="BG466" s="22"/>
      <c r="BH466" s="31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</row>
    <row r="467" spans="1:79" ht="14.25" customHeight="1" x14ac:dyDescent="0.25">
      <c r="A467" s="30"/>
      <c r="B467" s="30" t="s">
        <v>390</v>
      </c>
      <c r="C467" s="30"/>
      <c r="D467" s="30"/>
      <c r="E467" s="30"/>
      <c r="F467" s="110"/>
      <c r="G467" s="138"/>
      <c r="H467" s="138"/>
      <c r="I467" s="138"/>
      <c r="J467" s="138"/>
      <c r="K467" s="138"/>
      <c r="L467" s="30"/>
      <c r="M467" s="30"/>
      <c r="N467" s="30"/>
      <c r="O467" s="30"/>
      <c r="P467" s="30"/>
      <c r="Q467" s="30"/>
      <c r="R467" s="30"/>
      <c r="S467" s="111"/>
      <c r="T467" s="30"/>
      <c r="U467" s="30"/>
      <c r="V467" s="30"/>
      <c r="W467" s="30"/>
      <c r="X467" s="30"/>
      <c r="Y467" s="30"/>
      <c r="Z467" s="30"/>
      <c r="AA467" s="30"/>
      <c r="AB467" s="126">
        <f t="shared" ref="AB467:AP467" si="412">AB479</f>
        <v>6187.5</v>
      </c>
      <c r="AC467" s="126">
        <f t="shared" si="412"/>
        <v>12375</v>
      </c>
      <c r="AD467" s="126">
        <f t="shared" si="412"/>
        <v>18562.5</v>
      </c>
      <c r="AE467" s="127">
        <f t="shared" si="412"/>
        <v>41062.5</v>
      </c>
      <c r="AF467" s="126">
        <f t="shared" si="412"/>
        <v>57487.5</v>
      </c>
      <c r="AG467" s="126">
        <f t="shared" si="412"/>
        <v>73912.5</v>
      </c>
      <c r="AH467" s="126">
        <f t="shared" si="412"/>
        <v>90337.5</v>
      </c>
      <c r="AI467" s="126">
        <f t="shared" si="412"/>
        <v>106762.5</v>
      </c>
      <c r="AJ467" s="126">
        <f t="shared" si="412"/>
        <v>123187.5</v>
      </c>
      <c r="AK467" s="126">
        <f t="shared" si="412"/>
        <v>139612.5</v>
      </c>
      <c r="AL467" s="126">
        <f t="shared" si="412"/>
        <v>164250</v>
      </c>
      <c r="AM467" s="126">
        <f t="shared" si="412"/>
        <v>188887.5</v>
      </c>
      <c r="AN467" s="126">
        <f t="shared" si="412"/>
        <v>213525</v>
      </c>
      <c r="AO467" s="126">
        <f t="shared" si="412"/>
        <v>238162.5</v>
      </c>
      <c r="AP467" s="126">
        <f t="shared" si="412"/>
        <v>262800</v>
      </c>
      <c r="AQ467" s="111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111"/>
      <c r="BD467" s="111"/>
      <c r="BE467" s="30"/>
      <c r="BF467" s="30"/>
      <c r="BG467" s="30"/>
      <c r="BH467" s="111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</row>
    <row r="468" spans="1:79" ht="14.25" hidden="1" customHeight="1" outlineLevel="1" x14ac:dyDescent="0.25">
      <c r="A468" s="22"/>
      <c r="B468" s="22"/>
      <c r="C468" s="22"/>
      <c r="D468" s="22"/>
      <c r="E468" s="22"/>
      <c r="F468" s="82"/>
      <c r="G468" s="82"/>
      <c r="H468" s="82"/>
      <c r="I468" s="82"/>
      <c r="J468" s="82"/>
      <c r="K468" s="82"/>
      <c r="L468" s="22"/>
      <c r="M468" s="22"/>
      <c r="N468" s="22"/>
      <c r="O468" s="22"/>
      <c r="P468" s="22"/>
      <c r="Q468" s="22"/>
      <c r="R468" s="22"/>
      <c r="S468" s="31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31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31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31"/>
      <c r="BD468" s="31"/>
      <c r="BE468" s="22"/>
      <c r="BF468" s="22"/>
      <c r="BG468" s="22"/>
      <c r="BH468" s="31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</row>
    <row r="469" spans="1:79" ht="14.25" hidden="1" customHeight="1" outlineLevel="1" x14ac:dyDescent="0.25">
      <c r="A469" s="22"/>
      <c r="B469" s="30" t="s">
        <v>391</v>
      </c>
      <c r="C469" s="30">
        <v>2026</v>
      </c>
      <c r="D469" s="30">
        <v>2027</v>
      </c>
      <c r="E469" s="245" t="s">
        <v>392</v>
      </c>
      <c r="F469" s="82"/>
      <c r="G469" s="82"/>
      <c r="H469" s="82"/>
      <c r="I469" s="82"/>
      <c r="J469" s="82"/>
      <c r="K469" s="82"/>
      <c r="L469" s="22"/>
      <c r="M469" s="22"/>
      <c r="N469" s="22"/>
      <c r="O469" s="22"/>
      <c r="P469" s="22"/>
      <c r="Q469" s="22"/>
      <c r="R469" s="22"/>
      <c r="S469" s="31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31"/>
      <c r="AF469" s="22"/>
      <c r="AG469" s="22"/>
      <c r="AH469" s="22"/>
      <c r="AI469" s="22"/>
      <c r="AJ469" s="22"/>
      <c r="AK469" s="246" t="s">
        <v>393</v>
      </c>
      <c r="AL469" s="22"/>
      <c r="AM469" s="22"/>
      <c r="AN469" s="22"/>
      <c r="AO469" s="22"/>
      <c r="AP469" s="22"/>
      <c r="AQ469" s="31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31"/>
      <c r="BD469" s="31"/>
      <c r="BE469" s="22"/>
      <c r="BF469" s="22"/>
      <c r="BG469" s="22"/>
      <c r="BH469" s="31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</row>
    <row r="470" spans="1:79" ht="14.25" hidden="1" customHeight="1" outlineLevel="1" x14ac:dyDescent="0.25">
      <c r="A470" s="22"/>
      <c r="B470" s="22" t="s">
        <v>394</v>
      </c>
      <c r="C470" s="247">
        <v>1</v>
      </c>
      <c r="D470" s="248">
        <v>2</v>
      </c>
      <c r="E470" s="249">
        <f>$C$15</f>
        <v>46296</v>
      </c>
      <c r="F470" s="82"/>
      <c r="G470" s="109"/>
      <c r="H470" s="109"/>
      <c r="I470" s="109"/>
      <c r="J470" s="109"/>
      <c r="K470" s="109"/>
      <c r="L470" s="11"/>
      <c r="M470" s="11"/>
      <c r="N470" s="11"/>
      <c r="O470" s="11"/>
      <c r="P470" s="11"/>
      <c r="Q470" s="11"/>
      <c r="R470" s="11"/>
      <c r="S470" s="50"/>
      <c r="T470" s="11"/>
      <c r="U470" s="11"/>
      <c r="V470" s="11"/>
      <c r="W470" s="11"/>
      <c r="X470" s="11"/>
      <c r="Y470" s="11"/>
      <c r="Z470" s="11"/>
      <c r="AA470" s="11"/>
      <c r="AB470" s="11">
        <f t="shared" ref="AB470:AD470" si="413">IF($E470&lt;=AB$3,$C470+AA470," ")</f>
        <v>1</v>
      </c>
      <c r="AC470" s="11">
        <f t="shared" si="413"/>
        <v>2</v>
      </c>
      <c r="AD470" s="11">
        <f t="shared" si="413"/>
        <v>3</v>
      </c>
      <c r="AE470" s="50">
        <f t="shared" ref="AE470:AJ470" si="414">IF($E470&lt;=AE$3,$D470+AD470," ")</f>
        <v>5</v>
      </c>
      <c r="AF470" s="11">
        <f t="shared" si="414"/>
        <v>7</v>
      </c>
      <c r="AG470" s="11">
        <f t="shared" si="414"/>
        <v>9</v>
      </c>
      <c r="AH470" s="11">
        <f t="shared" si="414"/>
        <v>11</v>
      </c>
      <c r="AI470" s="11">
        <f t="shared" si="414"/>
        <v>13</v>
      </c>
      <c r="AJ470" s="11">
        <f t="shared" si="414"/>
        <v>15</v>
      </c>
      <c r="AK470" s="162">
        <f t="shared" ref="AK470:AP470" si="415">IF($E470&lt;=AK$3,$D470+AJ470," ")+1</f>
        <v>18</v>
      </c>
      <c r="AL470" s="11">
        <f t="shared" si="415"/>
        <v>21</v>
      </c>
      <c r="AM470" s="11">
        <f t="shared" si="415"/>
        <v>24</v>
      </c>
      <c r="AN470" s="11">
        <f t="shared" si="415"/>
        <v>27</v>
      </c>
      <c r="AO470" s="11">
        <f t="shared" si="415"/>
        <v>30</v>
      </c>
      <c r="AP470" s="11">
        <f t="shared" si="415"/>
        <v>33</v>
      </c>
      <c r="AQ470" s="31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31"/>
      <c r="BD470" s="31"/>
      <c r="BE470" s="22"/>
      <c r="BF470" s="22"/>
      <c r="BG470" s="22"/>
      <c r="BH470" s="31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</row>
    <row r="471" spans="1:79" ht="14.25" hidden="1" customHeight="1" outlineLevel="1" x14ac:dyDescent="0.25">
      <c r="A471" s="22"/>
      <c r="B471" s="22" t="s">
        <v>371</v>
      </c>
      <c r="C471" s="186">
        <v>0.97</v>
      </c>
      <c r="D471" s="186">
        <v>0.95</v>
      </c>
      <c r="E471" s="246"/>
      <c r="F471" s="139" t="s">
        <v>395</v>
      </c>
      <c r="G471" s="109"/>
      <c r="H471" s="109"/>
      <c r="I471" s="109"/>
      <c r="J471" s="109"/>
      <c r="K471" s="109"/>
      <c r="L471" s="11"/>
      <c r="M471" s="11"/>
      <c r="N471" s="11"/>
      <c r="O471" s="11"/>
      <c r="P471" s="11"/>
      <c r="Q471" s="11"/>
      <c r="R471" s="11"/>
      <c r="S471" s="50"/>
      <c r="T471" s="11"/>
      <c r="U471" s="11"/>
      <c r="V471" s="11"/>
      <c r="W471" s="11"/>
      <c r="X471" s="11"/>
      <c r="Y471" s="11"/>
      <c r="Z471" s="11"/>
      <c r="AA471" s="11"/>
      <c r="AB471" s="11">
        <f t="shared" ref="AB471:AP471" si="416">ROUND($C471*AB470,0)</f>
        <v>1</v>
      </c>
      <c r="AC471" s="11">
        <f t="shared" si="416"/>
        <v>2</v>
      </c>
      <c r="AD471" s="11">
        <f t="shared" si="416"/>
        <v>3</v>
      </c>
      <c r="AE471" s="50">
        <f t="shared" si="416"/>
        <v>5</v>
      </c>
      <c r="AF471" s="11">
        <f t="shared" si="416"/>
        <v>7</v>
      </c>
      <c r="AG471" s="11">
        <f t="shared" si="416"/>
        <v>9</v>
      </c>
      <c r="AH471" s="11">
        <f t="shared" si="416"/>
        <v>11</v>
      </c>
      <c r="AI471" s="11">
        <f t="shared" si="416"/>
        <v>13</v>
      </c>
      <c r="AJ471" s="11">
        <f t="shared" si="416"/>
        <v>15</v>
      </c>
      <c r="AK471" s="11">
        <f t="shared" si="416"/>
        <v>17</v>
      </c>
      <c r="AL471" s="11">
        <f t="shared" si="416"/>
        <v>20</v>
      </c>
      <c r="AM471" s="11">
        <f t="shared" si="416"/>
        <v>23</v>
      </c>
      <c r="AN471" s="11">
        <f t="shared" si="416"/>
        <v>26</v>
      </c>
      <c r="AO471" s="11">
        <f t="shared" si="416"/>
        <v>29</v>
      </c>
      <c r="AP471" s="11">
        <f t="shared" si="416"/>
        <v>32</v>
      </c>
      <c r="AQ471" s="31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31"/>
      <c r="BD471" s="31"/>
      <c r="BE471" s="22"/>
      <c r="BF471" s="22"/>
      <c r="BG471" s="22"/>
      <c r="BH471" s="31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</row>
    <row r="472" spans="1:79" ht="14.25" hidden="1" customHeight="1" outlineLevel="1" x14ac:dyDescent="0.25">
      <c r="A472" s="22"/>
      <c r="B472" s="22" t="s">
        <v>396</v>
      </c>
      <c r="C472" s="247">
        <v>90</v>
      </c>
      <c r="D472" s="247">
        <v>100</v>
      </c>
      <c r="E472" s="246"/>
      <c r="F472" s="139" t="s">
        <v>397</v>
      </c>
      <c r="G472" s="109"/>
      <c r="H472" s="109"/>
      <c r="I472" s="109"/>
      <c r="J472" s="109"/>
      <c r="K472" s="109"/>
      <c r="L472" s="11"/>
      <c r="M472" s="11"/>
      <c r="N472" s="11"/>
      <c r="O472" s="11"/>
      <c r="P472" s="11"/>
      <c r="Q472" s="11"/>
      <c r="R472" s="11"/>
      <c r="S472" s="50"/>
      <c r="T472" s="11"/>
      <c r="U472" s="11"/>
      <c r="V472" s="11"/>
      <c r="W472" s="11"/>
      <c r="X472" s="11"/>
      <c r="Y472" s="11"/>
      <c r="Z472" s="11"/>
      <c r="AA472" s="11"/>
      <c r="AB472" s="11">
        <f t="shared" ref="AB472:AP472" si="417">$C472*AB$471</f>
        <v>90</v>
      </c>
      <c r="AC472" s="11">
        <f t="shared" si="417"/>
        <v>180</v>
      </c>
      <c r="AD472" s="11">
        <f t="shared" si="417"/>
        <v>270</v>
      </c>
      <c r="AE472" s="50">
        <f t="shared" si="417"/>
        <v>450</v>
      </c>
      <c r="AF472" s="11">
        <f t="shared" si="417"/>
        <v>630</v>
      </c>
      <c r="AG472" s="11">
        <f t="shared" si="417"/>
        <v>810</v>
      </c>
      <c r="AH472" s="11">
        <f t="shared" si="417"/>
        <v>990</v>
      </c>
      <c r="AI472" s="11">
        <f t="shared" si="417"/>
        <v>1170</v>
      </c>
      <c r="AJ472" s="11">
        <f t="shared" si="417"/>
        <v>1350</v>
      </c>
      <c r="AK472" s="11">
        <f t="shared" si="417"/>
        <v>1530</v>
      </c>
      <c r="AL472" s="11">
        <f t="shared" si="417"/>
        <v>1800</v>
      </c>
      <c r="AM472" s="11">
        <f t="shared" si="417"/>
        <v>2070</v>
      </c>
      <c r="AN472" s="11">
        <f t="shared" si="417"/>
        <v>2340</v>
      </c>
      <c r="AO472" s="11">
        <f t="shared" si="417"/>
        <v>2610</v>
      </c>
      <c r="AP472" s="11">
        <f t="shared" si="417"/>
        <v>2880</v>
      </c>
      <c r="AQ472" s="31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31"/>
      <c r="BD472" s="31"/>
      <c r="BE472" s="22"/>
      <c r="BF472" s="22"/>
      <c r="BG472" s="22"/>
      <c r="BH472" s="31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</row>
    <row r="473" spans="1:79" ht="14.25" hidden="1" customHeight="1" outlineLevel="1" x14ac:dyDescent="0.25">
      <c r="A473" s="22"/>
      <c r="B473" s="22"/>
      <c r="C473" s="22"/>
      <c r="D473" s="22"/>
      <c r="E473" s="22"/>
      <c r="F473" s="82"/>
      <c r="G473" s="82"/>
      <c r="H473" s="82"/>
      <c r="I473" s="82"/>
      <c r="J473" s="82"/>
      <c r="K473" s="82"/>
      <c r="L473" s="22"/>
      <c r="M473" s="22"/>
      <c r="N473" s="22"/>
      <c r="O473" s="22"/>
      <c r="P473" s="22"/>
      <c r="Q473" s="22"/>
      <c r="R473" s="22"/>
      <c r="S473" s="31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31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31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31"/>
      <c r="BD473" s="31"/>
      <c r="BE473" s="22"/>
      <c r="BF473" s="22"/>
      <c r="BG473" s="22"/>
      <c r="BH473" s="31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</row>
    <row r="474" spans="1:79" ht="14.25" hidden="1" customHeight="1" outlineLevel="1" x14ac:dyDescent="0.25">
      <c r="A474" s="22"/>
      <c r="B474" s="30" t="s">
        <v>398</v>
      </c>
      <c r="C474" s="30">
        <v>2026</v>
      </c>
      <c r="D474" s="30">
        <v>2027</v>
      </c>
      <c r="E474" s="22"/>
      <c r="F474" s="138" t="s">
        <v>399</v>
      </c>
      <c r="G474" s="138"/>
      <c r="H474" s="138"/>
      <c r="I474" s="138"/>
      <c r="J474" s="138"/>
      <c r="K474" s="138"/>
      <c r="L474" s="30"/>
      <c r="M474" s="30"/>
      <c r="N474" s="30"/>
      <c r="O474" s="30"/>
      <c r="P474" s="30"/>
      <c r="Q474" s="30"/>
      <c r="R474" s="30"/>
      <c r="S474" s="111"/>
      <c r="T474" s="30"/>
      <c r="U474" s="30"/>
      <c r="V474" s="30"/>
      <c r="W474" s="30"/>
      <c r="X474" s="30"/>
      <c r="Y474" s="30"/>
      <c r="Z474" s="30"/>
      <c r="AA474" s="7"/>
      <c r="AB474" s="7">
        <f t="shared" ref="AB474:AP474" si="418">SUM(AB475:AB477)</f>
        <v>90</v>
      </c>
      <c r="AC474" s="7">
        <f t="shared" si="418"/>
        <v>180</v>
      </c>
      <c r="AD474" s="7">
        <f t="shared" si="418"/>
        <v>270</v>
      </c>
      <c r="AE474" s="6">
        <f t="shared" si="418"/>
        <v>450</v>
      </c>
      <c r="AF474" s="7">
        <f t="shared" si="418"/>
        <v>630</v>
      </c>
      <c r="AG474" s="7">
        <f t="shared" si="418"/>
        <v>810</v>
      </c>
      <c r="AH474" s="7">
        <f t="shared" si="418"/>
        <v>990</v>
      </c>
      <c r="AI474" s="7">
        <f t="shared" si="418"/>
        <v>1170</v>
      </c>
      <c r="AJ474" s="7">
        <f t="shared" si="418"/>
        <v>1350</v>
      </c>
      <c r="AK474" s="7">
        <f t="shared" si="418"/>
        <v>1530</v>
      </c>
      <c r="AL474" s="7">
        <f t="shared" si="418"/>
        <v>1800</v>
      </c>
      <c r="AM474" s="7">
        <f t="shared" si="418"/>
        <v>2070</v>
      </c>
      <c r="AN474" s="7">
        <f t="shared" si="418"/>
        <v>2340</v>
      </c>
      <c r="AO474" s="7">
        <f t="shared" si="418"/>
        <v>2610</v>
      </c>
      <c r="AP474" s="7">
        <f t="shared" si="418"/>
        <v>2880</v>
      </c>
      <c r="AQ474" s="31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31"/>
      <c r="BD474" s="31"/>
      <c r="BE474" s="22"/>
      <c r="BF474" s="22"/>
      <c r="BG474" s="22"/>
      <c r="BH474" s="31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</row>
    <row r="475" spans="1:79" ht="14.25" hidden="1" customHeight="1" outlineLevel="1" x14ac:dyDescent="0.25">
      <c r="A475" s="22"/>
      <c r="B475" s="22" t="s">
        <v>400</v>
      </c>
      <c r="C475" s="186">
        <v>0.75</v>
      </c>
      <c r="D475" s="186">
        <v>0.6</v>
      </c>
      <c r="E475" s="22"/>
      <c r="F475" s="82" t="s">
        <v>401</v>
      </c>
      <c r="G475" s="82"/>
      <c r="H475" s="82"/>
      <c r="I475" s="82"/>
      <c r="J475" s="82"/>
      <c r="K475" s="82"/>
      <c r="L475" s="22"/>
      <c r="M475" s="22"/>
      <c r="N475" s="22"/>
      <c r="O475" s="22"/>
      <c r="P475" s="22"/>
      <c r="Q475" s="22"/>
      <c r="R475" s="22"/>
      <c r="S475" s="31"/>
      <c r="T475" s="22"/>
      <c r="U475" s="22"/>
      <c r="V475" s="22"/>
      <c r="W475" s="22"/>
      <c r="X475" s="22"/>
      <c r="Y475" s="22"/>
      <c r="Z475" s="22"/>
      <c r="AA475" s="22"/>
      <c r="AB475" s="11">
        <f t="shared" ref="AB475:AD475" si="419">AB$472*$C475</f>
        <v>67.5</v>
      </c>
      <c r="AC475" s="11">
        <f t="shared" si="419"/>
        <v>135</v>
      </c>
      <c r="AD475" s="11">
        <f t="shared" si="419"/>
        <v>202.5</v>
      </c>
      <c r="AE475" s="50">
        <f t="shared" ref="AE475:AP475" si="420">AE$472*$D475</f>
        <v>270</v>
      </c>
      <c r="AF475" s="11">
        <f t="shared" si="420"/>
        <v>378</v>
      </c>
      <c r="AG475" s="11">
        <f t="shared" si="420"/>
        <v>486</v>
      </c>
      <c r="AH475" s="11">
        <f t="shared" si="420"/>
        <v>594</v>
      </c>
      <c r="AI475" s="11">
        <f t="shared" si="420"/>
        <v>702</v>
      </c>
      <c r="AJ475" s="11">
        <f t="shared" si="420"/>
        <v>810</v>
      </c>
      <c r="AK475" s="11">
        <f t="shared" si="420"/>
        <v>918</v>
      </c>
      <c r="AL475" s="11">
        <f t="shared" si="420"/>
        <v>1080</v>
      </c>
      <c r="AM475" s="11">
        <f t="shared" si="420"/>
        <v>1242</v>
      </c>
      <c r="AN475" s="11">
        <f t="shared" si="420"/>
        <v>1404</v>
      </c>
      <c r="AO475" s="11">
        <f t="shared" si="420"/>
        <v>1566</v>
      </c>
      <c r="AP475" s="11">
        <f t="shared" si="420"/>
        <v>1728</v>
      </c>
      <c r="AQ475" s="31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31"/>
      <c r="BD475" s="31"/>
      <c r="BE475" s="22"/>
      <c r="BF475" s="22"/>
      <c r="BG475" s="22"/>
      <c r="BH475" s="31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</row>
    <row r="476" spans="1:79" ht="14.25" hidden="1" customHeight="1" outlineLevel="1" x14ac:dyDescent="0.25">
      <c r="A476" s="22"/>
      <c r="B476" s="22" t="s">
        <v>402</v>
      </c>
      <c r="C476" s="186">
        <v>0.25</v>
      </c>
      <c r="D476" s="186">
        <v>0.35</v>
      </c>
      <c r="E476" s="22"/>
      <c r="F476" s="82" t="s">
        <v>403</v>
      </c>
      <c r="G476" s="82"/>
      <c r="H476" s="82"/>
      <c r="I476" s="82"/>
      <c r="J476" s="82"/>
      <c r="K476" s="82"/>
      <c r="L476" s="22"/>
      <c r="M476" s="22"/>
      <c r="N476" s="22"/>
      <c r="O476" s="22"/>
      <c r="P476" s="22"/>
      <c r="Q476" s="22"/>
      <c r="R476" s="22"/>
      <c r="S476" s="31"/>
      <c r="T476" s="22"/>
      <c r="U476" s="22"/>
      <c r="V476" s="22"/>
      <c r="W476" s="22"/>
      <c r="X476" s="22"/>
      <c r="Y476" s="22"/>
      <c r="Z476" s="22"/>
      <c r="AA476" s="22"/>
      <c r="AB476" s="11">
        <f t="shared" ref="AB476:AD476" si="421">AB$472*$C476</f>
        <v>22.5</v>
      </c>
      <c r="AC476" s="11">
        <f t="shared" si="421"/>
        <v>45</v>
      </c>
      <c r="AD476" s="11">
        <f t="shared" si="421"/>
        <v>67.5</v>
      </c>
      <c r="AE476" s="50">
        <f t="shared" ref="AE476:AP476" si="422">AE$472*$D476</f>
        <v>157.5</v>
      </c>
      <c r="AF476" s="11">
        <f t="shared" si="422"/>
        <v>220.5</v>
      </c>
      <c r="AG476" s="11">
        <f t="shared" si="422"/>
        <v>283.5</v>
      </c>
      <c r="AH476" s="11">
        <f t="shared" si="422"/>
        <v>346.5</v>
      </c>
      <c r="AI476" s="11">
        <f t="shared" si="422"/>
        <v>409.5</v>
      </c>
      <c r="AJ476" s="11">
        <f t="shared" si="422"/>
        <v>472.49999999999994</v>
      </c>
      <c r="AK476" s="11">
        <f t="shared" si="422"/>
        <v>535.5</v>
      </c>
      <c r="AL476" s="11">
        <f t="shared" si="422"/>
        <v>630</v>
      </c>
      <c r="AM476" s="11">
        <f t="shared" si="422"/>
        <v>724.5</v>
      </c>
      <c r="AN476" s="11">
        <f t="shared" si="422"/>
        <v>819</v>
      </c>
      <c r="AO476" s="11">
        <f t="shared" si="422"/>
        <v>913.49999999999989</v>
      </c>
      <c r="AP476" s="11">
        <f t="shared" si="422"/>
        <v>1007.9999999999999</v>
      </c>
      <c r="AQ476" s="31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31"/>
      <c r="BD476" s="31"/>
      <c r="BE476" s="22"/>
      <c r="BF476" s="22"/>
      <c r="BG476" s="22"/>
      <c r="BH476" s="31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</row>
    <row r="477" spans="1:79" ht="14.25" hidden="1" customHeight="1" outlineLevel="1" x14ac:dyDescent="0.25">
      <c r="A477" s="22"/>
      <c r="B477" s="22" t="s">
        <v>404</v>
      </c>
      <c r="C477" s="186">
        <v>0</v>
      </c>
      <c r="D477" s="186">
        <v>0.05</v>
      </c>
      <c r="E477" s="22"/>
      <c r="F477" s="82" t="s">
        <v>405</v>
      </c>
      <c r="G477" s="82"/>
      <c r="H477" s="82"/>
      <c r="I477" s="82"/>
      <c r="J477" s="82"/>
      <c r="K477" s="82"/>
      <c r="L477" s="22"/>
      <c r="M477" s="22"/>
      <c r="N477" s="22"/>
      <c r="O477" s="22"/>
      <c r="P477" s="22"/>
      <c r="Q477" s="22"/>
      <c r="R477" s="22"/>
      <c r="S477" s="31"/>
      <c r="T477" s="22"/>
      <c r="U477" s="22"/>
      <c r="V477" s="22"/>
      <c r="W477" s="22"/>
      <c r="X477" s="22"/>
      <c r="Y477" s="22"/>
      <c r="Z477" s="22"/>
      <c r="AA477" s="22"/>
      <c r="AB477" s="11">
        <f t="shared" ref="AB477:AD477" si="423">AB$472*$C477</f>
        <v>0</v>
      </c>
      <c r="AC477" s="11">
        <f t="shared" si="423"/>
        <v>0</v>
      </c>
      <c r="AD477" s="11">
        <f t="shared" si="423"/>
        <v>0</v>
      </c>
      <c r="AE477" s="50">
        <f t="shared" ref="AE477:AP477" si="424">AE$472*$D477</f>
        <v>22.5</v>
      </c>
      <c r="AF477" s="11">
        <f t="shared" si="424"/>
        <v>31.5</v>
      </c>
      <c r="AG477" s="11">
        <f t="shared" si="424"/>
        <v>40.5</v>
      </c>
      <c r="AH477" s="11">
        <f t="shared" si="424"/>
        <v>49.5</v>
      </c>
      <c r="AI477" s="11">
        <f t="shared" si="424"/>
        <v>58.5</v>
      </c>
      <c r="AJ477" s="11">
        <f t="shared" si="424"/>
        <v>67.5</v>
      </c>
      <c r="AK477" s="11">
        <f t="shared" si="424"/>
        <v>76.5</v>
      </c>
      <c r="AL477" s="11">
        <f t="shared" si="424"/>
        <v>90</v>
      </c>
      <c r="AM477" s="11">
        <f t="shared" si="424"/>
        <v>103.5</v>
      </c>
      <c r="AN477" s="11">
        <f t="shared" si="424"/>
        <v>117</v>
      </c>
      <c r="AO477" s="11">
        <f t="shared" si="424"/>
        <v>130.5</v>
      </c>
      <c r="AP477" s="11">
        <f t="shared" si="424"/>
        <v>144</v>
      </c>
      <c r="AQ477" s="31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31"/>
      <c r="BD477" s="31"/>
      <c r="BE477" s="22"/>
      <c r="BF477" s="22"/>
      <c r="BG477" s="22"/>
      <c r="BH477" s="31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</row>
    <row r="478" spans="1:79" ht="14.25" hidden="1" customHeight="1" outlineLevel="1" x14ac:dyDescent="0.25">
      <c r="A478" s="22"/>
      <c r="B478" s="22"/>
      <c r="C478" s="22"/>
      <c r="D478" s="22"/>
      <c r="E478" s="22"/>
      <c r="F478" s="82"/>
      <c r="G478" s="82"/>
      <c r="H478" s="82"/>
      <c r="I478" s="82"/>
      <c r="J478" s="82"/>
      <c r="K478" s="82"/>
      <c r="L478" s="22"/>
      <c r="M478" s="22"/>
      <c r="N478" s="22"/>
      <c r="O478" s="22"/>
      <c r="P478" s="22"/>
      <c r="Q478" s="22"/>
      <c r="R478" s="22"/>
      <c r="S478" s="31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31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31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31"/>
      <c r="BD478" s="31"/>
      <c r="BE478" s="22"/>
      <c r="BF478" s="22"/>
      <c r="BG478" s="22"/>
      <c r="BH478" s="31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</row>
    <row r="479" spans="1:79" ht="14.25" hidden="1" customHeight="1" outlineLevel="1" x14ac:dyDescent="0.25">
      <c r="A479" s="46"/>
      <c r="B479" s="30" t="s">
        <v>406</v>
      </c>
      <c r="C479" s="30">
        <v>2026</v>
      </c>
      <c r="D479" s="30">
        <v>2027</v>
      </c>
      <c r="E479" s="46"/>
      <c r="F479" s="138" t="s">
        <v>260</v>
      </c>
      <c r="G479" s="138"/>
      <c r="H479" s="138"/>
      <c r="I479" s="138"/>
      <c r="J479" s="138"/>
      <c r="K479" s="138"/>
      <c r="L479" s="30"/>
      <c r="M479" s="30"/>
      <c r="N479" s="30"/>
      <c r="O479" s="30"/>
      <c r="P479" s="30"/>
      <c r="Q479" s="30"/>
      <c r="R479" s="30"/>
      <c r="S479" s="111"/>
      <c r="T479" s="30"/>
      <c r="U479" s="30"/>
      <c r="V479" s="30"/>
      <c r="W479" s="30"/>
      <c r="X479" s="30"/>
      <c r="Y479" s="30"/>
      <c r="Z479" s="30"/>
      <c r="AA479" s="30"/>
      <c r="AB479" s="126">
        <f t="shared" ref="AB479:AP479" si="425">SUM(AB480:AB482)</f>
        <v>6187.5</v>
      </c>
      <c r="AC479" s="126">
        <f t="shared" si="425"/>
        <v>12375</v>
      </c>
      <c r="AD479" s="126">
        <f t="shared" si="425"/>
        <v>18562.5</v>
      </c>
      <c r="AE479" s="127">
        <f t="shared" si="425"/>
        <v>41062.5</v>
      </c>
      <c r="AF479" s="126">
        <f t="shared" si="425"/>
        <v>57487.5</v>
      </c>
      <c r="AG479" s="126">
        <f t="shared" si="425"/>
        <v>73912.5</v>
      </c>
      <c r="AH479" s="126">
        <f t="shared" si="425"/>
        <v>90337.5</v>
      </c>
      <c r="AI479" s="126">
        <f t="shared" si="425"/>
        <v>106762.5</v>
      </c>
      <c r="AJ479" s="126">
        <f t="shared" si="425"/>
        <v>123187.5</v>
      </c>
      <c r="AK479" s="126">
        <f t="shared" si="425"/>
        <v>139612.5</v>
      </c>
      <c r="AL479" s="126">
        <f t="shared" si="425"/>
        <v>164250</v>
      </c>
      <c r="AM479" s="126">
        <f t="shared" si="425"/>
        <v>188887.5</v>
      </c>
      <c r="AN479" s="126">
        <f t="shared" si="425"/>
        <v>213525</v>
      </c>
      <c r="AO479" s="126">
        <f t="shared" si="425"/>
        <v>238162.5</v>
      </c>
      <c r="AP479" s="126">
        <f t="shared" si="425"/>
        <v>262800</v>
      </c>
      <c r="AQ479" s="29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29"/>
      <c r="BD479" s="29"/>
      <c r="BE479" s="46"/>
      <c r="BF479" s="46"/>
      <c r="BG479" s="46"/>
      <c r="BH479" s="29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</row>
    <row r="480" spans="1:79" ht="14.25" hidden="1" customHeight="1" outlineLevel="1" x14ac:dyDescent="0.25">
      <c r="A480" s="22"/>
      <c r="B480" s="22" t="s">
        <v>400</v>
      </c>
      <c r="C480" s="116">
        <v>50</v>
      </c>
      <c r="D480" s="116">
        <f t="shared" ref="D480:D482" si="426">C480</f>
        <v>50</v>
      </c>
      <c r="E480" s="22"/>
      <c r="F480" s="82" t="s">
        <v>401</v>
      </c>
      <c r="G480" s="82"/>
      <c r="H480" s="82"/>
      <c r="I480" s="82"/>
      <c r="J480" s="82"/>
      <c r="K480" s="82"/>
      <c r="L480" s="22"/>
      <c r="M480" s="22"/>
      <c r="N480" s="22"/>
      <c r="O480" s="22"/>
      <c r="P480" s="22"/>
      <c r="Q480" s="22"/>
      <c r="R480" s="22"/>
      <c r="S480" s="31"/>
      <c r="T480" s="22"/>
      <c r="U480" s="22"/>
      <c r="V480" s="22"/>
      <c r="W480" s="22"/>
      <c r="X480" s="22"/>
      <c r="Y480" s="22"/>
      <c r="Z480" s="11"/>
      <c r="AA480" s="11"/>
      <c r="AB480" s="11">
        <f t="shared" ref="AB480:AD480" si="427">AB475*$C480</f>
        <v>3375</v>
      </c>
      <c r="AC480" s="11">
        <f t="shared" si="427"/>
        <v>6750</v>
      </c>
      <c r="AD480" s="11">
        <f t="shared" si="427"/>
        <v>10125</v>
      </c>
      <c r="AE480" s="50">
        <f t="shared" ref="AE480:AP480" si="428">AE475*$D480</f>
        <v>13500</v>
      </c>
      <c r="AF480" s="11">
        <f t="shared" si="428"/>
        <v>18900</v>
      </c>
      <c r="AG480" s="11">
        <f t="shared" si="428"/>
        <v>24300</v>
      </c>
      <c r="AH480" s="11">
        <f t="shared" si="428"/>
        <v>29700</v>
      </c>
      <c r="AI480" s="11">
        <f t="shared" si="428"/>
        <v>35100</v>
      </c>
      <c r="AJ480" s="11">
        <f t="shared" si="428"/>
        <v>40500</v>
      </c>
      <c r="AK480" s="11">
        <f t="shared" si="428"/>
        <v>45900</v>
      </c>
      <c r="AL480" s="11">
        <f t="shared" si="428"/>
        <v>54000</v>
      </c>
      <c r="AM480" s="11">
        <f t="shared" si="428"/>
        <v>62100</v>
      </c>
      <c r="AN480" s="11">
        <f t="shared" si="428"/>
        <v>70200</v>
      </c>
      <c r="AO480" s="11">
        <f t="shared" si="428"/>
        <v>78300</v>
      </c>
      <c r="AP480" s="11">
        <f t="shared" si="428"/>
        <v>86400</v>
      </c>
      <c r="AQ480" s="31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31"/>
      <c r="BD480" s="31"/>
      <c r="BE480" s="22"/>
      <c r="BF480" s="22"/>
      <c r="BG480" s="22"/>
      <c r="BH480" s="31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</row>
    <row r="481" spans="1:79" ht="14.25" hidden="1" customHeight="1" outlineLevel="1" x14ac:dyDescent="0.25">
      <c r="A481" s="22"/>
      <c r="B481" s="22" t="s">
        <v>402</v>
      </c>
      <c r="C481" s="116">
        <f>C503</f>
        <v>125</v>
      </c>
      <c r="D481" s="116">
        <f t="shared" si="426"/>
        <v>125</v>
      </c>
      <c r="E481" s="22"/>
      <c r="F481" s="82" t="s">
        <v>403</v>
      </c>
      <c r="G481" s="82"/>
      <c r="H481" s="82"/>
      <c r="I481" s="82"/>
      <c r="J481" s="82"/>
      <c r="K481" s="82"/>
      <c r="L481" s="22"/>
      <c r="M481" s="22"/>
      <c r="N481" s="22"/>
      <c r="O481" s="22"/>
      <c r="P481" s="22"/>
      <c r="Q481" s="22"/>
      <c r="R481" s="22"/>
      <c r="S481" s="31"/>
      <c r="T481" s="22"/>
      <c r="U481" s="22"/>
      <c r="V481" s="22"/>
      <c r="W481" s="22"/>
      <c r="X481" s="22"/>
      <c r="Y481" s="22"/>
      <c r="Z481" s="11"/>
      <c r="AA481" s="11"/>
      <c r="AB481" s="11">
        <f t="shared" ref="AB481:AD481" si="429">AB476*$C481</f>
        <v>2812.5</v>
      </c>
      <c r="AC481" s="11">
        <f t="shared" si="429"/>
        <v>5625</v>
      </c>
      <c r="AD481" s="11">
        <f t="shared" si="429"/>
        <v>8437.5</v>
      </c>
      <c r="AE481" s="50">
        <f t="shared" ref="AE481:AP481" si="430">AE476*$D481</f>
        <v>19687.5</v>
      </c>
      <c r="AF481" s="11">
        <f t="shared" si="430"/>
        <v>27562.5</v>
      </c>
      <c r="AG481" s="11">
        <f t="shared" si="430"/>
        <v>35437.5</v>
      </c>
      <c r="AH481" s="11">
        <f t="shared" si="430"/>
        <v>43312.5</v>
      </c>
      <c r="AI481" s="11">
        <f t="shared" si="430"/>
        <v>51187.5</v>
      </c>
      <c r="AJ481" s="11">
        <f t="shared" si="430"/>
        <v>59062.499999999993</v>
      </c>
      <c r="AK481" s="11">
        <f t="shared" si="430"/>
        <v>66937.5</v>
      </c>
      <c r="AL481" s="11">
        <f t="shared" si="430"/>
        <v>78750</v>
      </c>
      <c r="AM481" s="11">
        <f t="shared" si="430"/>
        <v>90562.5</v>
      </c>
      <c r="AN481" s="11">
        <f t="shared" si="430"/>
        <v>102375</v>
      </c>
      <c r="AO481" s="11">
        <f t="shared" si="430"/>
        <v>114187.49999999999</v>
      </c>
      <c r="AP481" s="11">
        <f t="shared" si="430"/>
        <v>125999.99999999999</v>
      </c>
      <c r="AQ481" s="31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31"/>
      <c r="BD481" s="31"/>
      <c r="BE481" s="22"/>
      <c r="BF481" s="22"/>
      <c r="BG481" s="22"/>
      <c r="BH481" s="31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</row>
    <row r="482" spans="1:79" ht="14.25" hidden="1" customHeight="1" outlineLevel="1" x14ac:dyDescent="0.25">
      <c r="A482" s="22"/>
      <c r="B482" s="22" t="s">
        <v>404</v>
      </c>
      <c r="C482" s="116">
        <f>C512</f>
        <v>350</v>
      </c>
      <c r="D482" s="116">
        <f t="shared" si="426"/>
        <v>350</v>
      </c>
      <c r="E482" s="22"/>
      <c r="F482" s="82" t="s">
        <v>405</v>
      </c>
      <c r="G482" s="82"/>
      <c r="H482" s="82"/>
      <c r="I482" s="82"/>
      <c r="J482" s="82"/>
      <c r="K482" s="82"/>
      <c r="L482" s="22"/>
      <c r="M482" s="22"/>
      <c r="N482" s="22"/>
      <c r="O482" s="22"/>
      <c r="P482" s="22"/>
      <c r="Q482" s="22"/>
      <c r="R482" s="22"/>
      <c r="S482" s="31"/>
      <c r="T482" s="22"/>
      <c r="U482" s="22"/>
      <c r="V482" s="22"/>
      <c r="W482" s="22"/>
      <c r="X482" s="22"/>
      <c r="Y482" s="22"/>
      <c r="Z482" s="11"/>
      <c r="AA482" s="11"/>
      <c r="AB482" s="11">
        <f t="shared" ref="AB482:AD482" si="431">AB477*$C482</f>
        <v>0</v>
      </c>
      <c r="AC482" s="11">
        <f t="shared" si="431"/>
        <v>0</v>
      </c>
      <c r="AD482" s="11">
        <f t="shared" si="431"/>
        <v>0</v>
      </c>
      <c r="AE482" s="50">
        <f t="shared" ref="AE482:AP482" si="432">AE477*$D482</f>
        <v>7875</v>
      </c>
      <c r="AF482" s="11">
        <f t="shared" si="432"/>
        <v>11025</v>
      </c>
      <c r="AG482" s="11">
        <f t="shared" si="432"/>
        <v>14175</v>
      </c>
      <c r="AH482" s="11">
        <f t="shared" si="432"/>
        <v>17325</v>
      </c>
      <c r="AI482" s="11">
        <f t="shared" si="432"/>
        <v>20475</v>
      </c>
      <c r="AJ482" s="11">
        <f t="shared" si="432"/>
        <v>23625</v>
      </c>
      <c r="AK482" s="11">
        <f t="shared" si="432"/>
        <v>26775</v>
      </c>
      <c r="AL482" s="11">
        <f t="shared" si="432"/>
        <v>31500</v>
      </c>
      <c r="AM482" s="11">
        <f t="shared" si="432"/>
        <v>36225</v>
      </c>
      <c r="AN482" s="11">
        <f t="shared" si="432"/>
        <v>40950</v>
      </c>
      <c r="AO482" s="11">
        <f t="shared" si="432"/>
        <v>45675</v>
      </c>
      <c r="AP482" s="11">
        <f t="shared" si="432"/>
        <v>50400</v>
      </c>
      <c r="AQ482" s="31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31"/>
      <c r="BD482" s="31"/>
      <c r="BE482" s="22"/>
      <c r="BF482" s="22"/>
      <c r="BG482" s="22"/>
      <c r="BH482" s="31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</row>
    <row r="483" spans="1:79" ht="15" hidden="1" customHeight="1" outlineLevel="1" x14ac:dyDescent="0.25">
      <c r="A483" s="22"/>
      <c r="B483" s="22"/>
      <c r="C483" s="22"/>
      <c r="D483" s="22"/>
      <c r="E483" s="22"/>
      <c r="F483" s="82"/>
      <c r="G483" s="82"/>
      <c r="H483" s="82"/>
      <c r="I483" s="82"/>
      <c r="J483" s="82"/>
      <c r="K483" s="82"/>
      <c r="L483" s="22"/>
      <c r="M483" s="22"/>
      <c r="N483" s="22"/>
      <c r="O483" s="22"/>
      <c r="P483" s="22"/>
      <c r="Q483" s="22"/>
      <c r="R483" s="22"/>
      <c r="S483" s="31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31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31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31"/>
      <c r="BD483" s="31"/>
      <c r="BE483" s="22"/>
      <c r="BF483" s="22"/>
      <c r="BG483" s="22"/>
      <c r="BH483" s="31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</row>
    <row r="484" spans="1:79" ht="14.25" hidden="1" customHeight="1" outlineLevel="1" x14ac:dyDescent="0.25">
      <c r="A484" s="46"/>
      <c r="B484" s="30" t="s">
        <v>407</v>
      </c>
      <c r="C484" s="30">
        <v>2026</v>
      </c>
      <c r="D484" s="30">
        <v>2027</v>
      </c>
      <c r="E484" s="46"/>
      <c r="F484" s="138" t="s">
        <v>386</v>
      </c>
      <c r="G484" s="138"/>
      <c r="H484" s="138"/>
      <c r="I484" s="138"/>
      <c r="J484" s="138"/>
      <c r="K484" s="138"/>
      <c r="L484" s="30"/>
      <c r="M484" s="30"/>
      <c r="N484" s="30"/>
      <c r="O484" s="30"/>
      <c r="P484" s="30"/>
      <c r="Q484" s="30"/>
      <c r="R484" s="30"/>
      <c r="S484" s="111"/>
      <c r="T484" s="30"/>
      <c r="U484" s="30"/>
      <c r="V484" s="30"/>
      <c r="W484" s="30"/>
      <c r="X484" s="30"/>
      <c r="Y484" s="30"/>
      <c r="Z484" s="30"/>
      <c r="AA484" s="30"/>
      <c r="AB484" s="126">
        <f t="shared" ref="AB484:AP484" si="433">SUM(AB485:AB488)</f>
        <v>31371.666666666668</v>
      </c>
      <c r="AC484" s="126">
        <f t="shared" si="433"/>
        <v>33576.666666666672</v>
      </c>
      <c r="AD484" s="126">
        <f t="shared" si="433"/>
        <v>58698.333333333328</v>
      </c>
      <c r="AE484" s="127">
        <f t="shared" si="433"/>
        <v>67495.833333333328</v>
      </c>
      <c r="AF484" s="126">
        <f t="shared" si="433"/>
        <v>73660.833333333328</v>
      </c>
      <c r="AG484" s="126">
        <f t="shared" si="433"/>
        <v>79825.833333333328</v>
      </c>
      <c r="AH484" s="126">
        <f t="shared" si="433"/>
        <v>96407.5</v>
      </c>
      <c r="AI484" s="126">
        <f t="shared" si="433"/>
        <v>102572.5</v>
      </c>
      <c r="AJ484" s="126">
        <f t="shared" si="433"/>
        <v>121237.5</v>
      </c>
      <c r="AK484" s="126">
        <f t="shared" si="433"/>
        <v>127402.5</v>
      </c>
      <c r="AL484" s="126">
        <f t="shared" si="433"/>
        <v>144983.33333333334</v>
      </c>
      <c r="AM484" s="126">
        <f t="shared" si="433"/>
        <v>166730.83333333334</v>
      </c>
      <c r="AN484" s="126">
        <f t="shared" si="433"/>
        <v>184311.66666666669</v>
      </c>
      <c r="AO484" s="126">
        <f t="shared" si="433"/>
        <v>193559.16666666669</v>
      </c>
      <c r="AP484" s="126">
        <f t="shared" si="433"/>
        <v>211140</v>
      </c>
      <c r="AQ484" s="29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29"/>
      <c r="BD484" s="29"/>
      <c r="BE484" s="46"/>
      <c r="BF484" s="46"/>
      <c r="BG484" s="46"/>
      <c r="BH484" s="29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</row>
    <row r="485" spans="1:79" ht="14.25" hidden="1" customHeight="1" outlineLevel="1" x14ac:dyDescent="0.25">
      <c r="A485" s="22"/>
      <c r="B485" s="22" t="s">
        <v>400</v>
      </c>
      <c r="C485" s="116">
        <f>D497</f>
        <v>30</v>
      </c>
      <c r="D485" s="116">
        <f t="shared" ref="D485:D487" si="434">C485</f>
        <v>30</v>
      </c>
      <c r="E485" s="22"/>
      <c r="F485" s="82" t="s">
        <v>401</v>
      </c>
      <c r="G485" s="82"/>
      <c r="H485" s="82"/>
      <c r="I485" s="82"/>
      <c r="J485" s="82"/>
      <c r="K485" s="82"/>
      <c r="L485" s="22"/>
      <c r="M485" s="22"/>
      <c r="N485" s="22"/>
      <c r="O485" s="22"/>
      <c r="P485" s="22"/>
      <c r="Q485" s="22"/>
      <c r="R485" s="22"/>
      <c r="S485" s="31"/>
      <c r="T485" s="22"/>
      <c r="U485" s="22"/>
      <c r="V485" s="22"/>
      <c r="W485" s="22"/>
      <c r="X485" s="22"/>
      <c r="Y485" s="22"/>
      <c r="Z485" s="11"/>
      <c r="AA485" s="11"/>
      <c r="AB485" s="11">
        <f t="shared" ref="AB485:AD485" si="435">AB475*$C485</f>
        <v>2025</v>
      </c>
      <c r="AC485" s="11">
        <f t="shared" si="435"/>
        <v>4050</v>
      </c>
      <c r="AD485" s="11">
        <f t="shared" si="435"/>
        <v>6075</v>
      </c>
      <c r="AE485" s="50">
        <f t="shared" ref="AE485:AP485" si="436">AE475*$D485</f>
        <v>8100</v>
      </c>
      <c r="AF485" s="11">
        <f t="shared" si="436"/>
        <v>11340</v>
      </c>
      <c r="AG485" s="11">
        <f t="shared" si="436"/>
        <v>14580</v>
      </c>
      <c r="AH485" s="11">
        <f t="shared" si="436"/>
        <v>17820</v>
      </c>
      <c r="AI485" s="11">
        <f t="shared" si="436"/>
        <v>21060</v>
      </c>
      <c r="AJ485" s="11">
        <f t="shared" si="436"/>
        <v>24300</v>
      </c>
      <c r="AK485" s="11">
        <f t="shared" si="436"/>
        <v>27540</v>
      </c>
      <c r="AL485" s="11">
        <f t="shared" si="436"/>
        <v>32400</v>
      </c>
      <c r="AM485" s="11">
        <f t="shared" si="436"/>
        <v>37260</v>
      </c>
      <c r="AN485" s="11">
        <f t="shared" si="436"/>
        <v>42120</v>
      </c>
      <c r="AO485" s="11">
        <f t="shared" si="436"/>
        <v>46980</v>
      </c>
      <c r="AP485" s="11">
        <f t="shared" si="436"/>
        <v>51840</v>
      </c>
      <c r="AQ485" s="31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31"/>
      <c r="BD485" s="31"/>
      <c r="BE485" s="22"/>
      <c r="BF485" s="22"/>
      <c r="BG485" s="22"/>
      <c r="BH485" s="31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</row>
    <row r="486" spans="1:79" ht="14.25" hidden="1" customHeight="1" outlineLevel="1" x14ac:dyDescent="0.25">
      <c r="A486" s="22"/>
      <c r="B486" s="22" t="s">
        <v>402</v>
      </c>
      <c r="C486" s="116">
        <f>D503</f>
        <v>70</v>
      </c>
      <c r="D486" s="116">
        <f t="shared" si="434"/>
        <v>70</v>
      </c>
      <c r="E486" s="22"/>
      <c r="F486" s="82" t="s">
        <v>403</v>
      </c>
      <c r="G486" s="82"/>
      <c r="H486" s="82"/>
      <c r="I486" s="82"/>
      <c r="J486" s="82"/>
      <c r="K486" s="82"/>
      <c r="L486" s="22"/>
      <c r="M486" s="22"/>
      <c r="N486" s="22"/>
      <c r="O486" s="22"/>
      <c r="P486" s="22"/>
      <c r="Q486" s="22"/>
      <c r="R486" s="22"/>
      <c r="S486" s="31"/>
      <c r="T486" s="22"/>
      <c r="U486" s="22"/>
      <c r="V486" s="22"/>
      <c r="W486" s="22"/>
      <c r="X486" s="22"/>
      <c r="Y486" s="22"/>
      <c r="Z486" s="11"/>
      <c r="AA486" s="11"/>
      <c r="AB486" s="11">
        <f t="shared" ref="AB486:AD486" si="437">AB476*$C486</f>
        <v>1575</v>
      </c>
      <c r="AC486" s="11">
        <f t="shared" si="437"/>
        <v>3150</v>
      </c>
      <c r="AD486" s="11">
        <f t="shared" si="437"/>
        <v>4725</v>
      </c>
      <c r="AE486" s="50">
        <f t="shared" ref="AE486:AP486" si="438">AE476*$D486</f>
        <v>11025</v>
      </c>
      <c r="AF486" s="11">
        <f t="shared" si="438"/>
        <v>15435</v>
      </c>
      <c r="AG486" s="11">
        <f t="shared" si="438"/>
        <v>19845</v>
      </c>
      <c r="AH486" s="11">
        <f t="shared" si="438"/>
        <v>24255</v>
      </c>
      <c r="AI486" s="11">
        <f t="shared" si="438"/>
        <v>28665</v>
      </c>
      <c r="AJ486" s="11">
        <f t="shared" si="438"/>
        <v>33074.999999999993</v>
      </c>
      <c r="AK486" s="11">
        <f t="shared" si="438"/>
        <v>37485</v>
      </c>
      <c r="AL486" s="11">
        <f t="shared" si="438"/>
        <v>44100</v>
      </c>
      <c r="AM486" s="11">
        <f t="shared" si="438"/>
        <v>50715</v>
      </c>
      <c r="AN486" s="11">
        <f t="shared" si="438"/>
        <v>57330</v>
      </c>
      <c r="AO486" s="11">
        <f t="shared" si="438"/>
        <v>63944.999999999993</v>
      </c>
      <c r="AP486" s="11">
        <f t="shared" si="438"/>
        <v>70559.999999999985</v>
      </c>
      <c r="AQ486" s="31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31"/>
      <c r="BD486" s="31"/>
      <c r="BE486" s="22"/>
      <c r="BF486" s="22"/>
      <c r="BG486" s="22"/>
      <c r="BH486" s="31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</row>
    <row r="487" spans="1:79" ht="14.25" hidden="1" customHeight="1" outlineLevel="1" x14ac:dyDescent="0.25">
      <c r="A487" s="22"/>
      <c r="B487" s="22" t="s">
        <v>404</v>
      </c>
      <c r="C487" s="116">
        <f>D512</f>
        <v>260</v>
      </c>
      <c r="D487" s="116">
        <f t="shared" si="434"/>
        <v>260</v>
      </c>
      <c r="E487" s="22"/>
      <c r="F487" s="82" t="s">
        <v>405</v>
      </c>
      <c r="G487" s="82"/>
      <c r="H487" s="82"/>
      <c r="I487" s="82"/>
      <c r="J487" s="82"/>
      <c r="K487" s="82"/>
      <c r="L487" s="22"/>
      <c r="M487" s="22"/>
      <c r="N487" s="22"/>
      <c r="O487" s="22"/>
      <c r="P487" s="22"/>
      <c r="Q487" s="22"/>
      <c r="R487" s="22"/>
      <c r="S487" s="31"/>
      <c r="T487" s="22"/>
      <c r="U487" s="22"/>
      <c r="V487" s="22"/>
      <c r="W487" s="22"/>
      <c r="X487" s="22"/>
      <c r="Y487" s="22"/>
      <c r="Z487" s="11"/>
      <c r="AA487" s="11"/>
      <c r="AB487" s="11">
        <f t="shared" ref="AB487:AD487" si="439">AB477*$C487</f>
        <v>0</v>
      </c>
      <c r="AC487" s="11">
        <f t="shared" si="439"/>
        <v>0</v>
      </c>
      <c r="AD487" s="11">
        <f t="shared" si="439"/>
        <v>0</v>
      </c>
      <c r="AE487" s="50">
        <f t="shared" ref="AE487:AP487" si="440">AE477*$D487</f>
        <v>5850</v>
      </c>
      <c r="AF487" s="11">
        <f t="shared" si="440"/>
        <v>8190</v>
      </c>
      <c r="AG487" s="11">
        <f t="shared" si="440"/>
        <v>10530</v>
      </c>
      <c r="AH487" s="11">
        <f t="shared" si="440"/>
        <v>12870</v>
      </c>
      <c r="AI487" s="11">
        <f t="shared" si="440"/>
        <v>15210</v>
      </c>
      <c r="AJ487" s="11">
        <f t="shared" si="440"/>
        <v>17550</v>
      </c>
      <c r="AK487" s="11">
        <f t="shared" si="440"/>
        <v>19890</v>
      </c>
      <c r="AL487" s="11">
        <f t="shared" si="440"/>
        <v>23400</v>
      </c>
      <c r="AM487" s="11">
        <f t="shared" si="440"/>
        <v>26910</v>
      </c>
      <c r="AN487" s="11">
        <f t="shared" si="440"/>
        <v>30420</v>
      </c>
      <c r="AO487" s="11">
        <f t="shared" si="440"/>
        <v>33930</v>
      </c>
      <c r="AP487" s="11">
        <f t="shared" si="440"/>
        <v>37440</v>
      </c>
      <c r="AQ487" s="31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31"/>
      <c r="BD487" s="31"/>
      <c r="BE487" s="22"/>
      <c r="BF487" s="22"/>
      <c r="BG487" s="22"/>
      <c r="BH487" s="31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</row>
    <row r="488" spans="1:79" ht="14.25" hidden="1" customHeight="1" outlineLevel="1" x14ac:dyDescent="0.25">
      <c r="A488" s="22"/>
      <c r="B488" s="22"/>
      <c r="C488" s="22"/>
      <c r="D488" s="22"/>
      <c r="E488" s="22"/>
      <c r="F488" s="82" t="s">
        <v>161</v>
      </c>
      <c r="G488" s="82"/>
      <c r="H488" s="82"/>
      <c r="I488" s="82"/>
      <c r="J488" s="82"/>
      <c r="K488" s="82"/>
      <c r="L488" s="22"/>
      <c r="M488" s="22"/>
      <c r="N488" s="22"/>
      <c r="O488" s="22"/>
      <c r="P488" s="22"/>
      <c r="Q488" s="22"/>
      <c r="R488" s="22"/>
      <c r="S488" s="31"/>
      <c r="T488" s="22"/>
      <c r="U488" s="22"/>
      <c r="V488" s="22"/>
      <c r="W488" s="22"/>
      <c r="X488" s="22"/>
      <c r="Y488" s="22"/>
      <c r="Z488" s="22"/>
      <c r="AA488" s="22"/>
      <c r="AB488" s="11">
        <f t="shared" ref="AB488:AP488" si="441">AB504</f>
        <v>27771.666666666668</v>
      </c>
      <c r="AC488" s="11">
        <f t="shared" si="441"/>
        <v>26376.666666666668</v>
      </c>
      <c r="AD488" s="11">
        <f t="shared" si="441"/>
        <v>47898.333333333328</v>
      </c>
      <c r="AE488" s="50">
        <f t="shared" si="441"/>
        <v>42520.833333333328</v>
      </c>
      <c r="AF488" s="11">
        <f t="shared" si="441"/>
        <v>38695.833333333328</v>
      </c>
      <c r="AG488" s="11">
        <f t="shared" si="441"/>
        <v>34870.833333333328</v>
      </c>
      <c r="AH488" s="11">
        <f t="shared" si="441"/>
        <v>41462.5</v>
      </c>
      <c r="AI488" s="11">
        <f t="shared" si="441"/>
        <v>37637.5</v>
      </c>
      <c r="AJ488" s="11">
        <f t="shared" si="441"/>
        <v>46312.5</v>
      </c>
      <c r="AK488" s="11">
        <f t="shared" si="441"/>
        <v>42487.5</v>
      </c>
      <c r="AL488" s="11">
        <f t="shared" si="441"/>
        <v>45083.333333333336</v>
      </c>
      <c r="AM488" s="11">
        <f t="shared" si="441"/>
        <v>51845.833333333336</v>
      </c>
      <c r="AN488" s="11">
        <f t="shared" si="441"/>
        <v>54441.666666666672</v>
      </c>
      <c r="AO488" s="11">
        <f t="shared" si="441"/>
        <v>48704.166666666679</v>
      </c>
      <c r="AP488" s="11">
        <f t="shared" si="441"/>
        <v>51300.000000000015</v>
      </c>
      <c r="AQ488" s="31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31"/>
      <c r="BD488" s="31"/>
      <c r="BE488" s="22"/>
      <c r="BF488" s="22"/>
      <c r="BG488" s="22"/>
      <c r="BH488" s="31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</row>
    <row r="489" spans="1:79" ht="14.25" hidden="1" customHeight="1" outlineLevel="1" x14ac:dyDescent="0.25">
      <c r="A489" s="22"/>
      <c r="B489" s="22"/>
      <c r="C489" s="22"/>
      <c r="D489" s="22"/>
      <c r="E489" s="22"/>
      <c r="F489" s="82"/>
      <c r="G489" s="82"/>
      <c r="H489" s="82"/>
      <c r="I489" s="82"/>
      <c r="J489" s="82"/>
      <c r="K489" s="82"/>
      <c r="L489" s="22"/>
      <c r="M489" s="22"/>
      <c r="N489" s="22"/>
      <c r="O489" s="22"/>
      <c r="P489" s="22"/>
      <c r="Q489" s="22"/>
      <c r="R489" s="22"/>
      <c r="S489" s="31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31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31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31"/>
      <c r="BD489" s="31"/>
      <c r="BE489" s="22"/>
      <c r="BF489" s="22"/>
      <c r="BG489" s="22"/>
      <c r="BH489" s="31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</row>
    <row r="490" spans="1:79" ht="14.25" hidden="1" customHeight="1" outlineLevel="1" x14ac:dyDescent="0.25">
      <c r="A490" s="46"/>
      <c r="B490" s="250" t="s">
        <v>408</v>
      </c>
      <c r="C490" s="251" t="s">
        <v>409</v>
      </c>
      <c r="D490" s="251" t="s">
        <v>21</v>
      </c>
      <c r="E490" s="252" t="s">
        <v>23</v>
      </c>
      <c r="F490" s="138" t="s">
        <v>265</v>
      </c>
      <c r="G490" s="138"/>
      <c r="H490" s="138"/>
      <c r="I490" s="138"/>
      <c r="J490" s="138"/>
      <c r="K490" s="138"/>
      <c r="L490" s="30"/>
      <c r="M490" s="30"/>
      <c r="N490" s="30"/>
      <c r="O490" s="30"/>
      <c r="P490" s="30"/>
      <c r="Q490" s="30"/>
      <c r="R490" s="30"/>
      <c r="S490" s="111"/>
      <c r="T490" s="30"/>
      <c r="U490" s="30"/>
      <c r="V490" s="30"/>
      <c r="W490" s="30"/>
      <c r="X490" s="30"/>
      <c r="Y490" s="30"/>
      <c r="Z490" s="30"/>
      <c r="AA490" s="30"/>
      <c r="AB490" s="126">
        <f t="shared" ref="AB490:AP490" si="442">AB479-AB484</f>
        <v>-25184.166666666668</v>
      </c>
      <c r="AC490" s="126">
        <f t="shared" si="442"/>
        <v>-21201.666666666672</v>
      </c>
      <c r="AD490" s="126">
        <f t="shared" si="442"/>
        <v>-40135.833333333328</v>
      </c>
      <c r="AE490" s="127">
        <f t="shared" si="442"/>
        <v>-26433.333333333328</v>
      </c>
      <c r="AF490" s="126">
        <f t="shared" si="442"/>
        <v>-16173.333333333328</v>
      </c>
      <c r="AG490" s="126">
        <f t="shared" si="442"/>
        <v>-5913.3333333333285</v>
      </c>
      <c r="AH490" s="126">
        <f t="shared" si="442"/>
        <v>-6070</v>
      </c>
      <c r="AI490" s="126">
        <f t="shared" si="442"/>
        <v>4190</v>
      </c>
      <c r="AJ490" s="126">
        <f t="shared" si="442"/>
        <v>1950</v>
      </c>
      <c r="AK490" s="126">
        <f t="shared" si="442"/>
        <v>12210</v>
      </c>
      <c r="AL490" s="126">
        <f t="shared" si="442"/>
        <v>19266.666666666657</v>
      </c>
      <c r="AM490" s="126">
        <f t="shared" si="442"/>
        <v>22156.666666666657</v>
      </c>
      <c r="AN490" s="126">
        <f t="shared" si="442"/>
        <v>29213.333333333314</v>
      </c>
      <c r="AO490" s="126">
        <f t="shared" si="442"/>
        <v>44603.333333333314</v>
      </c>
      <c r="AP490" s="126">
        <f t="shared" si="442"/>
        <v>51660</v>
      </c>
      <c r="AQ490" s="29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29"/>
      <c r="BD490" s="29"/>
      <c r="BE490" s="46"/>
      <c r="BF490" s="46"/>
      <c r="BG490" s="46"/>
      <c r="BH490" s="29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</row>
    <row r="491" spans="1:79" ht="14.25" hidden="1" customHeight="1" outlineLevel="1" x14ac:dyDescent="0.25">
      <c r="A491" s="22"/>
      <c r="B491" s="253" t="s">
        <v>410</v>
      </c>
      <c r="C491" s="254"/>
      <c r="D491" s="254"/>
      <c r="E491" s="255"/>
      <c r="F491" s="82" t="s">
        <v>401</v>
      </c>
      <c r="G491" s="82"/>
      <c r="H491" s="82"/>
      <c r="I491" s="82"/>
      <c r="J491" s="82"/>
      <c r="K491" s="82"/>
      <c r="L491" s="22"/>
      <c r="M491" s="22"/>
      <c r="N491" s="22"/>
      <c r="O491" s="22"/>
      <c r="P491" s="22"/>
      <c r="Q491" s="22"/>
      <c r="R491" s="22"/>
      <c r="S491" s="31"/>
      <c r="T491" s="22"/>
      <c r="U491" s="22"/>
      <c r="V491" s="22"/>
      <c r="W491" s="22"/>
      <c r="X491" s="22"/>
      <c r="Y491" s="22"/>
      <c r="Z491" s="11"/>
      <c r="AA491" s="11"/>
      <c r="AB491" s="11">
        <f t="shared" ref="AB491:AP491" si="443">AB480-AB485</f>
        <v>1350</v>
      </c>
      <c r="AC491" s="11">
        <f t="shared" si="443"/>
        <v>2700</v>
      </c>
      <c r="AD491" s="11">
        <f t="shared" si="443"/>
        <v>4050</v>
      </c>
      <c r="AE491" s="50">
        <f t="shared" si="443"/>
        <v>5400</v>
      </c>
      <c r="AF491" s="11">
        <f t="shared" si="443"/>
        <v>7560</v>
      </c>
      <c r="AG491" s="11">
        <f t="shared" si="443"/>
        <v>9720</v>
      </c>
      <c r="AH491" s="11">
        <f t="shared" si="443"/>
        <v>11880</v>
      </c>
      <c r="AI491" s="11">
        <f t="shared" si="443"/>
        <v>14040</v>
      </c>
      <c r="AJ491" s="11">
        <f t="shared" si="443"/>
        <v>16200</v>
      </c>
      <c r="AK491" s="11">
        <f t="shared" si="443"/>
        <v>18360</v>
      </c>
      <c r="AL491" s="11">
        <f t="shared" si="443"/>
        <v>21600</v>
      </c>
      <c r="AM491" s="11">
        <f t="shared" si="443"/>
        <v>24840</v>
      </c>
      <c r="AN491" s="11">
        <f t="shared" si="443"/>
        <v>28080</v>
      </c>
      <c r="AO491" s="11">
        <f t="shared" si="443"/>
        <v>31320</v>
      </c>
      <c r="AP491" s="11">
        <f t="shared" si="443"/>
        <v>34560</v>
      </c>
      <c r="AQ491" s="31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31"/>
      <c r="BD491" s="31"/>
      <c r="BE491" s="22"/>
      <c r="BF491" s="22"/>
      <c r="BG491" s="22"/>
      <c r="BH491" s="31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</row>
    <row r="492" spans="1:79" ht="14.25" hidden="1" customHeight="1" outlineLevel="1" x14ac:dyDescent="0.25">
      <c r="A492" s="22"/>
      <c r="B492" s="256" t="s">
        <v>411</v>
      </c>
      <c r="C492" s="257">
        <v>15</v>
      </c>
      <c r="D492" s="257">
        <v>10</v>
      </c>
      <c r="E492" s="258">
        <f t="shared" ref="E492:E497" si="444">1-(D492/C492)</f>
        <v>0.33333333333333337</v>
      </c>
      <c r="F492" s="82" t="s">
        <v>403</v>
      </c>
      <c r="G492" s="82"/>
      <c r="H492" s="82"/>
      <c r="I492" s="82"/>
      <c r="J492" s="82"/>
      <c r="K492" s="82"/>
      <c r="L492" s="22"/>
      <c r="M492" s="22"/>
      <c r="N492" s="22"/>
      <c r="O492" s="22"/>
      <c r="P492" s="22"/>
      <c r="Q492" s="22"/>
      <c r="R492" s="22"/>
      <c r="S492" s="31"/>
      <c r="T492" s="22"/>
      <c r="U492" s="22"/>
      <c r="V492" s="22"/>
      <c r="W492" s="22"/>
      <c r="X492" s="22"/>
      <c r="Y492" s="22"/>
      <c r="Z492" s="11"/>
      <c r="AA492" s="11"/>
      <c r="AB492" s="11">
        <f t="shared" ref="AB492:AP492" si="445">AB481-AB486</f>
        <v>1237.5</v>
      </c>
      <c r="AC492" s="11">
        <f t="shared" si="445"/>
        <v>2475</v>
      </c>
      <c r="AD492" s="11">
        <f t="shared" si="445"/>
        <v>3712.5</v>
      </c>
      <c r="AE492" s="50">
        <f t="shared" si="445"/>
        <v>8662.5</v>
      </c>
      <c r="AF492" s="11">
        <f t="shared" si="445"/>
        <v>12127.5</v>
      </c>
      <c r="AG492" s="11">
        <f t="shared" si="445"/>
        <v>15592.5</v>
      </c>
      <c r="AH492" s="11">
        <f t="shared" si="445"/>
        <v>19057.5</v>
      </c>
      <c r="AI492" s="11">
        <f t="shared" si="445"/>
        <v>22522.5</v>
      </c>
      <c r="AJ492" s="11">
        <f t="shared" si="445"/>
        <v>25987.5</v>
      </c>
      <c r="AK492" s="11">
        <f t="shared" si="445"/>
        <v>29452.5</v>
      </c>
      <c r="AL492" s="11">
        <f t="shared" si="445"/>
        <v>34650</v>
      </c>
      <c r="AM492" s="11">
        <f t="shared" si="445"/>
        <v>39847.5</v>
      </c>
      <c r="AN492" s="11">
        <f t="shared" si="445"/>
        <v>45045</v>
      </c>
      <c r="AO492" s="11">
        <f t="shared" si="445"/>
        <v>50242.499999999993</v>
      </c>
      <c r="AP492" s="11">
        <f t="shared" si="445"/>
        <v>55440</v>
      </c>
      <c r="AQ492" s="31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31"/>
      <c r="BD492" s="31"/>
      <c r="BE492" s="22"/>
      <c r="BF492" s="22"/>
      <c r="BG492" s="22"/>
      <c r="BH492" s="31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</row>
    <row r="493" spans="1:79" ht="14.25" hidden="1" customHeight="1" outlineLevel="1" x14ac:dyDescent="0.25">
      <c r="A493" s="22"/>
      <c r="B493" s="256" t="s">
        <v>412</v>
      </c>
      <c r="C493" s="257">
        <v>15</v>
      </c>
      <c r="D493" s="257">
        <v>8</v>
      </c>
      <c r="E493" s="258">
        <f t="shared" si="444"/>
        <v>0.46666666666666667</v>
      </c>
      <c r="F493" s="82" t="s">
        <v>405</v>
      </c>
      <c r="G493" s="82"/>
      <c r="H493" s="82"/>
      <c r="I493" s="82"/>
      <c r="J493" s="82"/>
      <c r="K493" s="82"/>
      <c r="L493" s="22"/>
      <c r="M493" s="22"/>
      <c r="N493" s="22"/>
      <c r="O493" s="22"/>
      <c r="P493" s="22"/>
      <c r="Q493" s="22"/>
      <c r="R493" s="22"/>
      <c r="S493" s="31"/>
      <c r="T493" s="22"/>
      <c r="U493" s="22"/>
      <c r="V493" s="22"/>
      <c r="W493" s="22"/>
      <c r="X493" s="22"/>
      <c r="Y493" s="22"/>
      <c r="Z493" s="11"/>
      <c r="AA493" s="11"/>
      <c r="AB493" s="11">
        <f t="shared" ref="AB493:AP493" si="446">AB482-AB487</f>
        <v>0</v>
      </c>
      <c r="AC493" s="11">
        <f t="shared" si="446"/>
        <v>0</v>
      </c>
      <c r="AD493" s="11">
        <f t="shared" si="446"/>
        <v>0</v>
      </c>
      <c r="AE493" s="50">
        <f t="shared" si="446"/>
        <v>2025</v>
      </c>
      <c r="AF493" s="11">
        <f t="shared" si="446"/>
        <v>2835</v>
      </c>
      <c r="AG493" s="11">
        <f t="shared" si="446"/>
        <v>3645</v>
      </c>
      <c r="AH493" s="11">
        <f t="shared" si="446"/>
        <v>4455</v>
      </c>
      <c r="AI493" s="11">
        <f t="shared" si="446"/>
        <v>5265</v>
      </c>
      <c r="AJ493" s="11">
        <f t="shared" si="446"/>
        <v>6075</v>
      </c>
      <c r="AK493" s="11">
        <f t="shared" si="446"/>
        <v>6885</v>
      </c>
      <c r="AL493" s="11">
        <f t="shared" si="446"/>
        <v>8100</v>
      </c>
      <c r="AM493" s="11">
        <f t="shared" si="446"/>
        <v>9315</v>
      </c>
      <c r="AN493" s="11">
        <f t="shared" si="446"/>
        <v>10530</v>
      </c>
      <c r="AO493" s="11">
        <f t="shared" si="446"/>
        <v>11745</v>
      </c>
      <c r="AP493" s="11">
        <f t="shared" si="446"/>
        <v>12960</v>
      </c>
      <c r="AQ493" s="31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31"/>
      <c r="BD493" s="31"/>
      <c r="BE493" s="22"/>
      <c r="BF493" s="22"/>
      <c r="BG493" s="22"/>
      <c r="BH493" s="31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</row>
    <row r="494" spans="1:79" ht="14.25" hidden="1" customHeight="1" outlineLevel="1" x14ac:dyDescent="0.25">
      <c r="A494" s="43"/>
      <c r="B494" s="256" t="s">
        <v>413</v>
      </c>
      <c r="C494" s="257">
        <v>10</v>
      </c>
      <c r="D494" s="257">
        <v>7</v>
      </c>
      <c r="E494" s="258">
        <f t="shared" si="444"/>
        <v>0.30000000000000004</v>
      </c>
      <c r="F494" s="166" t="s">
        <v>266</v>
      </c>
      <c r="G494" s="166"/>
      <c r="H494" s="166"/>
      <c r="I494" s="166"/>
      <c r="J494" s="166"/>
      <c r="K494" s="166"/>
      <c r="L494" s="43"/>
      <c r="M494" s="43"/>
      <c r="N494" s="43"/>
      <c r="O494" s="43"/>
      <c r="P494" s="43"/>
      <c r="Q494" s="43"/>
      <c r="R494" s="43"/>
      <c r="S494" s="45"/>
      <c r="T494" s="43"/>
      <c r="U494" s="43"/>
      <c r="V494" s="43"/>
      <c r="W494" s="43"/>
      <c r="X494" s="43"/>
      <c r="Y494" s="43"/>
      <c r="Z494" s="43"/>
      <c r="AA494" s="43"/>
      <c r="AB494" s="167">
        <f t="shared" ref="AB494:AP494" si="447">AB490/AB479</f>
        <v>-4.0701683501683501</v>
      </c>
      <c r="AC494" s="167">
        <f t="shared" si="447"/>
        <v>-1.7132659932659937</v>
      </c>
      <c r="AD494" s="167">
        <f t="shared" si="447"/>
        <v>-2.1621997755331086</v>
      </c>
      <c r="AE494" s="168">
        <f t="shared" si="447"/>
        <v>-0.64373414510400795</v>
      </c>
      <c r="AF494" s="167">
        <f t="shared" si="447"/>
        <v>-0.28133652243241275</v>
      </c>
      <c r="AG494" s="167">
        <f t="shared" si="447"/>
        <v>-8.0004509837082072E-2</v>
      </c>
      <c r="AH494" s="167">
        <f t="shared" si="447"/>
        <v>-6.7192472671924727E-2</v>
      </c>
      <c r="AI494" s="167">
        <f t="shared" si="447"/>
        <v>3.9245989930921439E-2</v>
      </c>
      <c r="AJ494" s="167">
        <f t="shared" si="447"/>
        <v>1.5829528158295282E-2</v>
      </c>
      <c r="AK494" s="167">
        <f t="shared" si="447"/>
        <v>8.7456352403975285E-2</v>
      </c>
      <c r="AL494" s="167">
        <f t="shared" si="447"/>
        <v>0.1173008625063419</v>
      </c>
      <c r="AM494" s="167">
        <f t="shared" si="447"/>
        <v>0.1173008625063419</v>
      </c>
      <c r="AN494" s="167">
        <f t="shared" si="447"/>
        <v>0.136814580650197</v>
      </c>
      <c r="AO494" s="167">
        <f t="shared" si="447"/>
        <v>0.18728109309120167</v>
      </c>
      <c r="AP494" s="167">
        <f t="shared" si="447"/>
        <v>0.19657534246575342</v>
      </c>
      <c r="AQ494" s="45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5"/>
      <c r="BD494" s="45"/>
      <c r="BE494" s="43"/>
      <c r="BF494" s="43"/>
      <c r="BG494" s="43"/>
      <c r="BH494" s="45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</row>
    <row r="495" spans="1:79" ht="14.25" hidden="1" customHeight="1" outlineLevel="1" x14ac:dyDescent="0.25">
      <c r="A495" s="43"/>
      <c r="B495" s="256" t="s">
        <v>414</v>
      </c>
      <c r="C495" s="257">
        <v>5</v>
      </c>
      <c r="D495" s="257">
        <v>3</v>
      </c>
      <c r="E495" s="258">
        <f t="shared" si="444"/>
        <v>0.4</v>
      </c>
      <c r="F495" s="166"/>
      <c r="G495" s="166"/>
      <c r="H495" s="166"/>
      <c r="I495" s="166"/>
      <c r="J495" s="166"/>
      <c r="K495" s="166"/>
      <c r="L495" s="43"/>
      <c r="M495" s="43"/>
      <c r="N495" s="43"/>
      <c r="O495" s="43"/>
      <c r="P495" s="43"/>
      <c r="Q495" s="43"/>
      <c r="R495" s="43"/>
      <c r="S495" s="45"/>
      <c r="T495" s="43"/>
      <c r="U495" s="43"/>
      <c r="V495" s="43"/>
      <c r="W495" s="43"/>
      <c r="X495" s="43"/>
      <c r="Y495" s="43"/>
      <c r="Z495" s="43"/>
      <c r="AA495" s="43"/>
      <c r="AB495" s="167"/>
      <c r="AC495" s="167"/>
      <c r="AD495" s="167"/>
      <c r="AE495" s="168"/>
      <c r="AF495" s="167"/>
      <c r="AG495" s="167"/>
      <c r="AH495" s="167"/>
      <c r="AI495" s="167"/>
      <c r="AJ495" s="167"/>
      <c r="AK495" s="167"/>
      <c r="AL495" s="167"/>
      <c r="AM495" s="167"/>
      <c r="AN495" s="167"/>
      <c r="AO495" s="167"/>
      <c r="AP495" s="167"/>
      <c r="AQ495" s="45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5"/>
      <c r="BD495" s="45"/>
      <c r="BE495" s="43"/>
      <c r="BF495" s="43"/>
      <c r="BG495" s="43"/>
      <c r="BH495" s="45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</row>
    <row r="496" spans="1:79" ht="14.25" hidden="1" customHeight="1" outlineLevel="1" x14ac:dyDescent="0.25">
      <c r="A496" s="46"/>
      <c r="B496" s="256" t="s">
        <v>415</v>
      </c>
      <c r="C496" s="259">
        <v>5</v>
      </c>
      <c r="D496" s="259">
        <v>2</v>
      </c>
      <c r="E496" s="260">
        <f t="shared" si="444"/>
        <v>0.6</v>
      </c>
      <c r="F496" s="139" t="s">
        <v>416</v>
      </c>
      <c r="G496" s="81"/>
      <c r="H496" s="139"/>
      <c r="I496" s="139"/>
      <c r="J496" s="139"/>
      <c r="K496" s="139"/>
      <c r="L496" s="46"/>
      <c r="M496" s="46"/>
      <c r="N496" s="46"/>
      <c r="O496" s="46"/>
      <c r="P496" s="46"/>
      <c r="Q496" s="46"/>
      <c r="R496" s="46"/>
      <c r="S496" s="29"/>
      <c r="T496" s="46"/>
      <c r="U496" s="46"/>
      <c r="V496" s="46"/>
      <c r="W496" s="46"/>
      <c r="X496" s="46"/>
      <c r="Y496" s="46"/>
      <c r="Z496" s="139" t="s">
        <v>417</v>
      </c>
      <c r="AA496" s="46"/>
      <c r="AB496" s="126">
        <f t="shared" ref="AB496:AP496" si="448">SUM(AB497:AB499)</f>
        <v>1395</v>
      </c>
      <c r="AC496" s="126">
        <f t="shared" si="448"/>
        <v>2790</v>
      </c>
      <c r="AD496" s="126">
        <f t="shared" si="448"/>
        <v>4185</v>
      </c>
      <c r="AE496" s="127">
        <f t="shared" si="448"/>
        <v>9562.5</v>
      </c>
      <c r="AF496" s="126">
        <f t="shared" si="448"/>
        <v>13387.5</v>
      </c>
      <c r="AG496" s="126">
        <f t="shared" si="448"/>
        <v>17212.5</v>
      </c>
      <c r="AH496" s="126">
        <f t="shared" si="448"/>
        <v>21037.5</v>
      </c>
      <c r="AI496" s="126">
        <f t="shared" si="448"/>
        <v>24862.5</v>
      </c>
      <c r="AJ496" s="126">
        <f t="shared" si="448"/>
        <v>28687.499999999996</v>
      </c>
      <c r="AK496" s="126">
        <f t="shared" si="448"/>
        <v>32512.5</v>
      </c>
      <c r="AL496" s="126">
        <f t="shared" si="448"/>
        <v>38250</v>
      </c>
      <c r="AM496" s="126">
        <f t="shared" si="448"/>
        <v>43987.5</v>
      </c>
      <c r="AN496" s="126">
        <f t="shared" si="448"/>
        <v>49725</v>
      </c>
      <c r="AO496" s="126">
        <f t="shared" si="448"/>
        <v>55462.499999999993</v>
      </c>
      <c r="AP496" s="126">
        <f t="shared" si="448"/>
        <v>61199.999999999993</v>
      </c>
      <c r="AQ496" s="29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29"/>
      <c r="BD496" s="29"/>
      <c r="BE496" s="46"/>
      <c r="BF496" s="46"/>
      <c r="BG496" s="46"/>
      <c r="BH496" s="29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</row>
    <row r="497" spans="1:79" ht="14.25" hidden="1" customHeight="1" outlineLevel="1" x14ac:dyDescent="0.25">
      <c r="A497" s="22"/>
      <c r="B497" s="253"/>
      <c r="C497" s="261">
        <f t="shared" ref="C497:D497" si="449">SUM(C492:C496)</f>
        <v>50</v>
      </c>
      <c r="D497" s="261">
        <f t="shared" si="449"/>
        <v>30</v>
      </c>
      <c r="E497" s="262">
        <f t="shared" si="444"/>
        <v>0.4</v>
      </c>
      <c r="F497" s="82" t="s">
        <v>401</v>
      </c>
      <c r="G497" s="82"/>
      <c r="H497" s="82"/>
      <c r="I497" s="82"/>
      <c r="J497" s="82"/>
      <c r="K497" s="82"/>
      <c r="L497" s="22"/>
      <c r="M497" s="22"/>
      <c r="N497" s="22"/>
      <c r="O497" s="22"/>
      <c r="P497" s="22"/>
      <c r="Q497" s="22"/>
      <c r="R497" s="22"/>
      <c r="S497" s="31"/>
      <c r="T497" s="22"/>
      <c r="U497" s="22"/>
      <c r="V497" s="22"/>
      <c r="W497" s="22"/>
      <c r="X497" s="22"/>
      <c r="Y497" s="82" t="s">
        <v>401</v>
      </c>
      <c r="Z497" s="263">
        <v>8</v>
      </c>
      <c r="AA497" s="22"/>
      <c r="AB497" s="11">
        <f t="shared" ref="AB497:AP497" si="450">$Z497*AB475</f>
        <v>540</v>
      </c>
      <c r="AC497" s="11">
        <f t="shared" si="450"/>
        <v>1080</v>
      </c>
      <c r="AD497" s="11">
        <f t="shared" si="450"/>
        <v>1620</v>
      </c>
      <c r="AE497" s="50">
        <f t="shared" si="450"/>
        <v>2160</v>
      </c>
      <c r="AF497" s="11">
        <f t="shared" si="450"/>
        <v>3024</v>
      </c>
      <c r="AG497" s="11">
        <f t="shared" si="450"/>
        <v>3888</v>
      </c>
      <c r="AH497" s="11">
        <f t="shared" si="450"/>
        <v>4752</v>
      </c>
      <c r="AI497" s="11">
        <f t="shared" si="450"/>
        <v>5616</v>
      </c>
      <c r="AJ497" s="11">
        <f t="shared" si="450"/>
        <v>6480</v>
      </c>
      <c r="AK497" s="11">
        <f t="shared" si="450"/>
        <v>7344</v>
      </c>
      <c r="AL497" s="11">
        <f t="shared" si="450"/>
        <v>8640</v>
      </c>
      <c r="AM497" s="11">
        <f t="shared" si="450"/>
        <v>9936</v>
      </c>
      <c r="AN497" s="11">
        <f t="shared" si="450"/>
        <v>11232</v>
      </c>
      <c r="AO497" s="11">
        <f t="shared" si="450"/>
        <v>12528</v>
      </c>
      <c r="AP497" s="11">
        <f t="shared" si="450"/>
        <v>13824</v>
      </c>
      <c r="AQ497" s="31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31"/>
      <c r="BD497" s="31"/>
      <c r="BE497" s="22"/>
      <c r="BF497" s="22"/>
      <c r="BG497" s="22"/>
      <c r="BH497" s="31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</row>
    <row r="498" spans="1:79" ht="14.25" hidden="1" customHeight="1" outlineLevel="1" x14ac:dyDescent="0.25">
      <c r="A498" s="22"/>
      <c r="B498" s="253" t="s">
        <v>418</v>
      </c>
      <c r="C498" s="261"/>
      <c r="D498" s="261"/>
      <c r="E498" s="264"/>
      <c r="F498" s="82" t="s">
        <v>403</v>
      </c>
      <c r="G498" s="82"/>
      <c r="H498" s="82"/>
      <c r="I498" s="82"/>
      <c r="J498" s="82"/>
      <c r="K498" s="82"/>
      <c r="L498" s="22"/>
      <c r="M498" s="22"/>
      <c r="N498" s="22"/>
      <c r="O498" s="22"/>
      <c r="P498" s="22"/>
      <c r="Q498" s="22"/>
      <c r="R498" s="22"/>
      <c r="S498" s="31"/>
      <c r="T498" s="22"/>
      <c r="U498" s="22"/>
      <c r="V498" s="22"/>
      <c r="W498" s="22"/>
      <c r="X498" s="22"/>
      <c r="Y498" s="82" t="s">
        <v>403</v>
      </c>
      <c r="Z498" s="263">
        <f>Z497+20+10</f>
        <v>38</v>
      </c>
      <c r="AA498" s="22"/>
      <c r="AB498" s="11">
        <f t="shared" ref="AB498:AP498" si="451">$Z498*AB476</f>
        <v>855</v>
      </c>
      <c r="AC498" s="11">
        <f t="shared" si="451"/>
        <v>1710</v>
      </c>
      <c r="AD498" s="11">
        <f t="shared" si="451"/>
        <v>2565</v>
      </c>
      <c r="AE498" s="50">
        <f t="shared" si="451"/>
        <v>5985</v>
      </c>
      <c r="AF498" s="11">
        <f t="shared" si="451"/>
        <v>8379</v>
      </c>
      <c r="AG498" s="11">
        <f t="shared" si="451"/>
        <v>10773</v>
      </c>
      <c r="AH498" s="11">
        <f t="shared" si="451"/>
        <v>13167</v>
      </c>
      <c r="AI498" s="11">
        <f t="shared" si="451"/>
        <v>15561</v>
      </c>
      <c r="AJ498" s="11">
        <f t="shared" si="451"/>
        <v>17954.999999999996</v>
      </c>
      <c r="AK498" s="11">
        <f t="shared" si="451"/>
        <v>20349</v>
      </c>
      <c r="AL498" s="11">
        <f t="shared" si="451"/>
        <v>23940</v>
      </c>
      <c r="AM498" s="11">
        <f t="shared" si="451"/>
        <v>27531</v>
      </c>
      <c r="AN498" s="11">
        <f t="shared" si="451"/>
        <v>31122</v>
      </c>
      <c r="AO498" s="11">
        <f t="shared" si="451"/>
        <v>34712.999999999993</v>
      </c>
      <c r="AP498" s="11">
        <f t="shared" si="451"/>
        <v>38303.999999999993</v>
      </c>
      <c r="AQ498" s="31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31"/>
      <c r="BD498" s="31"/>
      <c r="BE498" s="22"/>
      <c r="BF498" s="22"/>
      <c r="BG498" s="22"/>
      <c r="BH498" s="31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</row>
    <row r="499" spans="1:79" ht="14.25" hidden="1" customHeight="1" outlineLevel="1" x14ac:dyDescent="0.25">
      <c r="A499" s="22"/>
      <c r="B499" s="256" t="s">
        <v>419</v>
      </c>
      <c r="C499" s="254">
        <f t="shared" ref="C499:D499" si="452">C497</f>
        <v>50</v>
      </c>
      <c r="D499" s="254">
        <f t="shared" si="452"/>
        <v>30</v>
      </c>
      <c r="E499" s="258">
        <f t="shared" ref="E499:E503" si="453">1-(D499/C499)</f>
        <v>0.4</v>
      </c>
      <c r="F499" s="82" t="s">
        <v>405</v>
      </c>
      <c r="G499" s="82"/>
      <c r="H499" s="82"/>
      <c r="I499" s="82"/>
      <c r="J499" s="82"/>
      <c r="K499" s="82"/>
      <c r="L499" s="22"/>
      <c r="M499" s="22"/>
      <c r="N499" s="22"/>
      <c r="O499" s="22"/>
      <c r="P499" s="22"/>
      <c r="Q499" s="22"/>
      <c r="R499" s="22"/>
      <c r="S499" s="31"/>
      <c r="T499" s="22"/>
      <c r="U499" s="22"/>
      <c r="V499" s="22"/>
      <c r="W499" s="22"/>
      <c r="X499" s="22"/>
      <c r="Y499" s="82" t="s">
        <v>405</v>
      </c>
      <c r="Z499" s="263">
        <f>Z497+20+10+25</f>
        <v>63</v>
      </c>
      <c r="AA499" s="22"/>
      <c r="AB499" s="11">
        <f t="shared" ref="AB499:AP499" si="454">$Z499*AB477</f>
        <v>0</v>
      </c>
      <c r="AC499" s="11">
        <f t="shared" si="454"/>
        <v>0</v>
      </c>
      <c r="AD499" s="11">
        <f t="shared" si="454"/>
        <v>0</v>
      </c>
      <c r="AE499" s="50">
        <f t="shared" si="454"/>
        <v>1417.5</v>
      </c>
      <c r="AF499" s="11">
        <f t="shared" si="454"/>
        <v>1984.5</v>
      </c>
      <c r="AG499" s="11">
        <f t="shared" si="454"/>
        <v>2551.5</v>
      </c>
      <c r="AH499" s="11">
        <f t="shared" si="454"/>
        <v>3118.5</v>
      </c>
      <c r="AI499" s="11">
        <f t="shared" si="454"/>
        <v>3685.5</v>
      </c>
      <c r="AJ499" s="11">
        <f t="shared" si="454"/>
        <v>4252.5</v>
      </c>
      <c r="AK499" s="11">
        <f t="shared" si="454"/>
        <v>4819.5</v>
      </c>
      <c r="AL499" s="11">
        <f t="shared" si="454"/>
        <v>5670</v>
      </c>
      <c r="AM499" s="11">
        <f t="shared" si="454"/>
        <v>6520.5</v>
      </c>
      <c r="AN499" s="11">
        <f t="shared" si="454"/>
        <v>7371</v>
      </c>
      <c r="AO499" s="11">
        <f t="shared" si="454"/>
        <v>8221.5</v>
      </c>
      <c r="AP499" s="11">
        <f t="shared" si="454"/>
        <v>9072</v>
      </c>
      <c r="AQ499" s="31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31"/>
      <c r="BD499" s="31"/>
      <c r="BE499" s="22"/>
      <c r="BF499" s="22"/>
      <c r="BG499" s="22"/>
      <c r="BH499" s="31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</row>
    <row r="500" spans="1:79" ht="14.25" hidden="1" customHeight="1" outlineLevel="1" x14ac:dyDescent="0.25">
      <c r="A500" s="22"/>
      <c r="B500" s="256" t="s">
        <v>420</v>
      </c>
      <c r="C500" s="257">
        <v>40</v>
      </c>
      <c r="D500" s="257">
        <v>20</v>
      </c>
      <c r="E500" s="258">
        <f t="shared" si="453"/>
        <v>0.5</v>
      </c>
      <c r="F500" s="82"/>
      <c r="G500" s="82"/>
      <c r="H500" s="82"/>
      <c r="I500" s="82"/>
      <c r="J500" s="82"/>
      <c r="K500" s="82"/>
      <c r="L500" s="22"/>
      <c r="M500" s="22"/>
      <c r="N500" s="22"/>
      <c r="O500" s="22"/>
      <c r="P500" s="22"/>
      <c r="Q500" s="22"/>
      <c r="R500" s="22"/>
      <c r="S500" s="31"/>
      <c r="T500" s="22"/>
      <c r="U500" s="22"/>
      <c r="V500" s="22"/>
      <c r="W500" s="22"/>
      <c r="X500" s="22"/>
      <c r="Y500" s="22"/>
      <c r="Z500" s="22"/>
      <c r="AA500" s="22"/>
      <c r="AB500" s="11"/>
      <c r="AC500" s="11"/>
      <c r="AD500" s="11"/>
      <c r="AE500" s="50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31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31"/>
      <c r="BD500" s="31"/>
      <c r="BE500" s="22"/>
      <c r="BF500" s="22"/>
      <c r="BG500" s="22"/>
      <c r="BH500" s="31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</row>
    <row r="501" spans="1:79" ht="14.25" hidden="1" customHeight="1" outlineLevel="1" x14ac:dyDescent="0.25">
      <c r="A501" s="22"/>
      <c r="B501" s="256" t="s">
        <v>421</v>
      </c>
      <c r="C501" s="257">
        <v>20</v>
      </c>
      <c r="D501" s="257">
        <v>10</v>
      </c>
      <c r="E501" s="258">
        <f t="shared" si="453"/>
        <v>0.5</v>
      </c>
      <c r="F501" s="82" t="s">
        <v>422</v>
      </c>
      <c r="G501" s="82"/>
      <c r="H501" s="82"/>
      <c r="I501" s="82"/>
      <c r="J501" s="82"/>
      <c r="K501" s="82"/>
      <c r="L501" s="22"/>
      <c r="M501" s="22"/>
      <c r="N501" s="22"/>
      <c r="O501" s="22"/>
      <c r="P501" s="22"/>
      <c r="Q501" s="22"/>
      <c r="R501" s="22"/>
      <c r="S501" s="31"/>
      <c r="T501" s="22"/>
      <c r="U501" s="22"/>
      <c r="V501" s="22"/>
      <c r="W501" s="22"/>
      <c r="X501" s="22"/>
      <c r="Y501" s="22"/>
      <c r="Z501" s="22"/>
      <c r="AA501" s="22"/>
      <c r="AB501" s="11">
        <f>SUM(Staffing!AF80:AF85)</f>
        <v>12500</v>
      </c>
      <c r="AC501" s="11">
        <f>SUM(Staffing!AG80:AG85)</f>
        <v>12500</v>
      </c>
      <c r="AD501" s="11">
        <f>SUM(Staffing!AH80:AH85)</f>
        <v>22916.666666666664</v>
      </c>
      <c r="AE501" s="50">
        <f>SUM(Staffing!AI80:AI85)</f>
        <v>22916.666666666664</v>
      </c>
      <c r="AF501" s="11">
        <f>SUM(Staffing!AJ80:AJ85)</f>
        <v>22916.666666666664</v>
      </c>
      <c r="AG501" s="11">
        <f>SUM(Staffing!AK80:AK85)</f>
        <v>22916.666666666664</v>
      </c>
      <c r="AH501" s="11">
        <f>SUM(Staffing!AL80:AL85)</f>
        <v>33333.333333333328</v>
      </c>
      <c r="AI501" s="11">
        <f>SUM(Staffing!AM80:AM85)</f>
        <v>33333.333333333328</v>
      </c>
      <c r="AJ501" s="11">
        <f>SUM(Staffing!AN80:AN85)</f>
        <v>33333.333333333328</v>
      </c>
      <c r="AK501" s="11">
        <f>SUM(Staffing!AO80:AO85)</f>
        <v>33333.333333333328</v>
      </c>
      <c r="AL501" s="11">
        <f>SUM(Staffing!AP80:AP85)</f>
        <v>41666.666666666664</v>
      </c>
      <c r="AM501" s="11">
        <f>SUM(Staffing!AQ80:AQ85)</f>
        <v>41666.666666666664</v>
      </c>
      <c r="AN501" s="11">
        <f>SUM(Staffing!AR80:AR85)</f>
        <v>50000</v>
      </c>
      <c r="AO501" s="11">
        <f>SUM(Staffing!AS80:AS85)</f>
        <v>50000</v>
      </c>
      <c r="AP501" s="11">
        <f>SUM(Staffing!AT80:AT85)</f>
        <v>58333.333333333336</v>
      </c>
      <c r="AQ501" s="31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31"/>
      <c r="BD501" s="31"/>
      <c r="BE501" s="22"/>
      <c r="BF501" s="22"/>
      <c r="BG501" s="22"/>
      <c r="BH501" s="31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</row>
    <row r="502" spans="1:79" ht="14.25" hidden="1" customHeight="1" outlineLevel="1" x14ac:dyDescent="0.25">
      <c r="A502" s="22"/>
      <c r="B502" s="256" t="s">
        <v>423</v>
      </c>
      <c r="C502" s="259">
        <v>15</v>
      </c>
      <c r="D502" s="259">
        <v>10</v>
      </c>
      <c r="E502" s="260">
        <f t="shared" si="453"/>
        <v>0.33333333333333337</v>
      </c>
      <c r="F502" s="265" t="s">
        <v>424</v>
      </c>
      <c r="G502" s="265"/>
      <c r="H502" s="265"/>
      <c r="I502" s="265"/>
      <c r="J502" s="265"/>
      <c r="K502" s="265"/>
      <c r="L502" s="266"/>
      <c r="M502" s="266"/>
      <c r="N502" s="266"/>
      <c r="O502" s="266"/>
      <c r="P502" s="266"/>
      <c r="Q502" s="266"/>
      <c r="R502" s="266"/>
      <c r="S502" s="267"/>
      <c r="T502" s="266"/>
      <c r="U502" s="266"/>
      <c r="V502" s="266"/>
      <c r="W502" s="266"/>
      <c r="X502" s="266"/>
      <c r="Y502" s="266"/>
      <c r="Z502" s="266"/>
      <c r="AA502" s="266"/>
      <c r="AB502" s="268">
        <f t="shared" ref="AB502:AP502" si="455">AB501-AB496</f>
        <v>11105</v>
      </c>
      <c r="AC502" s="268">
        <f t="shared" si="455"/>
        <v>9710</v>
      </c>
      <c r="AD502" s="268">
        <f t="shared" si="455"/>
        <v>18731.666666666664</v>
      </c>
      <c r="AE502" s="269">
        <f t="shared" si="455"/>
        <v>13354.166666666664</v>
      </c>
      <c r="AF502" s="268">
        <f t="shared" si="455"/>
        <v>9529.1666666666642</v>
      </c>
      <c r="AG502" s="268">
        <f t="shared" si="455"/>
        <v>5704.1666666666642</v>
      </c>
      <c r="AH502" s="268">
        <f t="shared" si="455"/>
        <v>12295.833333333328</v>
      </c>
      <c r="AI502" s="268">
        <f t="shared" si="455"/>
        <v>8470.8333333333285</v>
      </c>
      <c r="AJ502" s="268">
        <f t="shared" si="455"/>
        <v>4645.8333333333321</v>
      </c>
      <c r="AK502" s="268">
        <f t="shared" si="455"/>
        <v>820.83333333332848</v>
      </c>
      <c r="AL502" s="268">
        <f t="shared" si="455"/>
        <v>3416.6666666666642</v>
      </c>
      <c r="AM502" s="268">
        <f t="shared" si="455"/>
        <v>-2320.8333333333358</v>
      </c>
      <c r="AN502" s="268">
        <f t="shared" si="455"/>
        <v>275</v>
      </c>
      <c r="AO502" s="268">
        <f t="shared" si="455"/>
        <v>-5462.4999999999927</v>
      </c>
      <c r="AP502" s="268">
        <f t="shared" si="455"/>
        <v>-2866.666666666657</v>
      </c>
      <c r="AQ502" s="31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31"/>
      <c r="BD502" s="31"/>
      <c r="BE502" s="22"/>
      <c r="BF502" s="22"/>
      <c r="BG502" s="22"/>
      <c r="BH502" s="31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</row>
    <row r="503" spans="1:79" ht="14.25" hidden="1" customHeight="1" outlineLevel="1" x14ac:dyDescent="0.25">
      <c r="A503" s="22"/>
      <c r="B503" s="256"/>
      <c r="C503" s="261">
        <f t="shared" ref="C503:D503" si="456">SUM(C499:C502)</f>
        <v>125</v>
      </c>
      <c r="D503" s="261">
        <f t="shared" si="456"/>
        <v>70</v>
      </c>
      <c r="E503" s="262">
        <f t="shared" si="453"/>
        <v>0.43999999999999995</v>
      </c>
      <c r="F503" s="265" t="s">
        <v>425</v>
      </c>
      <c r="G503" s="265"/>
      <c r="H503" s="265"/>
      <c r="I503" s="265"/>
      <c r="J503" s="265"/>
      <c r="K503" s="265"/>
      <c r="L503" s="266"/>
      <c r="M503" s="266"/>
      <c r="N503" s="266"/>
      <c r="O503" s="266"/>
      <c r="P503" s="266"/>
      <c r="Q503" s="266"/>
      <c r="R503" s="266"/>
      <c r="S503" s="267"/>
      <c r="T503" s="266"/>
      <c r="U503" s="266"/>
      <c r="V503" s="266"/>
      <c r="W503" s="266"/>
      <c r="X503" s="266"/>
      <c r="Y503" s="266"/>
      <c r="Z503" s="266"/>
      <c r="AA503" s="266"/>
      <c r="AB503" s="270">
        <f>SUM(Staffing!AF74:AF79)</f>
        <v>16666.666666666668</v>
      </c>
      <c r="AC503" s="270">
        <f>SUM(Staffing!AG74:AG79)</f>
        <v>16666.666666666668</v>
      </c>
      <c r="AD503" s="270">
        <f>SUM(Staffing!AH74:AH79)</f>
        <v>29166.666666666668</v>
      </c>
      <c r="AE503" s="271">
        <f>SUM(Staffing!AI74:AI79)</f>
        <v>29166.666666666668</v>
      </c>
      <c r="AF503" s="270">
        <f>SUM(Staffing!AJ74:AJ79)</f>
        <v>29166.666666666668</v>
      </c>
      <c r="AG503" s="270">
        <f>SUM(Staffing!AK74:AK79)</f>
        <v>29166.666666666668</v>
      </c>
      <c r="AH503" s="270">
        <f>SUM(Staffing!AL74:AL79)</f>
        <v>29166.666666666668</v>
      </c>
      <c r="AI503" s="270">
        <f>SUM(Staffing!AM74:AM79)</f>
        <v>29166.666666666668</v>
      </c>
      <c r="AJ503" s="270">
        <f>SUM(Staffing!AN74:AN79)</f>
        <v>41666.666666666672</v>
      </c>
      <c r="AK503" s="270">
        <f>SUM(Staffing!AO74:AO79)</f>
        <v>41666.666666666672</v>
      </c>
      <c r="AL503" s="270">
        <f>SUM(Staffing!AP74:AP79)</f>
        <v>41666.666666666672</v>
      </c>
      <c r="AM503" s="270">
        <f>SUM(Staffing!AQ74:AQ79)</f>
        <v>54166.666666666672</v>
      </c>
      <c r="AN503" s="270">
        <f>SUM(Staffing!AR74:AR79)</f>
        <v>54166.666666666672</v>
      </c>
      <c r="AO503" s="270">
        <f>SUM(Staffing!AS74:AS79)</f>
        <v>54166.666666666672</v>
      </c>
      <c r="AP503" s="270">
        <f>SUM(Staffing!AT74:AT79)</f>
        <v>54166.666666666672</v>
      </c>
      <c r="AQ503" s="31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31"/>
      <c r="BD503" s="31"/>
      <c r="BE503" s="22"/>
      <c r="BF503" s="22"/>
      <c r="BG503" s="22"/>
      <c r="BH503" s="31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</row>
    <row r="504" spans="1:79" ht="14.25" hidden="1" customHeight="1" outlineLevel="1" x14ac:dyDescent="0.25">
      <c r="A504" s="22"/>
      <c r="B504" s="253" t="s">
        <v>426</v>
      </c>
      <c r="C504" s="254"/>
      <c r="D504" s="254"/>
      <c r="E504" s="264"/>
      <c r="F504" s="82" t="s">
        <v>427</v>
      </c>
      <c r="G504" s="82"/>
      <c r="H504" s="82"/>
      <c r="I504" s="82"/>
      <c r="J504" s="82"/>
      <c r="K504" s="82"/>
      <c r="L504" s="22"/>
      <c r="M504" s="22"/>
      <c r="N504" s="22"/>
      <c r="O504" s="22"/>
      <c r="P504" s="22"/>
      <c r="Q504" s="22"/>
      <c r="R504" s="22"/>
      <c r="S504" s="31"/>
      <c r="T504" s="22"/>
      <c r="U504" s="22"/>
      <c r="V504" s="22"/>
      <c r="W504" s="22"/>
      <c r="X504" s="22"/>
      <c r="Y504" s="22"/>
      <c r="Z504" s="22"/>
      <c r="AA504" s="22"/>
      <c r="AB504" s="11">
        <f t="shared" ref="AB504:AP504" si="457">AB502+AB503</f>
        <v>27771.666666666668</v>
      </c>
      <c r="AC504" s="11">
        <f t="shared" si="457"/>
        <v>26376.666666666668</v>
      </c>
      <c r="AD504" s="11">
        <f t="shared" si="457"/>
        <v>47898.333333333328</v>
      </c>
      <c r="AE504" s="50">
        <f t="shared" si="457"/>
        <v>42520.833333333328</v>
      </c>
      <c r="AF504" s="11">
        <f t="shared" si="457"/>
        <v>38695.833333333328</v>
      </c>
      <c r="AG504" s="11">
        <f t="shared" si="457"/>
        <v>34870.833333333328</v>
      </c>
      <c r="AH504" s="11">
        <f t="shared" si="457"/>
        <v>41462.5</v>
      </c>
      <c r="AI504" s="11">
        <f t="shared" si="457"/>
        <v>37637.5</v>
      </c>
      <c r="AJ504" s="11">
        <f t="shared" si="457"/>
        <v>46312.5</v>
      </c>
      <c r="AK504" s="11">
        <f t="shared" si="457"/>
        <v>42487.5</v>
      </c>
      <c r="AL504" s="11">
        <f t="shared" si="457"/>
        <v>45083.333333333336</v>
      </c>
      <c r="AM504" s="11">
        <f t="shared" si="457"/>
        <v>51845.833333333336</v>
      </c>
      <c r="AN504" s="11">
        <f t="shared" si="457"/>
        <v>54441.666666666672</v>
      </c>
      <c r="AO504" s="11">
        <f t="shared" si="457"/>
        <v>48704.166666666679</v>
      </c>
      <c r="AP504" s="11">
        <f t="shared" si="457"/>
        <v>51300.000000000015</v>
      </c>
      <c r="AQ504" s="31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31"/>
      <c r="BD504" s="31"/>
      <c r="BE504" s="22"/>
      <c r="BF504" s="22"/>
      <c r="BG504" s="22"/>
      <c r="BH504" s="31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</row>
    <row r="505" spans="1:79" ht="14.25" hidden="1" customHeight="1" outlineLevel="1" x14ac:dyDescent="0.25">
      <c r="A505" s="22"/>
      <c r="B505" s="256" t="s">
        <v>419</v>
      </c>
      <c r="C505" s="254">
        <f t="shared" ref="C505:D505" si="458">C497</f>
        <v>50</v>
      </c>
      <c r="D505" s="254">
        <f t="shared" si="458"/>
        <v>30</v>
      </c>
      <c r="E505" s="258">
        <f t="shared" ref="E505:E510" si="459">1-(D505/C505)</f>
        <v>0.4</v>
      </c>
      <c r="F505" s="82"/>
      <c r="G505" s="82"/>
      <c r="H505" s="82"/>
      <c r="I505" s="82"/>
      <c r="J505" s="82"/>
      <c r="K505" s="82"/>
      <c r="L505" s="22"/>
      <c r="M505" s="22"/>
      <c r="N505" s="22"/>
      <c r="O505" s="22"/>
      <c r="P505" s="22"/>
      <c r="Q505" s="22"/>
      <c r="R505" s="22"/>
      <c r="S505" s="31"/>
      <c r="T505" s="22"/>
      <c r="U505" s="22"/>
      <c r="V505" s="22"/>
      <c r="W505" s="22"/>
      <c r="X505" s="22"/>
      <c r="Y505" s="22"/>
      <c r="Z505" s="22"/>
      <c r="AA505" s="22"/>
      <c r="AB505" s="131"/>
      <c r="AC505" s="131"/>
      <c r="AD505" s="131"/>
      <c r="AE505" s="132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31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31"/>
      <c r="BD505" s="31"/>
      <c r="BE505" s="22"/>
      <c r="BF505" s="22"/>
      <c r="BG505" s="22"/>
      <c r="BH505" s="31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</row>
    <row r="506" spans="1:79" ht="14.25" hidden="1" customHeight="1" outlineLevel="1" x14ac:dyDescent="0.25">
      <c r="A506" s="22"/>
      <c r="B506" s="256" t="s">
        <v>420</v>
      </c>
      <c r="C506" s="257">
        <v>30</v>
      </c>
      <c r="D506" s="257">
        <v>20</v>
      </c>
      <c r="E506" s="258">
        <f t="shared" si="459"/>
        <v>0.33333333333333337</v>
      </c>
      <c r="F506" s="82"/>
      <c r="G506" s="82"/>
      <c r="H506" s="82"/>
      <c r="I506" s="82"/>
      <c r="J506" s="82"/>
      <c r="K506" s="82"/>
      <c r="L506" s="22"/>
      <c r="M506" s="22"/>
      <c r="N506" s="22"/>
      <c r="O506" s="22"/>
      <c r="P506" s="22"/>
      <c r="Q506" s="22"/>
      <c r="R506" s="22"/>
      <c r="S506" s="31"/>
      <c r="T506" s="22"/>
      <c r="U506" s="22"/>
      <c r="V506" s="22"/>
      <c r="W506" s="22"/>
      <c r="X506" s="22"/>
      <c r="Y506" s="22"/>
      <c r="Z506" s="22"/>
      <c r="AA506" s="22"/>
      <c r="AB506" s="131"/>
      <c r="AC506" s="131"/>
      <c r="AD506" s="131"/>
      <c r="AE506" s="132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31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31"/>
      <c r="BD506" s="31"/>
      <c r="BE506" s="22"/>
      <c r="BF506" s="22"/>
      <c r="BG506" s="22"/>
      <c r="BH506" s="31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</row>
    <row r="507" spans="1:79" ht="14.25" hidden="1" customHeight="1" outlineLevel="1" x14ac:dyDescent="0.25">
      <c r="A507" s="22"/>
      <c r="B507" s="256" t="s">
        <v>428</v>
      </c>
      <c r="C507" s="257">
        <v>15</v>
      </c>
      <c r="D507" s="257">
        <v>10</v>
      </c>
      <c r="E507" s="258">
        <f t="shared" si="459"/>
        <v>0.33333333333333337</v>
      </c>
      <c r="F507" s="82" t="s">
        <v>364</v>
      </c>
      <c r="G507" s="82"/>
      <c r="H507" s="82"/>
      <c r="I507" s="82"/>
      <c r="J507" s="82"/>
      <c r="K507" s="82"/>
      <c r="L507" s="22"/>
      <c r="M507" s="22"/>
      <c r="N507" s="22"/>
      <c r="O507" s="22"/>
      <c r="P507" s="22"/>
      <c r="Q507" s="22"/>
      <c r="R507" s="22"/>
      <c r="S507" s="31"/>
      <c r="T507" s="22"/>
      <c r="U507" s="22"/>
      <c r="V507" s="22"/>
      <c r="W507" s="22"/>
      <c r="X507" s="22"/>
      <c r="Y507" s="22"/>
      <c r="Z507" s="22"/>
      <c r="AA507" s="22"/>
      <c r="AB507" s="131"/>
      <c r="AC507" s="116">
        <f t="shared" ref="AC507:AP507" si="460">AB479</f>
        <v>6187.5</v>
      </c>
      <c r="AD507" s="116">
        <f t="shared" si="460"/>
        <v>12375</v>
      </c>
      <c r="AE507" s="125">
        <f t="shared" si="460"/>
        <v>18562.5</v>
      </c>
      <c r="AF507" s="116">
        <f t="shared" si="460"/>
        <v>41062.5</v>
      </c>
      <c r="AG507" s="116">
        <f t="shared" si="460"/>
        <v>57487.5</v>
      </c>
      <c r="AH507" s="116">
        <f t="shared" si="460"/>
        <v>73912.5</v>
      </c>
      <c r="AI507" s="116">
        <f t="shared" si="460"/>
        <v>90337.5</v>
      </c>
      <c r="AJ507" s="116">
        <f t="shared" si="460"/>
        <v>106762.5</v>
      </c>
      <c r="AK507" s="116">
        <f t="shared" si="460"/>
        <v>123187.5</v>
      </c>
      <c r="AL507" s="116">
        <f t="shared" si="460"/>
        <v>139612.5</v>
      </c>
      <c r="AM507" s="116">
        <f t="shared" si="460"/>
        <v>164250</v>
      </c>
      <c r="AN507" s="116">
        <f t="shared" si="460"/>
        <v>188887.5</v>
      </c>
      <c r="AO507" s="116">
        <f t="shared" si="460"/>
        <v>213525</v>
      </c>
      <c r="AP507" s="116">
        <f t="shared" si="460"/>
        <v>238162.5</v>
      </c>
      <c r="AQ507" s="31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31"/>
      <c r="BD507" s="31"/>
      <c r="BE507" s="22"/>
      <c r="BF507" s="22"/>
      <c r="BG507" s="22"/>
      <c r="BH507" s="31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</row>
    <row r="508" spans="1:79" ht="14.25" hidden="1" customHeight="1" outlineLevel="1" x14ac:dyDescent="0.25">
      <c r="A508" s="22"/>
      <c r="B508" s="256" t="s">
        <v>423</v>
      </c>
      <c r="C508" s="257">
        <v>35</v>
      </c>
      <c r="D508" s="257">
        <v>25</v>
      </c>
      <c r="E508" s="258">
        <f t="shared" si="459"/>
        <v>0.2857142857142857</v>
      </c>
      <c r="F508" s="82" t="s">
        <v>365</v>
      </c>
      <c r="G508" s="82"/>
      <c r="H508" s="82"/>
      <c r="I508" s="82"/>
      <c r="J508" s="82"/>
      <c r="K508" s="82"/>
      <c r="L508" s="22"/>
      <c r="M508" s="22"/>
      <c r="N508" s="22"/>
      <c r="O508" s="22"/>
      <c r="P508" s="22"/>
      <c r="Q508" s="22"/>
      <c r="R508" s="22"/>
      <c r="S508" s="31"/>
      <c r="T508" s="22"/>
      <c r="U508" s="22"/>
      <c r="V508" s="22"/>
      <c r="W508" s="22"/>
      <c r="X508" s="22"/>
      <c r="Y508" s="22"/>
      <c r="Z508" s="22"/>
      <c r="AA508" s="22"/>
      <c r="AB508" s="157">
        <f t="shared" ref="AB508:AP508" si="461">AB504+SUM(AA485:AA487)</f>
        <v>27771.666666666668</v>
      </c>
      <c r="AC508" s="157">
        <f t="shared" si="461"/>
        <v>29976.666666666668</v>
      </c>
      <c r="AD508" s="157">
        <f t="shared" si="461"/>
        <v>55098.333333333328</v>
      </c>
      <c r="AE508" s="158">
        <f t="shared" si="461"/>
        <v>53320.833333333328</v>
      </c>
      <c r="AF508" s="157">
        <f t="shared" si="461"/>
        <v>63670.833333333328</v>
      </c>
      <c r="AG508" s="157">
        <f t="shared" si="461"/>
        <v>69835.833333333328</v>
      </c>
      <c r="AH508" s="157">
        <f t="shared" si="461"/>
        <v>86417.5</v>
      </c>
      <c r="AI508" s="157">
        <f t="shared" si="461"/>
        <v>92582.5</v>
      </c>
      <c r="AJ508" s="157">
        <f t="shared" si="461"/>
        <v>111247.5</v>
      </c>
      <c r="AK508" s="157">
        <f t="shared" si="461"/>
        <v>117412.5</v>
      </c>
      <c r="AL508" s="157">
        <f t="shared" si="461"/>
        <v>129998.33333333334</v>
      </c>
      <c r="AM508" s="157">
        <f t="shared" si="461"/>
        <v>151745.83333333334</v>
      </c>
      <c r="AN508" s="157">
        <f t="shared" si="461"/>
        <v>169326.66666666669</v>
      </c>
      <c r="AO508" s="157">
        <f t="shared" si="461"/>
        <v>178574.16666666669</v>
      </c>
      <c r="AP508" s="157">
        <f t="shared" si="461"/>
        <v>196155</v>
      </c>
      <c r="AQ508" s="31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31"/>
      <c r="BD508" s="31"/>
      <c r="BE508" s="22"/>
      <c r="BF508" s="22"/>
      <c r="BG508" s="22"/>
      <c r="BH508" s="31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</row>
    <row r="509" spans="1:79" ht="14.25" hidden="1" customHeight="1" outlineLevel="1" x14ac:dyDescent="0.25">
      <c r="A509" s="46"/>
      <c r="B509" s="256" t="s">
        <v>429</v>
      </c>
      <c r="C509" s="257">
        <v>120</v>
      </c>
      <c r="D509" s="257">
        <v>100</v>
      </c>
      <c r="E509" s="258">
        <f t="shared" si="459"/>
        <v>0.16666666666666663</v>
      </c>
      <c r="F509" s="139" t="s">
        <v>366</v>
      </c>
      <c r="G509" s="139"/>
      <c r="H509" s="139"/>
      <c r="I509" s="139"/>
      <c r="J509" s="139"/>
      <c r="K509" s="139"/>
      <c r="L509" s="46"/>
      <c r="M509" s="46"/>
      <c r="N509" s="46"/>
      <c r="O509" s="46"/>
      <c r="P509" s="46"/>
      <c r="Q509" s="46"/>
      <c r="R509" s="46"/>
      <c r="S509" s="29"/>
      <c r="T509" s="46"/>
      <c r="U509" s="46"/>
      <c r="V509" s="46"/>
      <c r="W509" s="46"/>
      <c r="X509" s="46"/>
      <c r="Y509" s="46"/>
      <c r="Z509" s="46"/>
      <c r="AA509" s="46"/>
      <c r="AB509" s="140">
        <f t="shared" ref="AB509:AP509" si="462">AB507-AB508</f>
        <v>-27771.666666666668</v>
      </c>
      <c r="AC509" s="140">
        <f t="shared" si="462"/>
        <v>-23789.166666666668</v>
      </c>
      <c r="AD509" s="140">
        <f t="shared" si="462"/>
        <v>-42723.333333333328</v>
      </c>
      <c r="AE509" s="141">
        <f t="shared" si="462"/>
        <v>-34758.333333333328</v>
      </c>
      <c r="AF509" s="140">
        <f t="shared" si="462"/>
        <v>-22608.333333333328</v>
      </c>
      <c r="AG509" s="140">
        <f t="shared" si="462"/>
        <v>-12348.333333333328</v>
      </c>
      <c r="AH509" s="140">
        <f t="shared" si="462"/>
        <v>-12505</v>
      </c>
      <c r="AI509" s="140">
        <f t="shared" si="462"/>
        <v>-2245</v>
      </c>
      <c r="AJ509" s="140">
        <f t="shared" si="462"/>
        <v>-4485</v>
      </c>
      <c r="AK509" s="140">
        <f t="shared" si="462"/>
        <v>5775</v>
      </c>
      <c r="AL509" s="140">
        <f t="shared" si="462"/>
        <v>9614.166666666657</v>
      </c>
      <c r="AM509" s="140">
        <f t="shared" si="462"/>
        <v>12504.166666666657</v>
      </c>
      <c r="AN509" s="140">
        <f t="shared" si="462"/>
        <v>19560.833333333314</v>
      </c>
      <c r="AO509" s="140">
        <f t="shared" si="462"/>
        <v>34950.833333333314</v>
      </c>
      <c r="AP509" s="140">
        <f t="shared" si="462"/>
        <v>42007.5</v>
      </c>
      <c r="AQ509" s="29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29"/>
      <c r="BD509" s="29"/>
      <c r="BE509" s="46"/>
      <c r="BF509" s="46"/>
      <c r="BG509" s="46"/>
      <c r="BH509" s="29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</row>
    <row r="510" spans="1:79" ht="14.25" hidden="1" customHeight="1" outlineLevel="1" x14ac:dyDescent="0.25">
      <c r="A510" s="22"/>
      <c r="B510" s="256" t="s">
        <v>430</v>
      </c>
      <c r="C510" s="257">
        <v>100</v>
      </c>
      <c r="D510" s="257">
        <v>75</v>
      </c>
      <c r="E510" s="258">
        <f t="shared" si="459"/>
        <v>0.25</v>
      </c>
      <c r="F510" s="82"/>
      <c r="G510" s="82"/>
      <c r="H510" s="82"/>
      <c r="I510" s="82"/>
      <c r="J510" s="82"/>
      <c r="K510" s="82"/>
      <c r="L510" s="22"/>
      <c r="M510" s="22"/>
      <c r="N510" s="22"/>
      <c r="O510" s="22"/>
      <c r="P510" s="22"/>
      <c r="Q510" s="22"/>
      <c r="R510" s="22"/>
      <c r="S510" s="31"/>
      <c r="T510" s="22"/>
      <c r="U510" s="22"/>
      <c r="V510" s="22"/>
      <c r="W510" s="22"/>
      <c r="X510" s="22"/>
      <c r="Y510" s="22"/>
      <c r="Z510" s="22"/>
      <c r="AA510" s="22"/>
      <c r="AB510" s="131"/>
      <c r="AC510" s="131"/>
      <c r="AD510" s="131"/>
      <c r="AE510" s="132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31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31"/>
      <c r="BD510" s="31"/>
      <c r="BE510" s="22"/>
      <c r="BF510" s="22"/>
      <c r="BG510" s="22"/>
      <c r="BH510" s="31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</row>
    <row r="511" spans="1:79" ht="14.25" hidden="1" customHeight="1" outlineLevel="1" x14ac:dyDescent="0.25">
      <c r="A511" s="22"/>
      <c r="B511" s="256" t="s">
        <v>431</v>
      </c>
      <c r="C511" s="259"/>
      <c r="D511" s="259"/>
      <c r="E511" s="260"/>
      <c r="F511" s="139" t="s">
        <v>241</v>
      </c>
      <c r="G511" s="82"/>
      <c r="H511" s="82"/>
      <c r="I511" s="82"/>
      <c r="J511" s="82"/>
      <c r="K511" s="82"/>
      <c r="L511" s="22"/>
      <c r="M511" s="22"/>
      <c r="N511" s="22"/>
      <c r="O511" s="22"/>
      <c r="P511" s="22"/>
      <c r="Q511" s="22"/>
      <c r="R511" s="22"/>
      <c r="S511" s="31"/>
      <c r="T511" s="22"/>
      <c r="U511" s="22"/>
      <c r="V511" s="22"/>
      <c r="W511" s="22"/>
      <c r="X511" s="22"/>
      <c r="Y511" s="22"/>
      <c r="Z511" s="22"/>
      <c r="AA511" s="22"/>
      <c r="AB511" s="131"/>
      <c r="AC511" s="131"/>
      <c r="AD511" s="131"/>
      <c r="AE511" s="132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31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31"/>
      <c r="BD511" s="31"/>
      <c r="BE511" s="22"/>
      <c r="BF511" s="22"/>
      <c r="BG511" s="22"/>
      <c r="BH511" s="31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</row>
    <row r="512" spans="1:79" ht="14.25" hidden="1" customHeight="1" outlineLevel="1" x14ac:dyDescent="0.25">
      <c r="A512" s="22"/>
      <c r="B512" s="256"/>
      <c r="C512" s="261">
        <f t="shared" ref="C512:D512" si="463">SUM(C505:C511)</f>
        <v>350</v>
      </c>
      <c r="D512" s="261">
        <f t="shared" si="463"/>
        <v>260</v>
      </c>
      <c r="E512" s="262">
        <f>1-(D512/C512)</f>
        <v>0.25714285714285712</v>
      </c>
      <c r="F512" s="82" t="s">
        <v>362</v>
      </c>
      <c r="G512" s="82"/>
      <c r="H512" s="82"/>
      <c r="I512" s="82"/>
      <c r="J512" s="82"/>
      <c r="K512" s="82"/>
      <c r="L512" s="22"/>
      <c r="M512" s="22"/>
      <c r="N512" s="22"/>
      <c r="O512" s="22"/>
      <c r="P512" s="22"/>
      <c r="Q512" s="22"/>
      <c r="R512" s="22"/>
      <c r="S512" s="31"/>
      <c r="T512" s="22"/>
      <c r="U512" s="22"/>
      <c r="V512" s="22"/>
      <c r="W512" s="22"/>
      <c r="X512" s="22"/>
      <c r="Y512" s="22"/>
      <c r="Z512" s="22"/>
      <c r="AA512" s="22"/>
      <c r="AB512" s="116">
        <f t="shared" ref="AB512:AP512" si="464">AB479</f>
        <v>6187.5</v>
      </c>
      <c r="AC512" s="116">
        <f t="shared" si="464"/>
        <v>12375</v>
      </c>
      <c r="AD512" s="116">
        <f t="shared" si="464"/>
        <v>18562.5</v>
      </c>
      <c r="AE512" s="125">
        <f t="shared" si="464"/>
        <v>41062.5</v>
      </c>
      <c r="AF512" s="116">
        <f t="shared" si="464"/>
        <v>57487.5</v>
      </c>
      <c r="AG512" s="116">
        <f t="shared" si="464"/>
        <v>73912.5</v>
      </c>
      <c r="AH512" s="116">
        <f t="shared" si="464"/>
        <v>90337.5</v>
      </c>
      <c r="AI512" s="116">
        <f t="shared" si="464"/>
        <v>106762.5</v>
      </c>
      <c r="AJ512" s="116">
        <f t="shared" si="464"/>
        <v>123187.5</v>
      </c>
      <c r="AK512" s="116">
        <f t="shared" si="464"/>
        <v>139612.5</v>
      </c>
      <c r="AL512" s="116">
        <f t="shared" si="464"/>
        <v>164250</v>
      </c>
      <c r="AM512" s="116">
        <f t="shared" si="464"/>
        <v>188887.5</v>
      </c>
      <c r="AN512" s="116">
        <f t="shared" si="464"/>
        <v>213525</v>
      </c>
      <c r="AO512" s="116">
        <f t="shared" si="464"/>
        <v>238162.5</v>
      </c>
      <c r="AP512" s="116">
        <f t="shared" si="464"/>
        <v>262800</v>
      </c>
      <c r="AQ512" s="31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31"/>
      <c r="BD512" s="31"/>
      <c r="BE512" s="22"/>
      <c r="BF512" s="22"/>
      <c r="BG512" s="22"/>
      <c r="BH512" s="31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</row>
    <row r="513" spans="1:79" ht="14.25" hidden="1" customHeight="1" outlineLevel="1" x14ac:dyDescent="0.25">
      <c r="A513" s="22"/>
      <c r="B513" s="272"/>
      <c r="C513" s="27"/>
      <c r="D513" s="27"/>
      <c r="E513" s="273"/>
      <c r="F513" s="82" t="s">
        <v>363</v>
      </c>
      <c r="G513" s="82"/>
      <c r="H513" s="82"/>
      <c r="I513" s="82"/>
      <c r="J513" s="82"/>
      <c r="K513" s="82"/>
      <c r="L513" s="22"/>
      <c r="M513" s="22"/>
      <c r="N513" s="22"/>
      <c r="O513" s="22"/>
      <c r="P513" s="22"/>
      <c r="Q513" s="22"/>
      <c r="R513" s="22"/>
      <c r="S513" s="31"/>
      <c r="T513" s="22"/>
      <c r="U513" s="22"/>
      <c r="V513" s="22"/>
      <c r="W513" s="22"/>
      <c r="X513" s="22"/>
      <c r="Y513" s="22"/>
      <c r="Z513" s="22"/>
      <c r="AA513" s="22"/>
      <c r="AB513" s="116">
        <f t="shared" ref="AB513:AP513" si="465">SUM(AB485:AB487)</f>
        <v>3600</v>
      </c>
      <c r="AC513" s="116">
        <f t="shared" si="465"/>
        <v>7200</v>
      </c>
      <c r="AD513" s="116">
        <f t="shared" si="465"/>
        <v>10800</v>
      </c>
      <c r="AE513" s="125">
        <f t="shared" si="465"/>
        <v>24975</v>
      </c>
      <c r="AF513" s="116">
        <f t="shared" si="465"/>
        <v>34965</v>
      </c>
      <c r="AG513" s="116">
        <f t="shared" si="465"/>
        <v>44955</v>
      </c>
      <c r="AH513" s="116">
        <f t="shared" si="465"/>
        <v>54945</v>
      </c>
      <c r="AI513" s="116">
        <f t="shared" si="465"/>
        <v>64935</v>
      </c>
      <c r="AJ513" s="116">
        <f t="shared" si="465"/>
        <v>74925</v>
      </c>
      <c r="AK513" s="116">
        <f t="shared" si="465"/>
        <v>84915</v>
      </c>
      <c r="AL513" s="116">
        <f t="shared" si="465"/>
        <v>99900</v>
      </c>
      <c r="AM513" s="116">
        <f t="shared" si="465"/>
        <v>114885</v>
      </c>
      <c r="AN513" s="116">
        <f t="shared" si="465"/>
        <v>129870</v>
      </c>
      <c r="AO513" s="116">
        <f t="shared" si="465"/>
        <v>144855</v>
      </c>
      <c r="AP513" s="116">
        <f t="shared" si="465"/>
        <v>159840</v>
      </c>
      <c r="AQ513" s="31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31"/>
      <c r="BD513" s="31"/>
      <c r="BE513" s="22"/>
      <c r="BF513" s="22"/>
      <c r="BG513" s="22"/>
      <c r="BH513" s="31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</row>
    <row r="514" spans="1:79" ht="14.25" hidden="1" customHeight="1" outlineLevel="1" x14ac:dyDescent="0.25">
      <c r="A514" s="22"/>
      <c r="B514" s="22"/>
      <c r="C514" s="22"/>
      <c r="D514" s="22"/>
      <c r="E514" s="22"/>
      <c r="F514" s="143"/>
      <c r="G514" s="82"/>
      <c r="H514" s="82"/>
      <c r="I514" s="82"/>
      <c r="J514" s="82"/>
      <c r="K514" s="82"/>
      <c r="L514" s="22"/>
      <c r="M514" s="22"/>
      <c r="N514" s="22"/>
      <c r="O514" s="22"/>
      <c r="P514" s="22"/>
      <c r="Q514" s="22"/>
      <c r="R514" s="22"/>
      <c r="S514" s="31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31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31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31"/>
      <c r="BD514" s="31"/>
      <c r="BE514" s="22"/>
      <c r="BF514" s="22"/>
      <c r="BG514" s="22"/>
      <c r="BH514" s="31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</row>
    <row r="515" spans="1:79" ht="14.25" hidden="1" customHeight="1" outlineLevel="1" x14ac:dyDescent="0.25">
      <c r="A515" s="22"/>
      <c r="B515" s="22"/>
      <c r="C515" s="22"/>
      <c r="D515" s="22"/>
      <c r="E515" s="22"/>
      <c r="F515" s="148" t="s">
        <v>244</v>
      </c>
      <c r="G515" s="143"/>
      <c r="H515" s="143"/>
      <c r="I515" s="143"/>
      <c r="J515" s="143"/>
      <c r="K515" s="143"/>
      <c r="L515" s="142"/>
      <c r="M515" s="142"/>
      <c r="N515" s="142"/>
      <c r="O515" s="142"/>
      <c r="P515" s="142"/>
      <c r="Q515" s="142"/>
      <c r="R515" s="142"/>
      <c r="S515" s="31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6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31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31"/>
      <c r="BD515" s="31"/>
      <c r="BE515" s="22"/>
      <c r="BF515" s="22"/>
      <c r="BG515" s="22"/>
      <c r="BH515" s="31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</row>
    <row r="516" spans="1:79" ht="14.25" hidden="1" customHeight="1" outlineLevel="1" x14ac:dyDescent="0.25">
      <c r="A516" s="22"/>
      <c r="B516" s="22" t="s">
        <v>236</v>
      </c>
      <c r="C516" s="162">
        <v>30</v>
      </c>
      <c r="D516" s="22" t="s">
        <v>237</v>
      </c>
      <c r="E516" s="22"/>
      <c r="F516" s="143" t="s">
        <v>245</v>
      </c>
      <c r="G516" s="143"/>
      <c r="H516" s="143"/>
      <c r="I516" s="143"/>
      <c r="J516" s="143"/>
      <c r="K516" s="143"/>
      <c r="L516" s="142"/>
      <c r="M516" s="142"/>
      <c r="N516" s="142"/>
      <c r="O516" s="142"/>
      <c r="P516" s="142"/>
      <c r="Q516" s="142"/>
      <c r="R516" s="142"/>
      <c r="S516" s="31"/>
      <c r="T516" s="142"/>
      <c r="U516" s="142"/>
      <c r="V516" s="142"/>
      <c r="W516" s="142"/>
      <c r="X516" s="142"/>
      <c r="Y516" s="142"/>
      <c r="Z516" s="142"/>
      <c r="AA516" s="142"/>
      <c r="AB516" s="144">
        <f t="shared" ref="AB516:AP516" si="466">AB512</f>
        <v>6187.5</v>
      </c>
      <c r="AC516" s="144">
        <f t="shared" si="466"/>
        <v>12375</v>
      </c>
      <c r="AD516" s="144">
        <f t="shared" si="466"/>
        <v>18562.5</v>
      </c>
      <c r="AE516" s="145">
        <f t="shared" si="466"/>
        <v>41062.5</v>
      </c>
      <c r="AF516" s="144">
        <f t="shared" si="466"/>
        <v>57487.5</v>
      </c>
      <c r="AG516" s="144">
        <f t="shared" si="466"/>
        <v>73912.5</v>
      </c>
      <c r="AH516" s="144">
        <f t="shared" si="466"/>
        <v>90337.5</v>
      </c>
      <c r="AI516" s="144">
        <f t="shared" si="466"/>
        <v>106762.5</v>
      </c>
      <c r="AJ516" s="144">
        <f t="shared" si="466"/>
        <v>123187.5</v>
      </c>
      <c r="AK516" s="144">
        <f t="shared" si="466"/>
        <v>139612.5</v>
      </c>
      <c r="AL516" s="144">
        <f t="shared" si="466"/>
        <v>164250</v>
      </c>
      <c r="AM516" s="144">
        <f t="shared" si="466"/>
        <v>188887.5</v>
      </c>
      <c r="AN516" s="144">
        <f t="shared" si="466"/>
        <v>213525</v>
      </c>
      <c r="AO516" s="144">
        <f t="shared" si="466"/>
        <v>238162.5</v>
      </c>
      <c r="AP516" s="144">
        <f t="shared" si="466"/>
        <v>262800</v>
      </c>
      <c r="AQ516" s="31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31"/>
      <c r="BD516" s="31"/>
      <c r="BE516" s="22"/>
      <c r="BF516" s="22"/>
      <c r="BG516" s="22"/>
      <c r="BH516" s="31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</row>
    <row r="517" spans="1:79" ht="14.25" hidden="1" customHeight="1" outlineLevel="1" x14ac:dyDescent="0.25">
      <c r="A517" s="22"/>
      <c r="B517" s="22" t="s">
        <v>239</v>
      </c>
      <c r="C517" s="162">
        <v>30</v>
      </c>
      <c r="D517" s="22" t="s">
        <v>432</v>
      </c>
      <c r="E517" s="22"/>
      <c r="F517" s="143" t="s">
        <v>318</v>
      </c>
      <c r="G517" s="143"/>
      <c r="H517" s="143"/>
      <c r="I517" s="143"/>
      <c r="J517" s="143"/>
      <c r="K517" s="143"/>
      <c r="L517" s="142"/>
      <c r="M517" s="142"/>
      <c r="N517" s="142"/>
      <c r="O517" s="142"/>
      <c r="P517" s="142"/>
      <c r="Q517" s="142"/>
      <c r="R517" s="142"/>
      <c r="S517" s="31"/>
      <c r="T517" s="142"/>
      <c r="U517" s="142"/>
      <c r="V517" s="142"/>
      <c r="W517" s="142"/>
      <c r="X517" s="142"/>
      <c r="Y517" s="142"/>
      <c r="Z517" s="142"/>
      <c r="AA517" s="142"/>
      <c r="AB517" s="144">
        <f t="shared" ref="AB517:AP517" si="467">AB513</f>
        <v>3600</v>
      </c>
      <c r="AC517" s="144">
        <f t="shared" si="467"/>
        <v>7200</v>
      </c>
      <c r="AD517" s="144">
        <f t="shared" si="467"/>
        <v>10800</v>
      </c>
      <c r="AE517" s="145">
        <f t="shared" si="467"/>
        <v>24975</v>
      </c>
      <c r="AF517" s="144">
        <f t="shared" si="467"/>
        <v>34965</v>
      </c>
      <c r="AG517" s="144">
        <f t="shared" si="467"/>
        <v>44955</v>
      </c>
      <c r="AH517" s="144">
        <f t="shared" si="467"/>
        <v>54945</v>
      </c>
      <c r="AI517" s="144">
        <f t="shared" si="467"/>
        <v>64935</v>
      </c>
      <c r="AJ517" s="144">
        <f t="shared" si="467"/>
        <v>74925</v>
      </c>
      <c r="AK517" s="144">
        <f t="shared" si="467"/>
        <v>84915</v>
      </c>
      <c r="AL517" s="144">
        <f t="shared" si="467"/>
        <v>99900</v>
      </c>
      <c r="AM517" s="144">
        <f t="shared" si="467"/>
        <v>114885</v>
      </c>
      <c r="AN517" s="144">
        <f t="shared" si="467"/>
        <v>129870</v>
      </c>
      <c r="AO517" s="144">
        <f t="shared" si="467"/>
        <v>144855</v>
      </c>
      <c r="AP517" s="144">
        <f t="shared" si="467"/>
        <v>159840</v>
      </c>
      <c r="AQ517" s="31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31"/>
      <c r="BD517" s="31"/>
      <c r="BE517" s="22"/>
      <c r="BF517" s="22"/>
      <c r="BG517" s="22"/>
      <c r="BH517" s="31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</row>
    <row r="518" spans="1:79" ht="14.25" hidden="1" customHeight="1" outlineLevel="1" x14ac:dyDescent="0.25">
      <c r="A518" s="22"/>
      <c r="B518" s="22"/>
      <c r="C518" s="22"/>
      <c r="D518" s="22"/>
      <c r="E518" s="22"/>
      <c r="F518" s="82"/>
      <c r="G518" s="82"/>
      <c r="H518" s="82"/>
      <c r="I518" s="82"/>
      <c r="J518" s="82"/>
      <c r="K518" s="82"/>
      <c r="L518" s="22"/>
      <c r="M518" s="22"/>
      <c r="N518" s="22"/>
      <c r="O518" s="22"/>
      <c r="P518" s="22"/>
      <c r="Q518" s="22"/>
      <c r="R518" s="22"/>
      <c r="S518" s="31"/>
      <c r="T518" s="22"/>
      <c r="U518" s="22"/>
      <c r="V518" s="22"/>
      <c r="W518" s="22"/>
      <c r="X518" s="22"/>
      <c r="Y518" s="22"/>
      <c r="Z518" s="22"/>
      <c r="AA518" s="22"/>
      <c r="AB518" s="131"/>
      <c r="AC518" s="131"/>
      <c r="AD518" s="131"/>
      <c r="AE518" s="132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31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31"/>
      <c r="BD518" s="31"/>
      <c r="BE518" s="22"/>
      <c r="BF518" s="22"/>
      <c r="BG518" s="22"/>
      <c r="BH518" s="31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</row>
    <row r="519" spans="1:79" ht="14.25" hidden="1" customHeight="1" outlineLevel="1" x14ac:dyDescent="0.25">
      <c r="A519" s="22"/>
      <c r="B519" s="22"/>
      <c r="C519" s="22"/>
      <c r="D519" s="22"/>
      <c r="E519" s="22"/>
      <c r="F519" s="82"/>
      <c r="G519" s="82"/>
      <c r="H519" s="82"/>
      <c r="I519" s="82"/>
      <c r="J519" s="82"/>
      <c r="K519" s="82"/>
      <c r="L519" s="22"/>
      <c r="M519" s="22"/>
      <c r="N519" s="22"/>
      <c r="O519" s="22"/>
      <c r="P519" s="22"/>
      <c r="Q519" s="22"/>
      <c r="R519" s="22"/>
      <c r="S519" s="31"/>
      <c r="T519" s="22"/>
      <c r="U519" s="22"/>
      <c r="V519" s="22"/>
      <c r="W519" s="22"/>
      <c r="X519" s="22"/>
      <c r="Y519" s="22"/>
      <c r="Z519" s="22"/>
      <c r="AA519" s="22"/>
      <c r="AB519" s="131"/>
      <c r="AC519" s="131"/>
      <c r="AD519" s="131"/>
      <c r="AE519" s="132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31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31"/>
      <c r="BD519" s="31"/>
      <c r="BE519" s="22"/>
      <c r="BF519" s="22"/>
      <c r="BG519" s="22"/>
      <c r="BH519" s="31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</row>
    <row r="520" spans="1:79" ht="14.25" customHeight="1" collapsed="1" x14ac:dyDescent="0.25">
      <c r="A520" s="22"/>
      <c r="B520" s="22"/>
      <c r="C520" s="22"/>
      <c r="D520" s="22"/>
      <c r="E520" s="22"/>
      <c r="F520" s="80"/>
      <c r="G520" s="82"/>
      <c r="H520" s="82"/>
      <c r="I520" s="82"/>
      <c r="J520" s="82"/>
      <c r="K520" s="82"/>
      <c r="L520" s="22"/>
      <c r="M520" s="22"/>
      <c r="N520" s="22"/>
      <c r="O520" s="22"/>
      <c r="P520" s="22"/>
      <c r="Q520" s="22"/>
      <c r="R520" s="22"/>
      <c r="S520" s="31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31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31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31"/>
      <c r="BD520" s="31"/>
      <c r="BE520" s="22"/>
      <c r="BF520" s="22"/>
      <c r="BG520" s="22"/>
      <c r="BH520" s="31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</row>
    <row r="521" spans="1:79" ht="14.25" customHeight="1" x14ac:dyDescent="0.25">
      <c r="A521" s="153" t="s">
        <v>433</v>
      </c>
      <c r="B521" s="153"/>
      <c r="C521" s="153"/>
      <c r="D521" s="153"/>
      <c r="E521" s="153"/>
      <c r="F521" s="87"/>
      <c r="G521" s="159"/>
      <c r="H521" s="159"/>
      <c r="I521" s="159"/>
      <c r="J521" s="159"/>
      <c r="K521" s="159"/>
      <c r="L521" s="153"/>
      <c r="M521" s="153"/>
      <c r="N521" s="153"/>
      <c r="O521" s="153"/>
      <c r="P521" s="153"/>
      <c r="Q521" s="153"/>
      <c r="R521" s="153"/>
      <c r="S521" s="155">
        <f t="shared" ref="S521:AP521" si="468">S562</f>
        <v>0</v>
      </c>
      <c r="T521" s="154">
        <f t="shared" si="468"/>
        <v>0</v>
      </c>
      <c r="U521" s="154">
        <f t="shared" si="468"/>
        <v>0</v>
      </c>
      <c r="V521" s="154">
        <f t="shared" si="468"/>
        <v>0</v>
      </c>
      <c r="W521" s="154">
        <f t="shared" si="468"/>
        <v>0</v>
      </c>
      <c r="X521" s="154">
        <f t="shared" si="468"/>
        <v>34609.166666666664</v>
      </c>
      <c r="Y521" s="154">
        <f t="shared" si="468"/>
        <v>71640.974999999991</v>
      </c>
      <c r="Z521" s="154">
        <f t="shared" si="468"/>
        <v>111368.83741666666</v>
      </c>
      <c r="AA521" s="154">
        <f t="shared" si="468"/>
        <v>154092.57312749999</v>
      </c>
      <c r="AB521" s="154">
        <f t="shared" si="468"/>
        <v>200141.07685034169</v>
      </c>
      <c r="AC521" s="154">
        <f t="shared" si="468"/>
        <v>249875.25355316483</v>
      </c>
      <c r="AD521" s="154">
        <f t="shared" si="468"/>
        <v>303691.2458557366</v>
      </c>
      <c r="AE521" s="155">
        <f t="shared" si="468"/>
        <v>360797.7383819645</v>
      </c>
      <c r="AF521" s="154">
        <f t="shared" si="468"/>
        <v>427526.93049195822</v>
      </c>
      <c r="AG521" s="154">
        <f t="shared" si="468"/>
        <v>493043.42929061491</v>
      </c>
      <c r="AH521" s="154">
        <f t="shared" si="468"/>
        <v>562861.81766238518</v>
      </c>
      <c r="AI521" s="154">
        <f t="shared" si="468"/>
        <v>637354.42968304129</v>
      </c>
      <c r="AJ521" s="154">
        <f t="shared" si="468"/>
        <v>716922.54066712013</v>
      </c>
      <c r="AK521" s="154">
        <f t="shared" si="468"/>
        <v>801998.70783164201</v>
      </c>
      <c r="AL521" s="154">
        <f t="shared" si="468"/>
        <v>893049.29745199136</v>
      </c>
      <c r="AM521" s="154">
        <f t="shared" si="468"/>
        <v>990577.21345215407</v>
      </c>
      <c r="AN521" s="154">
        <f t="shared" si="468"/>
        <v>1095124.8435662095</v>
      </c>
      <c r="AO521" s="154">
        <f t="shared" si="468"/>
        <v>1207277.2404982529</v>
      </c>
      <c r="AP521" s="154">
        <f t="shared" si="468"/>
        <v>1327665.5569014577</v>
      </c>
      <c r="AQ521" s="156"/>
      <c r="AR521" s="153"/>
      <c r="AS521" s="153"/>
      <c r="AT521" s="153"/>
      <c r="AU521" s="153"/>
      <c r="AV521" s="153"/>
      <c r="AW521" s="153"/>
      <c r="AX521" s="153"/>
      <c r="AY521" s="153"/>
      <c r="AZ521" s="153"/>
      <c r="BA521" s="153"/>
      <c r="BB521" s="153"/>
      <c r="BC521" s="156"/>
      <c r="BD521" s="156"/>
      <c r="BE521" s="153"/>
      <c r="BF521" s="153"/>
      <c r="BG521" s="153"/>
      <c r="BH521" s="156"/>
      <c r="BI521" s="153"/>
      <c r="BJ521" s="153"/>
      <c r="BK521" s="153"/>
      <c r="BL521" s="153"/>
      <c r="BM521" s="153"/>
      <c r="BN521" s="153"/>
      <c r="BO521" s="153"/>
      <c r="BP521" s="153"/>
      <c r="BQ521" s="153"/>
      <c r="BR521" s="153"/>
      <c r="BS521" s="153"/>
      <c r="BT521" s="153"/>
      <c r="BU521" s="153"/>
      <c r="BV521" s="153"/>
      <c r="BW521" s="153"/>
      <c r="BX521" s="153"/>
      <c r="BY521" s="153"/>
      <c r="BZ521" s="153"/>
      <c r="CA521" s="153"/>
    </row>
    <row r="522" spans="1:79" ht="14.25" hidden="1" customHeight="1" outlineLevel="1" x14ac:dyDescent="0.25">
      <c r="A522" s="22"/>
      <c r="B522" s="22"/>
      <c r="C522" s="22"/>
      <c r="D522" s="22"/>
      <c r="E522" s="22"/>
      <c r="F522" s="80"/>
      <c r="G522" s="82"/>
      <c r="H522" s="82"/>
      <c r="I522" s="82"/>
      <c r="J522" s="82"/>
      <c r="K522" s="82"/>
      <c r="L522" s="22"/>
      <c r="M522" s="22"/>
      <c r="N522" s="22"/>
      <c r="O522" s="22"/>
      <c r="P522" s="22"/>
      <c r="Q522" s="22"/>
      <c r="R522" s="22"/>
      <c r="S522" s="31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31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31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31"/>
      <c r="BD522" s="31"/>
      <c r="BE522" s="22"/>
      <c r="BF522" s="22"/>
      <c r="BG522" s="22"/>
      <c r="BH522" s="31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</row>
    <row r="523" spans="1:79" ht="14.25" hidden="1" customHeight="1" outlineLevel="1" x14ac:dyDescent="0.25">
      <c r="A523" s="22"/>
      <c r="B523" s="46" t="s">
        <v>434</v>
      </c>
      <c r="C523" s="22">
        <v>2026</v>
      </c>
      <c r="D523" s="22">
        <v>2027</v>
      </c>
      <c r="E523" s="22"/>
      <c r="F523" s="80"/>
      <c r="G523" s="82"/>
      <c r="H523" s="82"/>
      <c r="I523" s="82"/>
      <c r="J523" s="82"/>
      <c r="K523" s="82"/>
      <c r="L523" s="22"/>
      <c r="M523" s="22"/>
      <c r="N523" s="22"/>
      <c r="O523" s="22"/>
      <c r="P523" s="22"/>
      <c r="Q523" s="22"/>
      <c r="R523" s="22"/>
      <c r="S523" s="31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31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31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31"/>
      <c r="BD523" s="31"/>
      <c r="BE523" s="22"/>
      <c r="BF523" s="22"/>
      <c r="BG523" s="22"/>
      <c r="BH523" s="31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</row>
    <row r="524" spans="1:79" ht="14.25" hidden="1" customHeight="1" outlineLevel="1" x14ac:dyDescent="0.25">
      <c r="A524" s="22"/>
      <c r="B524" s="22" t="s">
        <v>435</v>
      </c>
      <c r="C524" s="274">
        <v>1.1000000000000001</v>
      </c>
      <c r="D524" s="247">
        <v>1.08</v>
      </c>
      <c r="E524" s="22"/>
      <c r="F524" s="82" t="s">
        <v>436</v>
      </c>
      <c r="G524" s="82"/>
      <c r="H524" s="82"/>
      <c r="I524" s="82"/>
      <c r="J524" s="82"/>
      <c r="K524" s="82"/>
      <c r="L524" s="22"/>
      <c r="M524" s="22"/>
      <c r="N524" s="22"/>
      <c r="O524" s="22"/>
      <c r="P524" s="22"/>
      <c r="Q524" s="22"/>
      <c r="R524" s="22"/>
      <c r="S524" s="31"/>
      <c r="T524" s="22"/>
      <c r="U524" s="22"/>
      <c r="V524" s="22"/>
      <c r="W524" s="22"/>
      <c r="X524" s="11">
        <v>100</v>
      </c>
      <c r="Y524" s="11">
        <f t="shared" ref="Y524:AD524" si="469">X524*$C524</f>
        <v>110.00000000000001</v>
      </c>
      <c r="Z524" s="11">
        <f t="shared" si="469"/>
        <v>121.00000000000003</v>
      </c>
      <c r="AA524" s="11">
        <f t="shared" si="469"/>
        <v>133.10000000000005</v>
      </c>
      <c r="AB524" s="11">
        <f t="shared" si="469"/>
        <v>146.41000000000008</v>
      </c>
      <c r="AC524" s="11">
        <f t="shared" si="469"/>
        <v>161.0510000000001</v>
      </c>
      <c r="AD524" s="11">
        <f t="shared" si="469"/>
        <v>177.15610000000012</v>
      </c>
      <c r="AE524" s="50">
        <f t="shared" ref="AE524:AP524" si="470">AD524*$D524</f>
        <v>191.32858800000014</v>
      </c>
      <c r="AF524" s="11">
        <f t="shared" si="470"/>
        <v>206.63487504000017</v>
      </c>
      <c r="AG524" s="11">
        <f t="shared" si="470"/>
        <v>223.16566504320019</v>
      </c>
      <c r="AH524" s="11">
        <f t="shared" si="470"/>
        <v>241.01891824665623</v>
      </c>
      <c r="AI524" s="11">
        <f t="shared" si="470"/>
        <v>260.30043170638874</v>
      </c>
      <c r="AJ524" s="11">
        <f t="shared" si="470"/>
        <v>281.12446624289987</v>
      </c>
      <c r="AK524" s="11">
        <f t="shared" si="470"/>
        <v>303.61442354233191</v>
      </c>
      <c r="AL524" s="11">
        <f t="shared" si="470"/>
        <v>327.90357742571848</v>
      </c>
      <c r="AM524" s="11">
        <f t="shared" si="470"/>
        <v>354.13586361977599</v>
      </c>
      <c r="AN524" s="11">
        <f t="shared" si="470"/>
        <v>382.4667327093581</v>
      </c>
      <c r="AO524" s="11">
        <f t="shared" si="470"/>
        <v>413.06407132610678</v>
      </c>
      <c r="AP524" s="11">
        <f t="shared" si="470"/>
        <v>446.10919703219537</v>
      </c>
      <c r="AQ524" s="31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31"/>
      <c r="BD524" s="31"/>
      <c r="BE524" s="22"/>
      <c r="BF524" s="22"/>
      <c r="BG524" s="22"/>
      <c r="BH524" s="31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</row>
    <row r="525" spans="1:79" ht="14.25" hidden="1" customHeight="1" outlineLevel="1" x14ac:dyDescent="0.25">
      <c r="A525" s="22"/>
      <c r="B525" s="22" t="s">
        <v>437</v>
      </c>
      <c r="C525" s="186">
        <v>0.97</v>
      </c>
      <c r="D525" s="186">
        <v>0.97</v>
      </c>
      <c r="E525" s="22"/>
      <c r="F525" s="82" t="s">
        <v>438</v>
      </c>
      <c r="G525" s="82"/>
      <c r="H525" s="82"/>
      <c r="I525" s="82"/>
      <c r="J525" s="82"/>
      <c r="K525" s="82"/>
      <c r="L525" s="22"/>
      <c r="M525" s="22"/>
      <c r="N525" s="22"/>
      <c r="O525" s="22"/>
      <c r="P525" s="22"/>
      <c r="Q525" s="22"/>
      <c r="R525" s="22"/>
      <c r="S525" s="31"/>
      <c r="T525" s="22"/>
      <c r="U525" s="22"/>
      <c r="V525" s="22"/>
      <c r="W525" s="22"/>
      <c r="X525" s="11">
        <f t="shared" ref="X525:AD525" si="471">X524+(W525*$C525)</f>
        <v>100</v>
      </c>
      <c r="Y525" s="11">
        <f t="shared" si="471"/>
        <v>207</v>
      </c>
      <c r="Z525" s="11">
        <f t="shared" si="471"/>
        <v>321.79000000000002</v>
      </c>
      <c r="AA525" s="11">
        <f t="shared" si="471"/>
        <v>445.23630000000003</v>
      </c>
      <c r="AB525" s="11">
        <f t="shared" si="471"/>
        <v>578.28921100000002</v>
      </c>
      <c r="AC525" s="11">
        <f t="shared" si="471"/>
        <v>721.99153467000019</v>
      </c>
      <c r="AD525" s="11">
        <f t="shared" si="471"/>
        <v>877.48788862990034</v>
      </c>
      <c r="AE525" s="50">
        <f t="shared" ref="AE525:AP525" si="472">AE524+(AD525*$D525)</f>
        <v>1042.4918399710034</v>
      </c>
      <c r="AF525" s="11">
        <f t="shared" si="472"/>
        <v>1217.8519598118735</v>
      </c>
      <c r="AG525" s="11">
        <f t="shared" si="472"/>
        <v>1404.4820660607174</v>
      </c>
      <c r="AH525" s="11">
        <f t="shared" si="472"/>
        <v>1603.3665223255523</v>
      </c>
      <c r="AI525" s="11">
        <f t="shared" si="472"/>
        <v>1815.5659583621743</v>
      </c>
      <c r="AJ525" s="11">
        <f t="shared" si="472"/>
        <v>2042.2234458542089</v>
      </c>
      <c r="AK525" s="11">
        <f t="shared" si="472"/>
        <v>2284.5711660209145</v>
      </c>
      <c r="AL525" s="11">
        <f t="shared" si="472"/>
        <v>2543.9376084660057</v>
      </c>
      <c r="AM525" s="11">
        <f t="shared" si="472"/>
        <v>2821.7553438318014</v>
      </c>
      <c r="AN525" s="11">
        <f t="shared" si="472"/>
        <v>3119.5694162262052</v>
      </c>
      <c r="AO525" s="11">
        <f t="shared" si="472"/>
        <v>3439.046405065526</v>
      </c>
      <c r="AP525" s="11">
        <f t="shared" si="472"/>
        <v>3781.9842099457555</v>
      </c>
      <c r="AQ525" s="31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31"/>
      <c r="BD525" s="31"/>
      <c r="BE525" s="22"/>
      <c r="BF525" s="22"/>
      <c r="BG525" s="22"/>
      <c r="BH525" s="31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</row>
    <row r="526" spans="1:79" ht="14.25" hidden="1" customHeight="1" outlineLevel="1" x14ac:dyDescent="0.25">
      <c r="A526" s="11"/>
      <c r="B526" s="9"/>
      <c r="C526" s="11"/>
      <c r="D526" s="11"/>
      <c r="E526" s="11"/>
      <c r="F526" s="109"/>
      <c r="G526" s="109"/>
      <c r="H526" s="109"/>
      <c r="I526" s="109"/>
      <c r="J526" s="109"/>
      <c r="K526" s="109"/>
      <c r="L526" s="11"/>
      <c r="M526" s="11"/>
      <c r="N526" s="11"/>
      <c r="O526" s="11"/>
      <c r="P526" s="11"/>
      <c r="Q526" s="11"/>
      <c r="R526" s="11"/>
      <c r="S526" s="31"/>
      <c r="T526" s="22"/>
      <c r="U526" s="22"/>
      <c r="V526" s="22"/>
      <c r="W526" s="22"/>
      <c r="X526" s="11"/>
      <c r="Y526" s="11"/>
      <c r="Z526" s="11"/>
      <c r="AA526" s="11"/>
      <c r="AB526" s="11"/>
      <c r="AC526" s="11"/>
      <c r="AD526" s="11"/>
      <c r="AE526" s="50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50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50"/>
      <c r="BD526" s="50"/>
      <c r="BE526" s="11"/>
      <c r="BF526" s="11"/>
      <c r="BG526" s="11"/>
      <c r="BH526" s="50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</row>
    <row r="527" spans="1:79" ht="14.25" hidden="1" customHeight="1" outlineLevel="1" x14ac:dyDescent="0.25">
      <c r="A527" s="30"/>
      <c r="B527" s="30" t="s">
        <v>439</v>
      </c>
      <c r="C527" s="30">
        <v>2026</v>
      </c>
      <c r="D527" s="30">
        <v>2027</v>
      </c>
      <c r="E527" s="30"/>
      <c r="F527" s="138" t="s">
        <v>440</v>
      </c>
      <c r="G527" s="138"/>
      <c r="H527" s="138"/>
      <c r="I527" s="138"/>
      <c r="J527" s="138"/>
      <c r="K527" s="138"/>
      <c r="L527" s="30"/>
      <c r="M527" s="30"/>
      <c r="N527" s="30"/>
      <c r="O527" s="30"/>
      <c r="P527" s="30"/>
      <c r="Q527" s="30"/>
      <c r="R527" s="30"/>
      <c r="S527" s="161"/>
      <c r="T527" s="15"/>
      <c r="U527" s="15"/>
      <c r="V527" s="15"/>
      <c r="W527" s="15"/>
      <c r="X527" s="7">
        <f t="shared" ref="X527:AP527" si="473">SUM(X528:X530)</f>
        <v>100</v>
      </c>
      <c r="Y527" s="7">
        <f t="shared" si="473"/>
        <v>207</v>
      </c>
      <c r="Z527" s="7">
        <f t="shared" si="473"/>
        <v>321.78999999999996</v>
      </c>
      <c r="AA527" s="7">
        <f t="shared" si="473"/>
        <v>445.23630000000003</v>
      </c>
      <c r="AB527" s="7">
        <f t="shared" si="473"/>
        <v>578.28921100000002</v>
      </c>
      <c r="AC527" s="7">
        <f t="shared" si="473"/>
        <v>721.99153467000019</v>
      </c>
      <c r="AD527" s="7">
        <f t="shared" si="473"/>
        <v>877.48788862990034</v>
      </c>
      <c r="AE527" s="6">
        <f t="shared" si="473"/>
        <v>1042.4918399710034</v>
      </c>
      <c r="AF527" s="7">
        <f t="shared" si="473"/>
        <v>1217.8519598118737</v>
      </c>
      <c r="AG527" s="7">
        <f t="shared" si="473"/>
        <v>1404.4820660607174</v>
      </c>
      <c r="AH527" s="7">
        <f t="shared" si="473"/>
        <v>1603.3665223255523</v>
      </c>
      <c r="AI527" s="7">
        <f t="shared" si="473"/>
        <v>1815.5659583621746</v>
      </c>
      <c r="AJ527" s="7">
        <f t="shared" si="473"/>
        <v>2042.2234458542089</v>
      </c>
      <c r="AK527" s="7">
        <f t="shared" si="473"/>
        <v>2284.5711660209145</v>
      </c>
      <c r="AL527" s="7">
        <f t="shared" si="473"/>
        <v>2543.9376084660057</v>
      </c>
      <c r="AM527" s="7">
        <f t="shared" si="473"/>
        <v>2821.7553438318018</v>
      </c>
      <c r="AN527" s="7">
        <f t="shared" si="473"/>
        <v>3119.5694162262052</v>
      </c>
      <c r="AO527" s="7">
        <f t="shared" si="473"/>
        <v>3439.0464050655264</v>
      </c>
      <c r="AP527" s="7">
        <f t="shared" si="473"/>
        <v>3781.984209945756</v>
      </c>
      <c r="AQ527" s="111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111"/>
      <c r="BD527" s="111"/>
      <c r="BE527" s="30"/>
      <c r="BF527" s="30"/>
      <c r="BG527" s="30"/>
      <c r="BH527" s="111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</row>
    <row r="528" spans="1:79" ht="14.25" hidden="1" customHeight="1" outlineLevel="1" x14ac:dyDescent="0.25">
      <c r="A528" s="22"/>
      <c r="B528" s="22" t="s">
        <v>375</v>
      </c>
      <c r="C528" s="186">
        <v>0.6</v>
      </c>
      <c r="D528" s="186">
        <v>0.56000000000000005</v>
      </c>
      <c r="E528" s="22"/>
      <c r="F528" s="82" t="s">
        <v>376</v>
      </c>
      <c r="G528" s="82"/>
      <c r="H528" s="82"/>
      <c r="I528" s="82"/>
      <c r="J528" s="82"/>
      <c r="K528" s="82"/>
      <c r="L528" s="22"/>
      <c r="M528" s="22"/>
      <c r="N528" s="22"/>
      <c r="O528" s="22"/>
      <c r="P528" s="22"/>
      <c r="Q528" s="22"/>
      <c r="R528" s="22"/>
      <c r="S528" s="31"/>
      <c r="T528" s="22"/>
      <c r="U528" s="22"/>
      <c r="V528" s="22"/>
      <c r="W528" s="22"/>
      <c r="X528" s="11">
        <f t="shared" ref="X528:AE528" si="474">X$525*$C528</f>
        <v>60</v>
      </c>
      <c r="Y528" s="11">
        <f t="shared" si="474"/>
        <v>124.19999999999999</v>
      </c>
      <c r="Z528" s="11">
        <f t="shared" si="474"/>
        <v>193.07400000000001</v>
      </c>
      <c r="AA528" s="11">
        <f t="shared" si="474"/>
        <v>267.14177999999998</v>
      </c>
      <c r="AB528" s="11">
        <f t="shared" si="474"/>
        <v>346.97352660000001</v>
      </c>
      <c r="AC528" s="11">
        <f t="shared" si="474"/>
        <v>433.19492080200013</v>
      </c>
      <c r="AD528" s="11">
        <f t="shared" si="474"/>
        <v>526.49273317794018</v>
      </c>
      <c r="AE528" s="50">
        <f t="shared" si="474"/>
        <v>625.49510398260202</v>
      </c>
      <c r="AF528" s="11">
        <f t="shared" ref="AF528:AP528" si="475">AF$525*$D528</f>
        <v>681.99709749464921</v>
      </c>
      <c r="AG528" s="11">
        <f t="shared" si="475"/>
        <v>786.50995699400187</v>
      </c>
      <c r="AH528" s="11">
        <f t="shared" si="475"/>
        <v>897.88525250230941</v>
      </c>
      <c r="AI528" s="11">
        <f t="shared" si="475"/>
        <v>1016.7169366828177</v>
      </c>
      <c r="AJ528" s="11">
        <f t="shared" si="475"/>
        <v>1143.6451296783571</v>
      </c>
      <c r="AK528" s="11">
        <f t="shared" si="475"/>
        <v>1279.3598529717121</v>
      </c>
      <c r="AL528" s="11">
        <f t="shared" si="475"/>
        <v>1424.6050607409634</v>
      </c>
      <c r="AM528" s="11">
        <f t="shared" si="475"/>
        <v>1580.1829925458089</v>
      </c>
      <c r="AN528" s="11">
        <f t="shared" si="475"/>
        <v>1746.9588730866751</v>
      </c>
      <c r="AO528" s="11">
        <f t="shared" si="475"/>
        <v>1925.8659868366947</v>
      </c>
      <c r="AP528" s="11">
        <f t="shared" si="475"/>
        <v>2117.9111575696234</v>
      </c>
      <c r="AQ528" s="31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31"/>
      <c r="BD528" s="31"/>
      <c r="BE528" s="22"/>
      <c r="BF528" s="22"/>
      <c r="BG528" s="22"/>
      <c r="BH528" s="31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</row>
    <row r="529" spans="1:79" ht="14.25" hidden="1" customHeight="1" outlineLevel="1" x14ac:dyDescent="0.25">
      <c r="A529" s="22"/>
      <c r="B529" s="22" t="s">
        <v>377</v>
      </c>
      <c r="C529" s="186">
        <v>0.3</v>
      </c>
      <c r="D529" s="186">
        <v>0.33</v>
      </c>
      <c r="E529" s="22"/>
      <c r="F529" s="82" t="s">
        <v>378</v>
      </c>
      <c r="G529" s="82"/>
      <c r="H529" s="82"/>
      <c r="I529" s="82"/>
      <c r="J529" s="82"/>
      <c r="K529" s="82"/>
      <c r="L529" s="22"/>
      <c r="M529" s="22"/>
      <c r="N529" s="22"/>
      <c r="O529" s="22"/>
      <c r="P529" s="22"/>
      <c r="Q529" s="22"/>
      <c r="R529" s="22"/>
      <c r="S529" s="31"/>
      <c r="T529" s="22"/>
      <c r="U529" s="22"/>
      <c r="V529" s="22"/>
      <c r="W529" s="22"/>
      <c r="X529" s="11">
        <f t="shared" ref="X529:AE529" si="476">X$525*$C529</f>
        <v>30</v>
      </c>
      <c r="Y529" s="11">
        <f t="shared" si="476"/>
        <v>62.099999999999994</v>
      </c>
      <c r="Z529" s="11">
        <f t="shared" si="476"/>
        <v>96.537000000000006</v>
      </c>
      <c r="AA529" s="11">
        <f t="shared" si="476"/>
        <v>133.57088999999999</v>
      </c>
      <c r="AB529" s="11">
        <f t="shared" si="476"/>
        <v>173.48676330000001</v>
      </c>
      <c r="AC529" s="11">
        <f t="shared" si="476"/>
        <v>216.59746040100006</v>
      </c>
      <c r="AD529" s="11">
        <f t="shared" si="476"/>
        <v>263.24636658897009</v>
      </c>
      <c r="AE529" s="50">
        <f t="shared" si="476"/>
        <v>312.74755199130101</v>
      </c>
      <c r="AF529" s="11">
        <f t="shared" ref="AF529:AP529" si="477">AF$525*$D529</f>
        <v>401.89114673791829</v>
      </c>
      <c r="AG529" s="11">
        <f t="shared" si="477"/>
        <v>463.47908180003679</v>
      </c>
      <c r="AH529" s="11">
        <f t="shared" si="477"/>
        <v>529.11095236743233</v>
      </c>
      <c r="AI529" s="11">
        <f t="shared" si="477"/>
        <v>599.13676625951757</v>
      </c>
      <c r="AJ529" s="11">
        <f t="shared" si="477"/>
        <v>673.93373713188896</v>
      </c>
      <c r="AK529" s="11">
        <f t="shared" si="477"/>
        <v>753.90848478690179</v>
      </c>
      <c r="AL529" s="11">
        <f t="shared" si="477"/>
        <v>839.49941079378198</v>
      </c>
      <c r="AM529" s="11">
        <f t="shared" si="477"/>
        <v>931.17926346449451</v>
      </c>
      <c r="AN529" s="11">
        <f t="shared" si="477"/>
        <v>1029.4579073546479</v>
      </c>
      <c r="AO529" s="11">
        <f t="shared" si="477"/>
        <v>1134.8853136716236</v>
      </c>
      <c r="AP529" s="11">
        <f t="shared" si="477"/>
        <v>1248.0547892820994</v>
      </c>
      <c r="AQ529" s="31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31"/>
      <c r="BD529" s="31"/>
      <c r="BE529" s="22"/>
      <c r="BF529" s="22"/>
      <c r="BG529" s="22"/>
      <c r="BH529" s="31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</row>
    <row r="530" spans="1:79" ht="14.25" hidden="1" customHeight="1" outlineLevel="1" x14ac:dyDescent="0.25">
      <c r="A530" s="22"/>
      <c r="B530" s="22" t="s">
        <v>379</v>
      </c>
      <c r="C530" s="186">
        <v>0.1</v>
      </c>
      <c r="D530" s="186">
        <v>0.11</v>
      </c>
      <c r="E530" s="22"/>
      <c r="F530" s="82" t="s">
        <v>380</v>
      </c>
      <c r="G530" s="82"/>
      <c r="H530" s="82"/>
      <c r="I530" s="82"/>
      <c r="J530" s="82"/>
      <c r="K530" s="82"/>
      <c r="L530" s="22"/>
      <c r="M530" s="22"/>
      <c r="N530" s="22"/>
      <c r="O530" s="22"/>
      <c r="P530" s="22"/>
      <c r="Q530" s="22"/>
      <c r="R530" s="22"/>
      <c r="S530" s="31"/>
      <c r="T530" s="22"/>
      <c r="U530" s="22"/>
      <c r="V530" s="22"/>
      <c r="W530" s="22"/>
      <c r="X530" s="11">
        <f t="shared" ref="X530:AE530" si="478">X$525*$C530</f>
        <v>10</v>
      </c>
      <c r="Y530" s="11">
        <f t="shared" si="478"/>
        <v>20.700000000000003</v>
      </c>
      <c r="Z530" s="11">
        <f t="shared" si="478"/>
        <v>32.179000000000002</v>
      </c>
      <c r="AA530" s="11">
        <f t="shared" si="478"/>
        <v>44.523630000000004</v>
      </c>
      <c r="AB530" s="11">
        <f t="shared" si="478"/>
        <v>57.828921100000002</v>
      </c>
      <c r="AC530" s="11">
        <f t="shared" si="478"/>
        <v>72.199153467000016</v>
      </c>
      <c r="AD530" s="11">
        <f t="shared" si="478"/>
        <v>87.74878886299004</v>
      </c>
      <c r="AE530" s="50">
        <f t="shared" si="478"/>
        <v>104.24918399710035</v>
      </c>
      <c r="AF530" s="11">
        <f t="shared" ref="AF530:AP530" si="479">AF$525*$D530</f>
        <v>133.9637155793061</v>
      </c>
      <c r="AG530" s="11">
        <f t="shared" si="479"/>
        <v>154.49302726667892</v>
      </c>
      <c r="AH530" s="11">
        <f t="shared" si="479"/>
        <v>176.37031745581075</v>
      </c>
      <c r="AI530" s="11">
        <f t="shared" si="479"/>
        <v>199.71225541983918</v>
      </c>
      <c r="AJ530" s="11">
        <f t="shared" si="479"/>
        <v>224.64457904396298</v>
      </c>
      <c r="AK530" s="11">
        <f t="shared" si="479"/>
        <v>251.30282826230058</v>
      </c>
      <c r="AL530" s="11">
        <f t="shared" si="479"/>
        <v>279.83313693126064</v>
      </c>
      <c r="AM530" s="11">
        <f t="shared" si="479"/>
        <v>310.39308782149817</v>
      </c>
      <c r="AN530" s="11">
        <f t="shared" si="479"/>
        <v>343.15263578488259</v>
      </c>
      <c r="AO530" s="11">
        <f t="shared" si="479"/>
        <v>378.29510455720788</v>
      </c>
      <c r="AP530" s="11">
        <f t="shared" si="479"/>
        <v>416.0182630940331</v>
      </c>
      <c r="AQ530" s="31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31"/>
      <c r="BD530" s="31"/>
      <c r="BE530" s="22"/>
      <c r="BF530" s="22"/>
      <c r="BG530" s="22"/>
      <c r="BH530" s="31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</row>
    <row r="531" spans="1:79" ht="14.25" hidden="1" customHeight="1" outlineLevel="1" x14ac:dyDescent="0.25">
      <c r="A531" s="22"/>
      <c r="B531" s="22"/>
      <c r="C531" s="22"/>
      <c r="D531" s="22"/>
      <c r="E531" s="22"/>
      <c r="F531" s="82"/>
      <c r="G531" s="82"/>
      <c r="H531" s="82"/>
      <c r="I531" s="82"/>
      <c r="J531" s="82"/>
      <c r="K531" s="82"/>
      <c r="L531" s="22"/>
      <c r="M531" s="22"/>
      <c r="N531" s="22"/>
      <c r="O531" s="22"/>
      <c r="P531" s="22"/>
      <c r="Q531" s="22"/>
      <c r="R531" s="22"/>
      <c r="S531" s="31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31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31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31"/>
      <c r="BD531" s="31"/>
      <c r="BE531" s="22"/>
      <c r="BF531" s="22"/>
      <c r="BG531" s="22"/>
      <c r="BH531" s="31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</row>
    <row r="532" spans="1:79" ht="14.25" hidden="1" customHeight="1" outlineLevel="1" x14ac:dyDescent="0.25">
      <c r="A532" s="30"/>
      <c r="B532" s="30" t="s">
        <v>441</v>
      </c>
      <c r="C532" s="30">
        <v>2026</v>
      </c>
      <c r="D532" s="30">
        <v>2027</v>
      </c>
      <c r="E532" s="30"/>
      <c r="F532" s="138" t="s">
        <v>442</v>
      </c>
      <c r="G532" s="138"/>
      <c r="H532" s="138"/>
      <c r="I532" s="138"/>
      <c r="J532" s="138"/>
      <c r="K532" s="138"/>
      <c r="L532" s="30"/>
      <c r="M532" s="30"/>
      <c r="N532" s="30"/>
      <c r="O532" s="30"/>
      <c r="P532" s="30"/>
      <c r="Q532" s="30"/>
      <c r="R532" s="30"/>
      <c r="S532" s="161"/>
      <c r="T532" s="15"/>
      <c r="U532" s="15"/>
      <c r="V532" s="15"/>
      <c r="W532" s="15"/>
      <c r="X532" s="7">
        <f t="shared" ref="X532:AP532" si="480">SUM(X533:X535)</f>
        <v>10</v>
      </c>
      <c r="Y532" s="7">
        <f t="shared" si="480"/>
        <v>20.7</v>
      </c>
      <c r="Z532" s="7">
        <f t="shared" si="480"/>
        <v>32.179000000000002</v>
      </c>
      <c r="AA532" s="7">
        <f t="shared" si="480"/>
        <v>44.523629999999997</v>
      </c>
      <c r="AB532" s="7">
        <f t="shared" si="480"/>
        <v>57.828921099999995</v>
      </c>
      <c r="AC532" s="7">
        <f t="shared" si="480"/>
        <v>72.199153467000031</v>
      </c>
      <c r="AD532" s="7">
        <f t="shared" si="480"/>
        <v>87.74878886299004</v>
      </c>
      <c r="AE532" s="6">
        <f t="shared" si="480"/>
        <v>104.24918399710035</v>
      </c>
      <c r="AF532" s="7">
        <f t="shared" si="480"/>
        <v>121.78519598118737</v>
      </c>
      <c r="AG532" s="7">
        <f t="shared" si="480"/>
        <v>140.44820660607178</v>
      </c>
      <c r="AH532" s="7">
        <f t="shared" si="480"/>
        <v>160.33665223255528</v>
      </c>
      <c r="AI532" s="7">
        <f t="shared" si="480"/>
        <v>181.55659583621747</v>
      </c>
      <c r="AJ532" s="7">
        <f t="shared" si="480"/>
        <v>204.2223445854209</v>
      </c>
      <c r="AK532" s="7">
        <f t="shared" si="480"/>
        <v>228.45711660209147</v>
      </c>
      <c r="AL532" s="7">
        <f t="shared" si="480"/>
        <v>254.3937608466006</v>
      </c>
      <c r="AM532" s="7">
        <f t="shared" si="480"/>
        <v>282.17553438318021</v>
      </c>
      <c r="AN532" s="7">
        <f t="shared" si="480"/>
        <v>311.9569416226206</v>
      </c>
      <c r="AO532" s="7">
        <f t="shared" si="480"/>
        <v>343.9046405065526</v>
      </c>
      <c r="AP532" s="7">
        <f t="shared" si="480"/>
        <v>378.19842099457554</v>
      </c>
      <c r="AQ532" s="111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111"/>
      <c r="BD532" s="111"/>
      <c r="BE532" s="30"/>
      <c r="BF532" s="30"/>
      <c r="BG532" s="30"/>
      <c r="BH532" s="111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</row>
    <row r="533" spans="1:79" ht="14.25" hidden="1" customHeight="1" outlineLevel="1" x14ac:dyDescent="0.25">
      <c r="A533" s="22"/>
      <c r="B533" s="22" t="s">
        <v>375</v>
      </c>
      <c r="C533" s="186">
        <v>0.1</v>
      </c>
      <c r="D533" s="186">
        <v>0.1</v>
      </c>
      <c r="E533" s="22"/>
      <c r="F533" s="82" t="s">
        <v>376</v>
      </c>
      <c r="G533" s="82"/>
      <c r="H533" s="82"/>
      <c r="I533" s="82"/>
      <c r="J533" s="82"/>
      <c r="K533" s="82"/>
      <c r="L533" s="22"/>
      <c r="M533" s="22"/>
      <c r="N533" s="22"/>
      <c r="O533" s="22"/>
      <c r="P533" s="22"/>
      <c r="Q533" s="22"/>
      <c r="R533" s="22"/>
      <c r="S533" s="31"/>
      <c r="T533" s="22"/>
      <c r="U533" s="22"/>
      <c r="V533" s="22"/>
      <c r="W533" s="22"/>
      <c r="X533" s="11">
        <f t="shared" ref="X533:AE533" si="481">X528*$C533</f>
        <v>6</v>
      </c>
      <c r="Y533" s="11">
        <f t="shared" si="481"/>
        <v>12.42</v>
      </c>
      <c r="Z533" s="11">
        <f t="shared" si="481"/>
        <v>19.307400000000001</v>
      </c>
      <c r="AA533" s="11">
        <f t="shared" si="481"/>
        <v>26.714178</v>
      </c>
      <c r="AB533" s="11">
        <f t="shared" si="481"/>
        <v>34.69735266</v>
      </c>
      <c r="AC533" s="11">
        <f t="shared" si="481"/>
        <v>43.319492080200014</v>
      </c>
      <c r="AD533" s="11">
        <f t="shared" si="481"/>
        <v>52.64927331779402</v>
      </c>
      <c r="AE533" s="50">
        <f t="shared" si="481"/>
        <v>62.549510398260203</v>
      </c>
      <c r="AF533" s="11">
        <f t="shared" ref="AF533:AP533" si="482">AF528*$D533</f>
        <v>68.19970974946493</v>
      </c>
      <c r="AG533" s="11">
        <f t="shared" si="482"/>
        <v>78.650995699400198</v>
      </c>
      <c r="AH533" s="11">
        <f t="shared" si="482"/>
        <v>89.788525250230947</v>
      </c>
      <c r="AI533" s="11">
        <f t="shared" si="482"/>
        <v>101.67169366828178</v>
      </c>
      <c r="AJ533" s="11">
        <f t="shared" si="482"/>
        <v>114.36451296783571</v>
      </c>
      <c r="AK533" s="11">
        <f t="shared" si="482"/>
        <v>127.93598529717121</v>
      </c>
      <c r="AL533" s="11">
        <f t="shared" si="482"/>
        <v>142.46050607409634</v>
      </c>
      <c r="AM533" s="11">
        <f t="shared" si="482"/>
        <v>158.01829925458091</v>
      </c>
      <c r="AN533" s="11">
        <f t="shared" si="482"/>
        <v>174.69588730866752</v>
      </c>
      <c r="AO533" s="11">
        <f t="shared" si="482"/>
        <v>192.58659868366948</v>
      </c>
      <c r="AP533" s="11">
        <f t="shared" si="482"/>
        <v>211.79111575696234</v>
      </c>
      <c r="AQ533" s="31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31"/>
      <c r="BD533" s="31"/>
      <c r="BE533" s="22"/>
      <c r="BF533" s="22"/>
      <c r="BG533" s="22"/>
      <c r="BH533" s="31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</row>
    <row r="534" spans="1:79" ht="14.25" hidden="1" customHeight="1" outlineLevel="1" x14ac:dyDescent="0.25">
      <c r="A534" s="22"/>
      <c r="B534" s="22" t="s">
        <v>377</v>
      </c>
      <c r="C534" s="186">
        <v>0.1</v>
      </c>
      <c r="D534" s="186">
        <v>0.1</v>
      </c>
      <c r="E534" s="22"/>
      <c r="F534" s="82" t="s">
        <v>378</v>
      </c>
      <c r="G534" s="82"/>
      <c r="H534" s="82"/>
      <c r="I534" s="82"/>
      <c r="J534" s="82"/>
      <c r="K534" s="82"/>
      <c r="L534" s="22"/>
      <c r="M534" s="22"/>
      <c r="N534" s="22"/>
      <c r="O534" s="22"/>
      <c r="P534" s="22"/>
      <c r="Q534" s="22"/>
      <c r="R534" s="22"/>
      <c r="S534" s="31"/>
      <c r="T534" s="22"/>
      <c r="U534" s="22"/>
      <c r="V534" s="22"/>
      <c r="W534" s="22"/>
      <c r="X534" s="11">
        <f t="shared" ref="X534:AE534" si="483">X529*$C534</f>
        <v>3</v>
      </c>
      <c r="Y534" s="11">
        <f t="shared" si="483"/>
        <v>6.21</v>
      </c>
      <c r="Z534" s="11">
        <f t="shared" si="483"/>
        <v>9.6537000000000006</v>
      </c>
      <c r="AA534" s="11">
        <f t="shared" si="483"/>
        <v>13.357089</v>
      </c>
      <c r="AB534" s="11">
        <f t="shared" si="483"/>
        <v>17.34867633</v>
      </c>
      <c r="AC534" s="11">
        <f t="shared" si="483"/>
        <v>21.659746040100007</v>
      </c>
      <c r="AD534" s="11">
        <f t="shared" si="483"/>
        <v>26.32463665889701</v>
      </c>
      <c r="AE534" s="50">
        <f t="shared" si="483"/>
        <v>31.274755199130102</v>
      </c>
      <c r="AF534" s="11">
        <f t="shared" ref="AF534:AP534" si="484">AF529*$D534</f>
        <v>40.189114673791835</v>
      </c>
      <c r="AG534" s="11">
        <f t="shared" si="484"/>
        <v>46.347908180003685</v>
      </c>
      <c r="AH534" s="11">
        <f t="shared" si="484"/>
        <v>52.911095236743236</v>
      </c>
      <c r="AI534" s="11">
        <f t="shared" si="484"/>
        <v>59.913676625951759</v>
      </c>
      <c r="AJ534" s="11">
        <f t="shared" si="484"/>
        <v>67.393373713188893</v>
      </c>
      <c r="AK534" s="11">
        <f t="shared" si="484"/>
        <v>75.390848478690188</v>
      </c>
      <c r="AL534" s="11">
        <f t="shared" si="484"/>
        <v>83.949941079378206</v>
      </c>
      <c r="AM534" s="11">
        <f t="shared" si="484"/>
        <v>93.117926346449451</v>
      </c>
      <c r="AN534" s="11">
        <f t="shared" si="484"/>
        <v>102.9457907354648</v>
      </c>
      <c r="AO534" s="11">
        <f t="shared" si="484"/>
        <v>113.48853136716237</v>
      </c>
      <c r="AP534" s="11">
        <f t="shared" si="484"/>
        <v>124.80547892820994</v>
      </c>
      <c r="AQ534" s="31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31"/>
      <c r="BD534" s="31"/>
      <c r="BE534" s="22"/>
      <c r="BF534" s="22"/>
      <c r="BG534" s="22"/>
      <c r="BH534" s="31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</row>
    <row r="535" spans="1:79" ht="14.25" hidden="1" customHeight="1" outlineLevel="1" x14ac:dyDescent="0.25">
      <c r="A535" s="22"/>
      <c r="B535" s="22" t="s">
        <v>379</v>
      </c>
      <c r="C535" s="186">
        <v>0.1</v>
      </c>
      <c r="D535" s="186">
        <v>0.1</v>
      </c>
      <c r="E535" s="22"/>
      <c r="F535" s="82" t="s">
        <v>380</v>
      </c>
      <c r="G535" s="82"/>
      <c r="H535" s="82"/>
      <c r="I535" s="82"/>
      <c r="J535" s="82"/>
      <c r="K535" s="82"/>
      <c r="L535" s="22"/>
      <c r="M535" s="22"/>
      <c r="N535" s="22"/>
      <c r="O535" s="22"/>
      <c r="P535" s="22"/>
      <c r="Q535" s="22"/>
      <c r="R535" s="22"/>
      <c r="S535" s="31"/>
      <c r="T535" s="22"/>
      <c r="U535" s="22"/>
      <c r="V535" s="22"/>
      <c r="W535" s="22"/>
      <c r="X535" s="11">
        <f t="shared" ref="X535:AE535" si="485">X530*$C535</f>
        <v>1</v>
      </c>
      <c r="Y535" s="11">
        <f t="shared" si="485"/>
        <v>2.0700000000000003</v>
      </c>
      <c r="Z535" s="11">
        <f t="shared" si="485"/>
        <v>3.2179000000000002</v>
      </c>
      <c r="AA535" s="11">
        <f t="shared" si="485"/>
        <v>4.452363000000001</v>
      </c>
      <c r="AB535" s="11">
        <f t="shared" si="485"/>
        <v>5.7828921100000006</v>
      </c>
      <c r="AC535" s="11">
        <f t="shared" si="485"/>
        <v>7.2199153467000023</v>
      </c>
      <c r="AD535" s="11">
        <f t="shared" si="485"/>
        <v>8.774878886299005</v>
      </c>
      <c r="AE535" s="50">
        <f t="shared" si="485"/>
        <v>10.424918399710036</v>
      </c>
      <c r="AF535" s="11">
        <f t="shared" ref="AF535:AP535" si="486">AF530*$D535</f>
        <v>13.39637155793061</v>
      </c>
      <c r="AG535" s="11">
        <f t="shared" si="486"/>
        <v>15.449302726667893</v>
      </c>
      <c r="AH535" s="11">
        <f t="shared" si="486"/>
        <v>17.637031745581076</v>
      </c>
      <c r="AI535" s="11">
        <f t="shared" si="486"/>
        <v>19.97122554198392</v>
      </c>
      <c r="AJ535" s="11">
        <f t="shared" si="486"/>
        <v>22.464457904396298</v>
      </c>
      <c r="AK535" s="11">
        <f t="shared" si="486"/>
        <v>25.130282826230058</v>
      </c>
      <c r="AL535" s="11">
        <f t="shared" si="486"/>
        <v>27.983313693126064</v>
      </c>
      <c r="AM535" s="11">
        <f t="shared" si="486"/>
        <v>31.039308782149817</v>
      </c>
      <c r="AN535" s="11">
        <f t="shared" si="486"/>
        <v>34.315263578488263</v>
      </c>
      <c r="AO535" s="11">
        <f t="shared" si="486"/>
        <v>37.829510455720786</v>
      </c>
      <c r="AP535" s="11">
        <f t="shared" si="486"/>
        <v>41.601826309403314</v>
      </c>
      <c r="AQ535" s="31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31"/>
      <c r="BD535" s="31"/>
      <c r="BE535" s="22"/>
      <c r="BF535" s="22"/>
      <c r="BG535" s="22"/>
      <c r="BH535" s="31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</row>
    <row r="536" spans="1:79" ht="14.25" hidden="1" customHeight="1" outlineLevel="1" x14ac:dyDescent="0.25">
      <c r="A536" s="22"/>
      <c r="B536" s="22"/>
      <c r="C536" s="22"/>
      <c r="D536" s="22"/>
      <c r="E536" s="22"/>
      <c r="F536" s="82"/>
      <c r="G536" s="82"/>
      <c r="H536" s="82"/>
      <c r="I536" s="82"/>
      <c r="J536" s="82"/>
      <c r="K536" s="82"/>
      <c r="L536" s="22"/>
      <c r="M536" s="22"/>
      <c r="N536" s="22"/>
      <c r="O536" s="22"/>
      <c r="P536" s="22"/>
      <c r="Q536" s="22"/>
      <c r="R536" s="22"/>
      <c r="S536" s="31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31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31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31"/>
      <c r="BD536" s="31"/>
      <c r="BE536" s="22"/>
      <c r="BF536" s="22"/>
      <c r="BG536" s="22"/>
      <c r="BH536" s="31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</row>
    <row r="537" spans="1:79" ht="14.25" hidden="1" customHeight="1" outlineLevel="1" x14ac:dyDescent="0.25">
      <c r="A537" s="30"/>
      <c r="B537" s="30"/>
      <c r="C537" s="30"/>
      <c r="D537" s="30"/>
      <c r="E537" s="30"/>
      <c r="F537" s="138" t="s">
        <v>443</v>
      </c>
      <c r="G537" s="138"/>
      <c r="H537" s="138"/>
      <c r="I537" s="138"/>
      <c r="J537" s="138"/>
      <c r="K537" s="138"/>
      <c r="L537" s="30"/>
      <c r="M537" s="30"/>
      <c r="N537" s="30"/>
      <c r="O537" s="30"/>
      <c r="P537" s="30"/>
      <c r="Q537" s="30"/>
      <c r="R537" s="30"/>
      <c r="S537" s="161"/>
      <c r="T537" s="15"/>
      <c r="U537" s="15"/>
      <c r="V537" s="15"/>
      <c r="W537" s="15"/>
      <c r="X537" s="7">
        <f t="shared" ref="X537:AP537" si="487">SUM(X538:X540)</f>
        <v>90</v>
      </c>
      <c r="Y537" s="7">
        <f t="shared" si="487"/>
        <v>186.29999999999998</v>
      </c>
      <c r="Z537" s="7">
        <f t="shared" si="487"/>
        <v>289.61099999999999</v>
      </c>
      <c r="AA537" s="7">
        <f t="shared" si="487"/>
        <v>400.71267</v>
      </c>
      <c r="AB537" s="7">
        <f t="shared" si="487"/>
        <v>520.46028990000002</v>
      </c>
      <c r="AC537" s="7">
        <f t="shared" si="487"/>
        <v>649.79238120300022</v>
      </c>
      <c r="AD537" s="7">
        <f t="shared" si="487"/>
        <v>789.73909976691027</v>
      </c>
      <c r="AE537" s="6">
        <f t="shared" si="487"/>
        <v>938.24265597390308</v>
      </c>
      <c r="AF537" s="7">
        <f t="shared" si="487"/>
        <v>1096.0667638306863</v>
      </c>
      <c r="AG537" s="7">
        <f t="shared" si="487"/>
        <v>1264.0338594546458</v>
      </c>
      <c r="AH537" s="7">
        <f t="shared" si="487"/>
        <v>1443.0298700929973</v>
      </c>
      <c r="AI537" s="7">
        <f t="shared" si="487"/>
        <v>1634.0093625259569</v>
      </c>
      <c r="AJ537" s="7">
        <f t="shared" si="487"/>
        <v>1838.001101268788</v>
      </c>
      <c r="AK537" s="7">
        <f t="shared" si="487"/>
        <v>2056.114049418823</v>
      </c>
      <c r="AL537" s="7">
        <f t="shared" si="487"/>
        <v>2289.5438476194054</v>
      </c>
      <c r="AM537" s="7">
        <f t="shared" si="487"/>
        <v>2539.5798094486217</v>
      </c>
      <c r="AN537" s="7">
        <f t="shared" si="487"/>
        <v>2807.6124746035848</v>
      </c>
      <c r="AO537" s="7">
        <f t="shared" si="487"/>
        <v>3095.1417645589736</v>
      </c>
      <c r="AP537" s="7">
        <f t="shared" si="487"/>
        <v>3403.7857889511802</v>
      </c>
      <c r="AQ537" s="111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111"/>
      <c r="BD537" s="111"/>
      <c r="BE537" s="30"/>
      <c r="BF537" s="30"/>
      <c r="BG537" s="30"/>
      <c r="BH537" s="111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</row>
    <row r="538" spans="1:79" ht="14.25" hidden="1" customHeight="1" outlineLevel="1" x14ac:dyDescent="0.25">
      <c r="A538" s="22"/>
      <c r="B538" s="22"/>
      <c r="C538" s="22"/>
      <c r="D538" s="22"/>
      <c r="E538" s="22"/>
      <c r="F538" s="82" t="s">
        <v>376</v>
      </c>
      <c r="G538" s="82"/>
      <c r="H538" s="82"/>
      <c r="I538" s="82"/>
      <c r="J538" s="82"/>
      <c r="K538" s="82"/>
      <c r="L538" s="22"/>
      <c r="M538" s="22"/>
      <c r="N538" s="22"/>
      <c r="O538" s="22"/>
      <c r="P538" s="22"/>
      <c r="Q538" s="22"/>
      <c r="R538" s="22"/>
      <c r="S538" s="31"/>
      <c r="T538" s="22"/>
      <c r="U538" s="22"/>
      <c r="V538" s="22"/>
      <c r="W538" s="22"/>
      <c r="X538" s="11">
        <f t="shared" ref="X538:AP538" si="488">X528-X533</f>
        <v>54</v>
      </c>
      <c r="Y538" s="11">
        <f t="shared" si="488"/>
        <v>111.77999999999999</v>
      </c>
      <c r="Z538" s="11">
        <f t="shared" si="488"/>
        <v>173.76660000000001</v>
      </c>
      <c r="AA538" s="11">
        <f t="shared" si="488"/>
        <v>240.42760199999998</v>
      </c>
      <c r="AB538" s="11">
        <f t="shared" si="488"/>
        <v>312.27617394000004</v>
      </c>
      <c r="AC538" s="11">
        <f t="shared" si="488"/>
        <v>389.87542872180012</v>
      </c>
      <c r="AD538" s="11">
        <f t="shared" si="488"/>
        <v>473.84345986014614</v>
      </c>
      <c r="AE538" s="50">
        <f t="shared" si="488"/>
        <v>562.94559358434185</v>
      </c>
      <c r="AF538" s="11">
        <f t="shared" si="488"/>
        <v>613.79738774518432</v>
      </c>
      <c r="AG538" s="11">
        <f t="shared" si="488"/>
        <v>707.85896129460161</v>
      </c>
      <c r="AH538" s="11">
        <f t="shared" si="488"/>
        <v>808.09672725207849</v>
      </c>
      <c r="AI538" s="11">
        <f t="shared" si="488"/>
        <v>915.04524301453591</v>
      </c>
      <c r="AJ538" s="11">
        <f t="shared" si="488"/>
        <v>1029.2806167105214</v>
      </c>
      <c r="AK538" s="11">
        <f t="shared" si="488"/>
        <v>1151.4238676745408</v>
      </c>
      <c r="AL538" s="11">
        <f t="shared" si="488"/>
        <v>1282.144554666867</v>
      </c>
      <c r="AM538" s="11">
        <f t="shared" si="488"/>
        <v>1422.1646932912281</v>
      </c>
      <c r="AN538" s="11">
        <f t="shared" si="488"/>
        <v>1572.2629857780075</v>
      </c>
      <c r="AO538" s="11">
        <f t="shared" si="488"/>
        <v>1733.2793881530251</v>
      </c>
      <c r="AP538" s="11">
        <f t="shared" si="488"/>
        <v>1906.1200418126609</v>
      </c>
      <c r="AQ538" s="31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31"/>
      <c r="BD538" s="31"/>
      <c r="BE538" s="22"/>
      <c r="BF538" s="22"/>
      <c r="BG538" s="22"/>
      <c r="BH538" s="31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</row>
    <row r="539" spans="1:79" ht="14.25" hidden="1" customHeight="1" outlineLevel="1" x14ac:dyDescent="0.25">
      <c r="A539" s="22"/>
      <c r="B539" s="22"/>
      <c r="C539" s="22"/>
      <c r="D539" s="22"/>
      <c r="E539" s="22"/>
      <c r="F539" s="82" t="s">
        <v>378</v>
      </c>
      <c r="G539" s="82"/>
      <c r="H539" s="82"/>
      <c r="I539" s="82"/>
      <c r="J539" s="82"/>
      <c r="K539" s="82"/>
      <c r="L539" s="22"/>
      <c r="M539" s="22"/>
      <c r="N539" s="22"/>
      <c r="O539" s="22"/>
      <c r="P539" s="22"/>
      <c r="Q539" s="22"/>
      <c r="R539" s="22"/>
      <c r="S539" s="31"/>
      <c r="T539" s="22"/>
      <c r="U539" s="22"/>
      <c r="V539" s="22"/>
      <c r="W539" s="22"/>
      <c r="X539" s="11">
        <f t="shared" ref="X539:AP539" si="489">X529-X534</f>
        <v>27</v>
      </c>
      <c r="Y539" s="11">
        <f t="shared" si="489"/>
        <v>55.889999999999993</v>
      </c>
      <c r="Z539" s="11">
        <f t="shared" si="489"/>
        <v>86.883300000000006</v>
      </c>
      <c r="AA539" s="11">
        <f t="shared" si="489"/>
        <v>120.21380099999999</v>
      </c>
      <c r="AB539" s="11">
        <f t="shared" si="489"/>
        <v>156.13808697000002</v>
      </c>
      <c r="AC539" s="11">
        <f t="shared" si="489"/>
        <v>194.93771436090006</v>
      </c>
      <c r="AD539" s="11">
        <f t="shared" si="489"/>
        <v>236.92172993007307</v>
      </c>
      <c r="AE539" s="50">
        <f t="shared" si="489"/>
        <v>281.47279679217093</v>
      </c>
      <c r="AF539" s="11">
        <f t="shared" si="489"/>
        <v>361.70203206412646</v>
      </c>
      <c r="AG539" s="11">
        <f t="shared" si="489"/>
        <v>417.13117362003311</v>
      </c>
      <c r="AH539" s="11">
        <f t="shared" si="489"/>
        <v>476.19985713068911</v>
      </c>
      <c r="AI539" s="11">
        <f t="shared" si="489"/>
        <v>539.22308963356579</v>
      </c>
      <c r="AJ539" s="11">
        <f t="shared" si="489"/>
        <v>606.54036341870005</v>
      </c>
      <c r="AK539" s="11">
        <f t="shared" si="489"/>
        <v>678.51763630821165</v>
      </c>
      <c r="AL539" s="11">
        <f t="shared" si="489"/>
        <v>755.54946971440381</v>
      </c>
      <c r="AM539" s="11">
        <f t="shared" si="489"/>
        <v>838.061337118045</v>
      </c>
      <c r="AN539" s="11">
        <f t="shared" si="489"/>
        <v>926.51211661918308</v>
      </c>
      <c r="AO539" s="11">
        <f t="shared" si="489"/>
        <v>1021.3967823044612</v>
      </c>
      <c r="AP539" s="11">
        <f t="shared" si="489"/>
        <v>1123.2493103538895</v>
      </c>
      <c r="AQ539" s="31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31"/>
      <c r="BD539" s="31"/>
      <c r="BE539" s="22"/>
      <c r="BF539" s="22"/>
      <c r="BG539" s="22"/>
      <c r="BH539" s="31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</row>
    <row r="540" spans="1:79" ht="14.25" hidden="1" customHeight="1" outlineLevel="1" x14ac:dyDescent="0.25">
      <c r="A540" s="22"/>
      <c r="B540" s="22"/>
      <c r="C540" s="22"/>
      <c r="D540" s="22"/>
      <c r="E540" s="22"/>
      <c r="F540" s="82" t="s">
        <v>380</v>
      </c>
      <c r="G540" s="82"/>
      <c r="H540" s="82"/>
      <c r="I540" s="82"/>
      <c r="J540" s="82"/>
      <c r="K540" s="82"/>
      <c r="L540" s="22"/>
      <c r="M540" s="22"/>
      <c r="N540" s="22"/>
      <c r="O540" s="22"/>
      <c r="P540" s="22"/>
      <c r="Q540" s="22"/>
      <c r="R540" s="22"/>
      <c r="S540" s="31"/>
      <c r="T540" s="22"/>
      <c r="U540" s="22"/>
      <c r="V540" s="22"/>
      <c r="W540" s="22"/>
      <c r="X540" s="11">
        <f t="shared" ref="X540:AP540" si="490">X530-X535</f>
        <v>9</v>
      </c>
      <c r="Y540" s="11">
        <f t="shared" si="490"/>
        <v>18.630000000000003</v>
      </c>
      <c r="Z540" s="11">
        <f t="shared" si="490"/>
        <v>28.961100000000002</v>
      </c>
      <c r="AA540" s="11">
        <f t="shared" si="490"/>
        <v>40.071267000000006</v>
      </c>
      <c r="AB540" s="11">
        <f t="shared" si="490"/>
        <v>52.046028990000003</v>
      </c>
      <c r="AC540" s="11">
        <f t="shared" si="490"/>
        <v>64.97923812030001</v>
      </c>
      <c r="AD540" s="11">
        <f t="shared" si="490"/>
        <v>78.973909976691033</v>
      </c>
      <c r="AE540" s="50">
        <f t="shared" si="490"/>
        <v>93.824265597390308</v>
      </c>
      <c r="AF540" s="11">
        <f t="shared" si="490"/>
        <v>120.56734402137549</v>
      </c>
      <c r="AG540" s="11">
        <f t="shared" si="490"/>
        <v>139.04372454001103</v>
      </c>
      <c r="AH540" s="11">
        <f t="shared" si="490"/>
        <v>158.73328571022967</v>
      </c>
      <c r="AI540" s="11">
        <f t="shared" si="490"/>
        <v>179.74102987785525</v>
      </c>
      <c r="AJ540" s="11">
        <f t="shared" si="490"/>
        <v>202.18012113956667</v>
      </c>
      <c r="AK540" s="11">
        <f t="shared" si="490"/>
        <v>226.17254543607052</v>
      </c>
      <c r="AL540" s="11">
        <f t="shared" si="490"/>
        <v>251.84982323813458</v>
      </c>
      <c r="AM540" s="11">
        <f t="shared" si="490"/>
        <v>279.35377903934835</v>
      </c>
      <c r="AN540" s="11">
        <f t="shared" si="490"/>
        <v>308.83737220639432</v>
      </c>
      <c r="AO540" s="11">
        <f t="shared" si="490"/>
        <v>340.46559410148711</v>
      </c>
      <c r="AP540" s="11">
        <f t="shared" si="490"/>
        <v>374.41643678462981</v>
      </c>
      <c r="AQ540" s="31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31"/>
      <c r="BD540" s="31"/>
      <c r="BE540" s="22"/>
      <c r="BF540" s="22"/>
      <c r="BG540" s="22"/>
      <c r="BH540" s="31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</row>
    <row r="541" spans="1:79" ht="14.25" hidden="1" customHeight="1" outlineLevel="1" x14ac:dyDescent="0.25">
      <c r="A541" s="22"/>
      <c r="B541" s="22"/>
      <c r="C541" s="22"/>
      <c r="D541" s="22"/>
      <c r="E541" s="22"/>
      <c r="F541" s="82"/>
      <c r="G541" s="82"/>
      <c r="H541" s="82"/>
      <c r="I541" s="82"/>
      <c r="J541" s="82"/>
      <c r="K541" s="82"/>
      <c r="L541" s="22"/>
      <c r="M541" s="22"/>
      <c r="N541" s="22"/>
      <c r="O541" s="22"/>
      <c r="P541" s="22"/>
      <c r="Q541" s="22"/>
      <c r="R541" s="22"/>
      <c r="S541" s="31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31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31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31"/>
      <c r="BD541" s="31"/>
      <c r="BE541" s="22"/>
      <c r="BF541" s="22"/>
      <c r="BG541" s="22"/>
      <c r="BH541" s="31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</row>
    <row r="542" spans="1:79" ht="14.25" hidden="1" customHeight="1" outlineLevel="1" x14ac:dyDescent="0.25">
      <c r="A542" s="30"/>
      <c r="B542" s="30" t="s">
        <v>444</v>
      </c>
      <c r="C542" s="128">
        <v>0.1</v>
      </c>
      <c r="D542" s="128">
        <v>0.1</v>
      </c>
      <c r="E542" s="30"/>
      <c r="F542" s="138" t="s">
        <v>445</v>
      </c>
      <c r="G542" s="138"/>
      <c r="H542" s="138"/>
      <c r="I542" s="138"/>
      <c r="J542" s="138"/>
      <c r="K542" s="138"/>
      <c r="L542" s="30"/>
      <c r="M542" s="30"/>
      <c r="N542" s="30"/>
      <c r="O542" s="30"/>
      <c r="P542" s="30"/>
      <c r="Q542" s="30"/>
      <c r="R542" s="30"/>
      <c r="S542" s="161"/>
      <c r="T542" s="15"/>
      <c r="U542" s="15"/>
      <c r="V542" s="15"/>
      <c r="W542" s="15"/>
      <c r="X542" s="7">
        <f t="shared" ref="X542:AP542" si="491">ROUNDUP(X524*$C542,0)</f>
        <v>10</v>
      </c>
      <c r="Y542" s="7">
        <f t="shared" si="491"/>
        <v>11</v>
      </c>
      <c r="Z542" s="7">
        <f t="shared" si="491"/>
        <v>13</v>
      </c>
      <c r="AA542" s="7">
        <f t="shared" si="491"/>
        <v>14</v>
      </c>
      <c r="AB542" s="7">
        <f t="shared" si="491"/>
        <v>15</v>
      </c>
      <c r="AC542" s="7">
        <f t="shared" si="491"/>
        <v>17</v>
      </c>
      <c r="AD542" s="7">
        <f t="shared" si="491"/>
        <v>18</v>
      </c>
      <c r="AE542" s="6">
        <f t="shared" si="491"/>
        <v>20</v>
      </c>
      <c r="AF542" s="7">
        <f t="shared" si="491"/>
        <v>21</v>
      </c>
      <c r="AG542" s="7">
        <f t="shared" si="491"/>
        <v>23</v>
      </c>
      <c r="AH542" s="7">
        <f t="shared" si="491"/>
        <v>25</v>
      </c>
      <c r="AI542" s="7">
        <f t="shared" si="491"/>
        <v>27</v>
      </c>
      <c r="AJ542" s="7">
        <f t="shared" si="491"/>
        <v>29</v>
      </c>
      <c r="AK542" s="7">
        <f t="shared" si="491"/>
        <v>31</v>
      </c>
      <c r="AL542" s="7">
        <f t="shared" si="491"/>
        <v>33</v>
      </c>
      <c r="AM542" s="7">
        <f t="shared" si="491"/>
        <v>36</v>
      </c>
      <c r="AN542" s="7">
        <f t="shared" si="491"/>
        <v>39</v>
      </c>
      <c r="AO542" s="7">
        <f t="shared" si="491"/>
        <v>42</v>
      </c>
      <c r="AP542" s="7">
        <f t="shared" si="491"/>
        <v>45</v>
      </c>
      <c r="AQ542" s="111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111"/>
      <c r="BD542" s="111"/>
      <c r="BE542" s="30"/>
      <c r="BF542" s="30"/>
      <c r="BG542" s="30"/>
      <c r="BH542" s="111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</row>
    <row r="543" spans="1:79" ht="14.25" hidden="1" customHeight="1" outlineLevel="1" x14ac:dyDescent="0.25">
      <c r="A543" s="22"/>
      <c r="B543" s="22" t="s">
        <v>375</v>
      </c>
      <c r="C543" s="131">
        <f t="shared" ref="C543:D543" si="492">C528</f>
        <v>0.6</v>
      </c>
      <c r="D543" s="131">
        <f t="shared" si="492"/>
        <v>0.56000000000000005</v>
      </c>
      <c r="E543" s="22"/>
      <c r="F543" s="82" t="s">
        <v>376</v>
      </c>
      <c r="G543" s="82"/>
      <c r="H543" s="82"/>
      <c r="I543" s="82"/>
      <c r="J543" s="82"/>
      <c r="K543" s="82"/>
      <c r="L543" s="22"/>
      <c r="M543" s="22"/>
      <c r="N543" s="22"/>
      <c r="O543" s="22"/>
      <c r="P543" s="22"/>
      <c r="Q543" s="22"/>
      <c r="R543" s="22"/>
      <c r="S543" s="31"/>
      <c r="T543" s="22"/>
      <c r="U543" s="22"/>
      <c r="V543" s="22"/>
      <c r="W543" s="22"/>
      <c r="X543" s="11">
        <f t="shared" ref="X543:AD543" si="493">ROUND($C543*X$542,0)</f>
        <v>6</v>
      </c>
      <c r="Y543" s="11">
        <f t="shared" si="493"/>
        <v>7</v>
      </c>
      <c r="Z543" s="11">
        <f t="shared" si="493"/>
        <v>8</v>
      </c>
      <c r="AA543" s="11">
        <f t="shared" si="493"/>
        <v>8</v>
      </c>
      <c r="AB543" s="11">
        <f t="shared" si="493"/>
        <v>9</v>
      </c>
      <c r="AC543" s="11">
        <f t="shared" si="493"/>
        <v>10</v>
      </c>
      <c r="AD543" s="11">
        <f t="shared" si="493"/>
        <v>11</v>
      </c>
      <c r="AE543" s="50">
        <f t="shared" ref="AE543:AP543" si="494">ROUND($D543*AE$542,0)</f>
        <v>11</v>
      </c>
      <c r="AF543" s="11">
        <f t="shared" si="494"/>
        <v>12</v>
      </c>
      <c r="AG543" s="11">
        <f t="shared" si="494"/>
        <v>13</v>
      </c>
      <c r="AH543" s="11">
        <f t="shared" si="494"/>
        <v>14</v>
      </c>
      <c r="AI543" s="11">
        <f t="shared" si="494"/>
        <v>15</v>
      </c>
      <c r="AJ543" s="11">
        <f t="shared" si="494"/>
        <v>16</v>
      </c>
      <c r="AK543" s="11">
        <f t="shared" si="494"/>
        <v>17</v>
      </c>
      <c r="AL543" s="11">
        <f t="shared" si="494"/>
        <v>18</v>
      </c>
      <c r="AM543" s="11">
        <f t="shared" si="494"/>
        <v>20</v>
      </c>
      <c r="AN543" s="11">
        <f t="shared" si="494"/>
        <v>22</v>
      </c>
      <c r="AO543" s="11">
        <f t="shared" si="494"/>
        <v>24</v>
      </c>
      <c r="AP543" s="11">
        <f t="shared" si="494"/>
        <v>25</v>
      </c>
      <c r="AQ543" s="31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31"/>
      <c r="BD543" s="31"/>
      <c r="BE543" s="22"/>
      <c r="BF543" s="22"/>
      <c r="BG543" s="22"/>
      <c r="BH543" s="31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</row>
    <row r="544" spans="1:79" ht="14.25" hidden="1" customHeight="1" outlineLevel="1" x14ac:dyDescent="0.25">
      <c r="A544" s="22"/>
      <c r="B544" s="22" t="s">
        <v>377</v>
      </c>
      <c r="C544" s="131">
        <f t="shared" ref="C544:D544" si="495">C529</f>
        <v>0.3</v>
      </c>
      <c r="D544" s="131">
        <f t="shared" si="495"/>
        <v>0.33</v>
      </c>
      <c r="E544" s="22"/>
      <c r="F544" s="82" t="s">
        <v>378</v>
      </c>
      <c r="G544" s="82"/>
      <c r="H544" s="82"/>
      <c r="I544" s="82"/>
      <c r="J544" s="82"/>
      <c r="K544" s="82"/>
      <c r="L544" s="22"/>
      <c r="M544" s="22"/>
      <c r="N544" s="22"/>
      <c r="O544" s="22"/>
      <c r="P544" s="22"/>
      <c r="Q544" s="22"/>
      <c r="R544" s="22"/>
      <c r="S544" s="31"/>
      <c r="T544" s="22"/>
      <c r="U544" s="22"/>
      <c r="V544" s="22"/>
      <c r="W544" s="22"/>
      <c r="X544" s="11">
        <f t="shared" ref="X544:AD544" si="496">ROUND($C544*X$542,0)</f>
        <v>3</v>
      </c>
      <c r="Y544" s="11">
        <f t="shared" si="496"/>
        <v>3</v>
      </c>
      <c r="Z544" s="11">
        <f t="shared" si="496"/>
        <v>4</v>
      </c>
      <c r="AA544" s="11">
        <f t="shared" si="496"/>
        <v>4</v>
      </c>
      <c r="AB544" s="11">
        <f t="shared" si="496"/>
        <v>5</v>
      </c>
      <c r="AC544" s="11">
        <f t="shared" si="496"/>
        <v>5</v>
      </c>
      <c r="AD544" s="11">
        <f t="shared" si="496"/>
        <v>5</v>
      </c>
      <c r="AE544" s="50">
        <f t="shared" ref="AE544:AP544" si="497">ROUND($D544*AE$542,0)</f>
        <v>7</v>
      </c>
      <c r="AF544" s="11">
        <f t="shared" si="497"/>
        <v>7</v>
      </c>
      <c r="AG544" s="11">
        <f t="shared" si="497"/>
        <v>8</v>
      </c>
      <c r="AH544" s="11">
        <f t="shared" si="497"/>
        <v>8</v>
      </c>
      <c r="AI544" s="11">
        <f t="shared" si="497"/>
        <v>9</v>
      </c>
      <c r="AJ544" s="11">
        <f t="shared" si="497"/>
        <v>10</v>
      </c>
      <c r="AK544" s="11">
        <f t="shared" si="497"/>
        <v>10</v>
      </c>
      <c r="AL544" s="11">
        <f t="shared" si="497"/>
        <v>11</v>
      </c>
      <c r="AM544" s="11">
        <f t="shared" si="497"/>
        <v>12</v>
      </c>
      <c r="AN544" s="11">
        <f t="shared" si="497"/>
        <v>13</v>
      </c>
      <c r="AO544" s="11">
        <f t="shared" si="497"/>
        <v>14</v>
      </c>
      <c r="AP544" s="11">
        <f t="shared" si="497"/>
        <v>15</v>
      </c>
      <c r="AQ544" s="31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31"/>
      <c r="BD544" s="31"/>
      <c r="BE544" s="22"/>
      <c r="BF544" s="22"/>
      <c r="BG544" s="22"/>
      <c r="BH544" s="31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</row>
    <row r="545" spans="1:79" ht="14.25" hidden="1" customHeight="1" outlineLevel="1" x14ac:dyDescent="0.25">
      <c r="A545" s="22"/>
      <c r="B545" s="22" t="s">
        <v>379</v>
      </c>
      <c r="C545" s="131">
        <f t="shared" ref="C545:D545" si="498">C530</f>
        <v>0.1</v>
      </c>
      <c r="D545" s="131">
        <f t="shared" si="498"/>
        <v>0.11</v>
      </c>
      <c r="E545" s="22"/>
      <c r="F545" s="82" t="s">
        <v>380</v>
      </c>
      <c r="G545" s="82"/>
      <c r="H545" s="82"/>
      <c r="I545" s="82"/>
      <c r="J545" s="82"/>
      <c r="K545" s="82"/>
      <c r="L545" s="22"/>
      <c r="M545" s="22"/>
      <c r="N545" s="22"/>
      <c r="O545" s="22"/>
      <c r="P545" s="22"/>
      <c r="Q545" s="22"/>
      <c r="R545" s="22"/>
      <c r="S545" s="31"/>
      <c r="T545" s="22"/>
      <c r="U545" s="22"/>
      <c r="V545" s="22"/>
      <c r="W545" s="22"/>
      <c r="X545" s="11">
        <f t="shared" ref="X545:AD545" si="499">ROUND($C545*X$542,0)</f>
        <v>1</v>
      </c>
      <c r="Y545" s="11">
        <f t="shared" si="499"/>
        <v>1</v>
      </c>
      <c r="Z545" s="11">
        <f t="shared" si="499"/>
        <v>1</v>
      </c>
      <c r="AA545" s="11">
        <f t="shared" si="499"/>
        <v>1</v>
      </c>
      <c r="AB545" s="11">
        <f t="shared" si="499"/>
        <v>2</v>
      </c>
      <c r="AC545" s="11">
        <f t="shared" si="499"/>
        <v>2</v>
      </c>
      <c r="AD545" s="11">
        <f t="shared" si="499"/>
        <v>2</v>
      </c>
      <c r="AE545" s="50">
        <f t="shared" ref="AE545:AP545" si="500">ROUND($D545*AE$542,0)</f>
        <v>2</v>
      </c>
      <c r="AF545" s="11">
        <f t="shared" si="500"/>
        <v>2</v>
      </c>
      <c r="AG545" s="11">
        <f t="shared" si="500"/>
        <v>3</v>
      </c>
      <c r="AH545" s="11">
        <f t="shared" si="500"/>
        <v>3</v>
      </c>
      <c r="AI545" s="11">
        <f t="shared" si="500"/>
        <v>3</v>
      </c>
      <c r="AJ545" s="11">
        <f t="shared" si="500"/>
        <v>3</v>
      </c>
      <c r="AK545" s="11">
        <f t="shared" si="500"/>
        <v>3</v>
      </c>
      <c r="AL545" s="11">
        <f t="shared" si="500"/>
        <v>4</v>
      </c>
      <c r="AM545" s="11">
        <f t="shared" si="500"/>
        <v>4</v>
      </c>
      <c r="AN545" s="11">
        <f t="shared" si="500"/>
        <v>4</v>
      </c>
      <c r="AO545" s="11">
        <f t="shared" si="500"/>
        <v>5</v>
      </c>
      <c r="AP545" s="11">
        <f t="shared" si="500"/>
        <v>5</v>
      </c>
      <c r="AQ545" s="31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31"/>
      <c r="BD545" s="31"/>
      <c r="BE545" s="22"/>
      <c r="BF545" s="22"/>
      <c r="BG545" s="22"/>
      <c r="BH545" s="31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</row>
    <row r="546" spans="1:79" ht="14.25" hidden="1" customHeight="1" outlineLevel="1" x14ac:dyDescent="0.25">
      <c r="A546" s="22"/>
      <c r="B546" s="22"/>
      <c r="C546" s="22"/>
      <c r="D546" s="22"/>
      <c r="E546" s="22"/>
      <c r="F546" s="82"/>
      <c r="G546" s="82"/>
      <c r="H546" s="82"/>
      <c r="I546" s="82"/>
      <c r="J546" s="82"/>
      <c r="K546" s="82"/>
      <c r="L546" s="22"/>
      <c r="M546" s="22"/>
      <c r="N546" s="22"/>
      <c r="O546" s="22"/>
      <c r="P546" s="22"/>
      <c r="Q546" s="22"/>
      <c r="R546" s="22"/>
      <c r="S546" s="31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31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31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31"/>
      <c r="BD546" s="31"/>
      <c r="BE546" s="22"/>
      <c r="BF546" s="22"/>
      <c r="BG546" s="22"/>
      <c r="BH546" s="31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</row>
    <row r="547" spans="1:79" ht="14.25" hidden="1" customHeight="1" outlineLevel="1" x14ac:dyDescent="0.25">
      <c r="A547" s="275"/>
      <c r="B547" s="275" t="s">
        <v>446</v>
      </c>
      <c r="C547" s="275">
        <v>2026</v>
      </c>
      <c r="D547" s="275">
        <v>2027</v>
      </c>
      <c r="E547" s="275"/>
      <c r="F547" s="276" t="s">
        <v>447</v>
      </c>
      <c r="G547" s="276"/>
      <c r="H547" s="276"/>
      <c r="I547" s="276"/>
      <c r="J547" s="276"/>
      <c r="K547" s="276"/>
      <c r="L547" s="275"/>
      <c r="M547" s="275"/>
      <c r="N547" s="275"/>
      <c r="O547" s="275"/>
      <c r="P547" s="275"/>
      <c r="Q547" s="275"/>
      <c r="R547" s="275"/>
      <c r="S547" s="161"/>
      <c r="T547" s="15"/>
      <c r="U547" s="15"/>
      <c r="V547" s="15"/>
      <c r="W547" s="15"/>
      <c r="X547" s="277">
        <f t="shared" ref="X547:AP547" si="501">SUM(X548:X550)</f>
        <v>38390</v>
      </c>
      <c r="Y547" s="277">
        <f t="shared" si="501"/>
        <v>41679</v>
      </c>
      <c r="Z547" s="277">
        <f t="shared" si="501"/>
        <v>49357</v>
      </c>
      <c r="AA547" s="277">
        <f t="shared" si="501"/>
        <v>49357</v>
      </c>
      <c r="AB547" s="277">
        <f t="shared" si="501"/>
        <v>62524</v>
      </c>
      <c r="AC547" s="277">
        <f t="shared" si="501"/>
        <v>65813</v>
      </c>
      <c r="AD547" s="277">
        <f t="shared" si="501"/>
        <v>69102</v>
      </c>
      <c r="AE547" s="278">
        <f t="shared" si="501"/>
        <v>77880</v>
      </c>
      <c r="AF547" s="277">
        <f t="shared" si="501"/>
        <v>81169</v>
      </c>
      <c r="AG547" s="277">
        <f t="shared" si="501"/>
        <v>94336</v>
      </c>
      <c r="AH547" s="277">
        <f t="shared" si="501"/>
        <v>97625</v>
      </c>
      <c r="AI547" s="277">
        <f t="shared" si="501"/>
        <v>105303</v>
      </c>
      <c r="AJ547" s="277">
        <f t="shared" si="501"/>
        <v>112981</v>
      </c>
      <c r="AK547" s="277">
        <f t="shared" si="501"/>
        <v>116270</v>
      </c>
      <c r="AL547" s="277">
        <f t="shared" si="501"/>
        <v>129437</v>
      </c>
      <c r="AM547" s="277">
        <f t="shared" si="501"/>
        <v>140404</v>
      </c>
      <c r="AN547" s="277">
        <f t="shared" si="501"/>
        <v>151371</v>
      </c>
      <c r="AO547" s="277">
        <f t="shared" si="501"/>
        <v>167827</v>
      </c>
      <c r="AP547" s="277">
        <f t="shared" si="501"/>
        <v>175505</v>
      </c>
      <c r="AQ547" s="279"/>
      <c r="AR547" s="275"/>
      <c r="AS547" s="275"/>
      <c r="AT547" s="275"/>
      <c r="AU547" s="275"/>
      <c r="AV547" s="275"/>
      <c r="AW547" s="275"/>
      <c r="AX547" s="275"/>
      <c r="AY547" s="275"/>
      <c r="AZ547" s="275"/>
      <c r="BA547" s="275"/>
      <c r="BB547" s="275"/>
      <c r="BC547" s="279"/>
      <c r="BD547" s="279"/>
      <c r="BE547" s="275"/>
      <c r="BF547" s="275"/>
      <c r="BG547" s="275"/>
      <c r="BH547" s="279"/>
      <c r="BI547" s="275"/>
      <c r="BJ547" s="275"/>
      <c r="BK547" s="275"/>
      <c r="BL547" s="275"/>
      <c r="BM547" s="275"/>
      <c r="BN547" s="275"/>
      <c r="BO547" s="275"/>
      <c r="BP547" s="275"/>
      <c r="BQ547" s="275"/>
      <c r="BR547" s="275"/>
      <c r="BS547" s="275"/>
      <c r="BT547" s="275"/>
      <c r="BU547" s="275"/>
      <c r="BV547" s="275"/>
      <c r="BW547" s="275"/>
      <c r="BX547" s="275"/>
      <c r="BY547" s="275"/>
      <c r="BZ547" s="275"/>
      <c r="CA547" s="275"/>
    </row>
    <row r="548" spans="1:79" ht="14.25" hidden="1" customHeight="1" outlineLevel="1" x14ac:dyDescent="0.25">
      <c r="A548" s="142"/>
      <c r="B548" s="142" t="s">
        <v>375</v>
      </c>
      <c r="C548" s="144">
        <f t="shared" ref="C548:D548" si="502">C558*11</f>
        <v>3289</v>
      </c>
      <c r="D548" s="144">
        <f t="shared" si="502"/>
        <v>3289</v>
      </c>
      <c r="E548" s="142"/>
      <c r="F548" s="143" t="s">
        <v>376</v>
      </c>
      <c r="G548" s="143"/>
      <c r="H548" s="143"/>
      <c r="I548" s="143"/>
      <c r="J548" s="143"/>
      <c r="K548" s="143"/>
      <c r="L548" s="142"/>
      <c r="M548" s="142"/>
      <c r="N548" s="142"/>
      <c r="O548" s="142"/>
      <c r="P548" s="142"/>
      <c r="Q548" s="142"/>
      <c r="R548" s="142"/>
      <c r="S548" s="31"/>
      <c r="T548" s="22"/>
      <c r="U548" s="22"/>
      <c r="V548" s="22"/>
      <c r="W548" s="22"/>
      <c r="X548" s="144">
        <f t="shared" ref="X548:AP548" si="503">X543*$C548</f>
        <v>19734</v>
      </c>
      <c r="Y548" s="144">
        <f t="shared" si="503"/>
        <v>23023</v>
      </c>
      <c r="Z548" s="144">
        <f t="shared" si="503"/>
        <v>26312</v>
      </c>
      <c r="AA548" s="144">
        <f t="shared" si="503"/>
        <v>26312</v>
      </c>
      <c r="AB548" s="144">
        <f t="shared" si="503"/>
        <v>29601</v>
      </c>
      <c r="AC548" s="144">
        <f t="shared" si="503"/>
        <v>32890</v>
      </c>
      <c r="AD548" s="144">
        <f t="shared" si="503"/>
        <v>36179</v>
      </c>
      <c r="AE548" s="145">
        <f t="shared" si="503"/>
        <v>36179</v>
      </c>
      <c r="AF548" s="144">
        <f t="shared" si="503"/>
        <v>39468</v>
      </c>
      <c r="AG548" s="144">
        <f t="shared" si="503"/>
        <v>42757</v>
      </c>
      <c r="AH548" s="144">
        <f t="shared" si="503"/>
        <v>46046</v>
      </c>
      <c r="AI548" s="144">
        <f t="shared" si="503"/>
        <v>49335</v>
      </c>
      <c r="AJ548" s="144">
        <f t="shared" si="503"/>
        <v>52624</v>
      </c>
      <c r="AK548" s="144">
        <f t="shared" si="503"/>
        <v>55913</v>
      </c>
      <c r="AL548" s="144">
        <f t="shared" si="503"/>
        <v>59202</v>
      </c>
      <c r="AM548" s="144">
        <f t="shared" si="503"/>
        <v>65780</v>
      </c>
      <c r="AN548" s="144">
        <f t="shared" si="503"/>
        <v>72358</v>
      </c>
      <c r="AO548" s="144">
        <f t="shared" si="503"/>
        <v>78936</v>
      </c>
      <c r="AP548" s="144">
        <f t="shared" si="503"/>
        <v>82225</v>
      </c>
      <c r="AQ548" s="146"/>
      <c r="AR548" s="142"/>
      <c r="AS548" s="142"/>
      <c r="AT548" s="142"/>
      <c r="AU548" s="142"/>
      <c r="AV548" s="142"/>
      <c r="AW548" s="142"/>
      <c r="AX548" s="142"/>
      <c r="AY548" s="142"/>
      <c r="AZ548" s="142"/>
      <c r="BA548" s="142"/>
      <c r="BB548" s="142"/>
      <c r="BC548" s="146"/>
      <c r="BD548" s="146"/>
      <c r="BE548" s="142"/>
      <c r="BF548" s="142"/>
      <c r="BG548" s="142"/>
      <c r="BH548" s="146"/>
      <c r="BI548" s="142"/>
      <c r="BJ548" s="142"/>
      <c r="BK548" s="142"/>
      <c r="BL548" s="142"/>
      <c r="BM548" s="142"/>
      <c r="BN548" s="142"/>
      <c r="BO548" s="142"/>
      <c r="BP548" s="142"/>
      <c r="BQ548" s="142"/>
      <c r="BR548" s="142"/>
      <c r="BS548" s="142"/>
      <c r="BT548" s="142"/>
      <c r="BU548" s="142"/>
      <c r="BV548" s="142"/>
      <c r="BW548" s="142"/>
      <c r="BX548" s="142"/>
      <c r="BY548" s="142"/>
      <c r="BZ548" s="142"/>
      <c r="CA548" s="142"/>
    </row>
    <row r="549" spans="1:79" ht="14.25" hidden="1" customHeight="1" outlineLevel="1" x14ac:dyDescent="0.25">
      <c r="A549" s="142"/>
      <c r="B549" s="142" t="s">
        <v>377</v>
      </c>
      <c r="C549" s="144">
        <f t="shared" ref="C549:D549" si="504">C559*11</f>
        <v>4389</v>
      </c>
      <c r="D549" s="144">
        <f t="shared" si="504"/>
        <v>4389</v>
      </c>
      <c r="E549" s="142"/>
      <c r="F549" s="143" t="s">
        <v>378</v>
      </c>
      <c r="G549" s="143"/>
      <c r="H549" s="143"/>
      <c r="I549" s="143"/>
      <c r="J549" s="143"/>
      <c r="K549" s="143"/>
      <c r="L549" s="142"/>
      <c r="M549" s="142"/>
      <c r="N549" s="142"/>
      <c r="O549" s="142"/>
      <c r="P549" s="142"/>
      <c r="Q549" s="142"/>
      <c r="R549" s="142"/>
      <c r="S549" s="31"/>
      <c r="T549" s="22"/>
      <c r="U549" s="22"/>
      <c r="V549" s="22"/>
      <c r="W549" s="22"/>
      <c r="X549" s="144">
        <f t="shared" ref="X549:AP549" si="505">X544*$C549</f>
        <v>13167</v>
      </c>
      <c r="Y549" s="144">
        <f t="shared" si="505"/>
        <v>13167</v>
      </c>
      <c r="Z549" s="144">
        <f t="shared" si="505"/>
        <v>17556</v>
      </c>
      <c r="AA549" s="144">
        <f t="shared" si="505"/>
        <v>17556</v>
      </c>
      <c r="AB549" s="144">
        <f t="shared" si="505"/>
        <v>21945</v>
      </c>
      <c r="AC549" s="144">
        <f t="shared" si="505"/>
        <v>21945</v>
      </c>
      <c r="AD549" s="144">
        <f t="shared" si="505"/>
        <v>21945</v>
      </c>
      <c r="AE549" s="145">
        <f t="shared" si="505"/>
        <v>30723</v>
      </c>
      <c r="AF549" s="144">
        <f t="shared" si="505"/>
        <v>30723</v>
      </c>
      <c r="AG549" s="144">
        <f t="shared" si="505"/>
        <v>35112</v>
      </c>
      <c r="AH549" s="144">
        <f t="shared" si="505"/>
        <v>35112</v>
      </c>
      <c r="AI549" s="144">
        <f t="shared" si="505"/>
        <v>39501</v>
      </c>
      <c r="AJ549" s="144">
        <f t="shared" si="505"/>
        <v>43890</v>
      </c>
      <c r="AK549" s="144">
        <f t="shared" si="505"/>
        <v>43890</v>
      </c>
      <c r="AL549" s="144">
        <f t="shared" si="505"/>
        <v>48279</v>
      </c>
      <c r="AM549" s="144">
        <f t="shared" si="505"/>
        <v>52668</v>
      </c>
      <c r="AN549" s="144">
        <f t="shared" si="505"/>
        <v>57057</v>
      </c>
      <c r="AO549" s="144">
        <f t="shared" si="505"/>
        <v>61446</v>
      </c>
      <c r="AP549" s="144">
        <f t="shared" si="505"/>
        <v>65835</v>
      </c>
      <c r="AQ549" s="146"/>
      <c r="AR549" s="142"/>
      <c r="AS549" s="142"/>
      <c r="AT549" s="142"/>
      <c r="AU549" s="142"/>
      <c r="AV549" s="142"/>
      <c r="AW549" s="142"/>
      <c r="AX549" s="142"/>
      <c r="AY549" s="142"/>
      <c r="AZ549" s="142"/>
      <c r="BA549" s="142"/>
      <c r="BB549" s="142"/>
      <c r="BC549" s="146"/>
      <c r="BD549" s="146"/>
      <c r="BE549" s="142"/>
      <c r="BF549" s="142"/>
      <c r="BG549" s="142"/>
      <c r="BH549" s="146"/>
      <c r="BI549" s="142"/>
      <c r="BJ549" s="142"/>
      <c r="BK549" s="142"/>
      <c r="BL549" s="142"/>
      <c r="BM549" s="142"/>
      <c r="BN549" s="142"/>
      <c r="BO549" s="142"/>
      <c r="BP549" s="142"/>
      <c r="BQ549" s="142"/>
      <c r="BR549" s="142"/>
      <c r="BS549" s="142"/>
      <c r="BT549" s="142"/>
      <c r="BU549" s="142"/>
      <c r="BV549" s="142"/>
      <c r="BW549" s="142"/>
      <c r="BX549" s="142"/>
      <c r="BY549" s="142"/>
      <c r="BZ549" s="142"/>
      <c r="CA549" s="142"/>
    </row>
    <row r="550" spans="1:79" ht="14.25" hidden="1" customHeight="1" outlineLevel="1" x14ac:dyDescent="0.25">
      <c r="A550" s="142"/>
      <c r="B550" s="142" t="s">
        <v>379</v>
      </c>
      <c r="C550" s="144">
        <f t="shared" ref="C550:D550" si="506">C560*11</f>
        <v>5489</v>
      </c>
      <c r="D550" s="144">
        <f t="shared" si="506"/>
        <v>5489</v>
      </c>
      <c r="E550" s="142"/>
      <c r="F550" s="143" t="s">
        <v>380</v>
      </c>
      <c r="G550" s="143"/>
      <c r="H550" s="143"/>
      <c r="I550" s="143"/>
      <c r="J550" s="143"/>
      <c r="K550" s="143"/>
      <c r="L550" s="142"/>
      <c r="M550" s="142"/>
      <c r="N550" s="142"/>
      <c r="O550" s="142"/>
      <c r="P550" s="142"/>
      <c r="Q550" s="142"/>
      <c r="R550" s="142"/>
      <c r="S550" s="31"/>
      <c r="T550" s="22"/>
      <c r="U550" s="22"/>
      <c r="V550" s="22"/>
      <c r="W550" s="22"/>
      <c r="X550" s="144">
        <f t="shared" ref="X550:AP550" si="507">X545*$C550</f>
        <v>5489</v>
      </c>
      <c r="Y550" s="144">
        <f t="shared" si="507"/>
        <v>5489</v>
      </c>
      <c r="Z550" s="144">
        <f t="shared" si="507"/>
        <v>5489</v>
      </c>
      <c r="AA550" s="144">
        <f t="shared" si="507"/>
        <v>5489</v>
      </c>
      <c r="AB550" s="144">
        <f t="shared" si="507"/>
        <v>10978</v>
      </c>
      <c r="AC550" s="144">
        <f t="shared" si="507"/>
        <v>10978</v>
      </c>
      <c r="AD550" s="144">
        <f t="shared" si="507"/>
        <v>10978</v>
      </c>
      <c r="AE550" s="145">
        <f t="shared" si="507"/>
        <v>10978</v>
      </c>
      <c r="AF550" s="144">
        <f t="shared" si="507"/>
        <v>10978</v>
      </c>
      <c r="AG550" s="144">
        <f t="shared" si="507"/>
        <v>16467</v>
      </c>
      <c r="AH550" s="144">
        <f t="shared" si="507"/>
        <v>16467</v>
      </c>
      <c r="AI550" s="144">
        <f t="shared" si="507"/>
        <v>16467</v>
      </c>
      <c r="AJ550" s="144">
        <f t="shared" si="507"/>
        <v>16467</v>
      </c>
      <c r="AK550" s="144">
        <f t="shared" si="507"/>
        <v>16467</v>
      </c>
      <c r="AL550" s="144">
        <f t="shared" si="507"/>
        <v>21956</v>
      </c>
      <c r="AM550" s="144">
        <f t="shared" si="507"/>
        <v>21956</v>
      </c>
      <c r="AN550" s="144">
        <f t="shared" si="507"/>
        <v>21956</v>
      </c>
      <c r="AO550" s="144">
        <f t="shared" si="507"/>
        <v>27445</v>
      </c>
      <c r="AP550" s="144">
        <f t="shared" si="507"/>
        <v>27445</v>
      </c>
      <c r="AQ550" s="146"/>
      <c r="AR550" s="142"/>
      <c r="AS550" s="142"/>
      <c r="AT550" s="142"/>
      <c r="AU550" s="142"/>
      <c r="AV550" s="142"/>
      <c r="AW550" s="142"/>
      <c r="AX550" s="142"/>
      <c r="AY550" s="142"/>
      <c r="AZ550" s="142"/>
      <c r="BA550" s="142"/>
      <c r="BB550" s="142"/>
      <c r="BC550" s="146"/>
      <c r="BD550" s="146"/>
      <c r="BE550" s="142"/>
      <c r="BF550" s="142"/>
      <c r="BG550" s="142"/>
      <c r="BH550" s="146"/>
      <c r="BI550" s="142"/>
      <c r="BJ550" s="142"/>
      <c r="BK550" s="142"/>
      <c r="BL550" s="142"/>
      <c r="BM550" s="142"/>
      <c r="BN550" s="142"/>
      <c r="BO550" s="142"/>
      <c r="BP550" s="142"/>
      <c r="BQ550" s="142"/>
      <c r="BR550" s="142"/>
      <c r="BS550" s="142"/>
      <c r="BT550" s="142"/>
      <c r="BU550" s="142"/>
      <c r="BV550" s="142"/>
      <c r="BW550" s="142"/>
      <c r="BX550" s="142"/>
      <c r="BY550" s="142"/>
      <c r="BZ550" s="142"/>
      <c r="CA550" s="142"/>
    </row>
    <row r="551" spans="1:79" ht="14.25" hidden="1" customHeight="1" outlineLevel="1" x14ac:dyDescent="0.25">
      <c r="A551" s="22"/>
      <c r="B551" s="22"/>
      <c r="C551" s="22"/>
      <c r="D551" s="22"/>
      <c r="E551" s="22"/>
      <c r="F551" s="82"/>
      <c r="G551" s="82"/>
      <c r="H551" s="82"/>
      <c r="I551" s="82"/>
      <c r="J551" s="82"/>
      <c r="K551" s="82"/>
      <c r="L551" s="22"/>
      <c r="M551" s="22"/>
      <c r="N551" s="22"/>
      <c r="O551" s="22"/>
      <c r="P551" s="22"/>
      <c r="Q551" s="22"/>
      <c r="R551" s="22"/>
      <c r="S551" s="31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31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31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31"/>
      <c r="BD551" s="31"/>
      <c r="BE551" s="22"/>
      <c r="BF551" s="22"/>
      <c r="BG551" s="22"/>
      <c r="BH551" s="31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</row>
    <row r="552" spans="1:79" ht="14.25" hidden="1" customHeight="1" outlineLevel="1" x14ac:dyDescent="0.25">
      <c r="A552" s="30"/>
      <c r="B552" s="30" t="s">
        <v>448</v>
      </c>
      <c r="C552" s="30">
        <v>2026</v>
      </c>
      <c r="D552" s="30">
        <v>2027</v>
      </c>
      <c r="E552" s="30"/>
      <c r="F552" s="138" t="s">
        <v>449</v>
      </c>
      <c r="G552" s="138"/>
      <c r="H552" s="138"/>
      <c r="I552" s="138"/>
      <c r="J552" s="138"/>
      <c r="K552" s="138"/>
      <c r="L552" s="30"/>
      <c r="M552" s="30"/>
      <c r="N552" s="30"/>
      <c r="O552" s="30"/>
      <c r="P552" s="30"/>
      <c r="Q552" s="30"/>
      <c r="R552" s="30"/>
      <c r="S552" s="161"/>
      <c r="T552" s="15"/>
      <c r="U552" s="15"/>
      <c r="V552" s="15"/>
      <c r="W552" s="15"/>
      <c r="X552" s="126">
        <f t="shared" ref="X552:AP552" si="508">SUM(X553:X555)</f>
        <v>3199.1666666666665</v>
      </c>
      <c r="Y552" s="126">
        <f t="shared" si="508"/>
        <v>6622.2749999999996</v>
      </c>
      <c r="Z552" s="126">
        <f t="shared" si="508"/>
        <v>10294.598416666668</v>
      </c>
      <c r="AA552" s="126">
        <f t="shared" si="508"/>
        <v>14243.851297500001</v>
      </c>
      <c r="AB552" s="126">
        <f t="shared" si="508"/>
        <v>18500.435675241664</v>
      </c>
      <c r="AC552" s="126">
        <f t="shared" si="508"/>
        <v>23097.712513317754</v>
      </c>
      <c r="AD552" s="126">
        <f t="shared" si="508"/>
        <v>28072.300037084893</v>
      </c>
      <c r="AE552" s="127">
        <f t="shared" si="508"/>
        <v>33351.05144707235</v>
      </c>
      <c r="AF552" s="126">
        <f t="shared" si="508"/>
        <v>39519.296095895304</v>
      </c>
      <c r="AG552" s="126">
        <f t="shared" si="508"/>
        <v>45575.44304367029</v>
      </c>
      <c r="AH552" s="126">
        <f t="shared" si="508"/>
        <v>52029.243649464181</v>
      </c>
      <c r="AI552" s="126">
        <f t="shared" si="508"/>
        <v>58915.115348852567</v>
      </c>
      <c r="AJ552" s="126">
        <f t="shared" si="508"/>
        <v>66270.150817969086</v>
      </c>
      <c r="AK552" s="126">
        <f t="shared" si="508"/>
        <v>74134.334337378677</v>
      </c>
      <c r="AL552" s="126">
        <f t="shared" si="508"/>
        <v>82550.775394721903</v>
      </c>
      <c r="AM552" s="126">
        <f t="shared" si="508"/>
        <v>91565.960907341956</v>
      </c>
      <c r="AN552" s="126">
        <f t="shared" si="508"/>
        <v>101230.02755654039</v>
      </c>
      <c r="AO552" s="126">
        <f t="shared" si="508"/>
        <v>111597.05584437633</v>
      </c>
      <c r="AP552" s="126">
        <f t="shared" si="508"/>
        <v>122725.38761273978</v>
      </c>
      <c r="AQ552" s="111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111"/>
      <c r="BD552" s="111"/>
      <c r="BE552" s="30"/>
      <c r="BF552" s="30"/>
      <c r="BG552" s="30"/>
      <c r="BH552" s="111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</row>
    <row r="553" spans="1:79" ht="14.25" hidden="1" customHeight="1" outlineLevel="1" x14ac:dyDescent="0.25">
      <c r="A553" s="22"/>
      <c r="B553" s="22" t="s">
        <v>375</v>
      </c>
      <c r="C553" s="116">
        <f t="shared" ref="C553:D553" si="509">C548/12</f>
        <v>274.08333333333331</v>
      </c>
      <c r="D553" s="116">
        <f t="shared" si="509"/>
        <v>274.08333333333331</v>
      </c>
      <c r="E553" s="22"/>
      <c r="F553" s="82" t="s">
        <v>376</v>
      </c>
      <c r="G553" s="82"/>
      <c r="H553" s="82"/>
      <c r="I553" s="82"/>
      <c r="J553" s="82"/>
      <c r="K553" s="82"/>
      <c r="L553" s="22"/>
      <c r="M553" s="22"/>
      <c r="N553" s="22"/>
      <c r="O553" s="22"/>
      <c r="P553" s="22"/>
      <c r="Q553" s="22"/>
      <c r="R553" s="22"/>
      <c r="S553" s="31"/>
      <c r="T553" s="22"/>
      <c r="U553" s="22"/>
      <c r="V553" s="22"/>
      <c r="W553" s="22"/>
      <c r="X553" s="116">
        <f t="shared" ref="X553:AP553" si="510">X533*$C553</f>
        <v>1644.5</v>
      </c>
      <c r="Y553" s="116">
        <f t="shared" si="510"/>
        <v>3404.1149999999998</v>
      </c>
      <c r="Z553" s="116">
        <f t="shared" si="510"/>
        <v>5291.83655</v>
      </c>
      <c r="AA553" s="116">
        <f t="shared" si="510"/>
        <v>7321.9109534999998</v>
      </c>
      <c r="AB553" s="116">
        <f t="shared" si="510"/>
        <v>9509.9660748949991</v>
      </c>
      <c r="AC553" s="116">
        <f t="shared" si="510"/>
        <v>11873.150787648154</v>
      </c>
      <c r="AD553" s="116">
        <f t="shared" si="510"/>
        <v>14430.288328518709</v>
      </c>
      <c r="AE553" s="125">
        <f t="shared" si="510"/>
        <v>17143.778308323148</v>
      </c>
      <c r="AF553" s="116">
        <f t="shared" si="510"/>
        <v>18692.403780499179</v>
      </c>
      <c r="AG553" s="116">
        <f t="shared" si="510"/>
        <v>21556.92707127727</v>
      </c>
      <c r="AH553" s="116">
        <f t="shared" si="510"/>
        <v>24609.538295667462</v>
      </c>
      <c r="AI553" s="116">
        <f t="shared" si="510"/>
        <v>27866.516706248229</v>
      </c>
      <c r="AJ553" s="116">
        <f t="shared" si="510"/>
        <v>31345.406929267636</v>
      </c>
      <c r="AK553" s="116">
        <f t="shared" si="510"/>
        <v>35065.121303533007</v>
      </c>
      <c r="AL553" s="116">
        <f t="shared" si="510"/>
        <v>39046.050373141901</v>
      </c>
      <c r="AM553" s="116">
        <f t="shared" si="510"/>
        <v>43310.182187359715</v>
      </c>
      <c r="AN553" s="116">
        <f t="shared" si="510"/>
        <v>47881.231113183952</v>
      </c>
      <c r="AO553" s="116">
        <f t="shared" si="510"/>
        <v>52784.77692254907</v>
      </c>
      <c r="AP553" s="116">
        <f t="shared" si="510"/>
        <v>58048.41497705409</v>
      </c>
      <c r="AQ553" s="31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31"/>
      <c r="BD553" s="31"/>
      <c r="BE553" s="22"/>
      <c r="BF553" s="22"/>
      <c r="BG553" s="22"/>
      <c r="BH553" s="31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</row>
    <row r="554" spans="1:79" ht="14.25" hidden="1" customHeight="1" outlineLevel="1" x14ac:dyDescent="0.25">
      <c r="A554" s="22"/>
      <c r="B554" s="22" t="s">
        <v>377</v>
      </c>
      <c r="C554" s="116">
        <f t="shared" ref="C554:D554" si="511">C549/12</f>
        <v>365.75</v>
      </c>
      <c r="D554" s="116">
        <f t="shared" si="511"/>
        <v>365.75</v>
      </c>
      <c r="E554" s="22"/>
      <c r="F554" s="82" t="s">
        <v>378</v>
      </c>
      <c r="G554" s="82"/>
      <c r="H554" s="82"/>
      <c r="I554" s="82"/>
      <c r="J554" s="82"/>
      <c r="K554" s="82"/>
      <c r="L554" s="22"/>
      <c r="M554" s="22"/>
      <c r="N554" s="22"/>
      <c r="O554" s="22"/>
      <c r="P554" s="22"/>
      <c r="Q554" s="22"/>
      <c r="R554" s="22"/>
      <c r="S554" s="31"/>
      <c r="T554" s="22"/>
      <c r="U554" s="22"/>
      <c r="V554" s="22"/>
      <c r="W554" s="22"/>
      <c r="X554" s="116">
        <f t="shared" ref="X554:AP554" si="512">X534*$C554</f>
        <v>1097.25</v>
      </c>
      <c r="Y554" s="116">
        <f t="shared" si="512"/>
        <v>2271.3074999999999</v>
      </c>
      <c r="Z554" s="116">
        <f t="shared" si="512"/>
        <v>3530.8407750000001</v>
      </c>
      <c r="AA554" s="116">
        <f t="shared" si="512"/>
        <v>4885.3553017499999</v>
      </c>
      <c r="AB554" s="116">
        <f t="shared" si="512"/>
        <v>6345.2783676974996</v>
      </c>
      <c r="AC554" s="116">
        <f t="shared" si="512"/>
        <v>7922.0521141665777</v>
      </c>
      <c r="AD554" s="116">
        <f t="shared" si="512"/>
        <v>9628.2358579915817</v>
      </c>
      <c r="AE554" s="125">
        <f t="shared" si="512"/>
        <v>11438.741714081834</v>
      </c>
      <c r="AF554" s="116">
        <f t="shared" si="512"/>
        <v>14699.168691939363</v>
      </c>
      <c r="AG554" s="116">
        <f t="shared" si="512"/>
        <v>16951.747416836348</v>
      </c>
      <c r="AH554" s="116">
        <f t="shared" si="512"/>
        <v>19352.23308283884</v>
      </c>
      <c r="AI554" s="116">
        <f t="shared" si="512"/>
        <v>21913.427225941854</v>
      </c>
      <c r="AJ554" s="116">
        <f t="shared" si="512"/>
        <v>24649.126435598839</v>
      </c>
      <c r="AK554" s="116">
        <f t="shared" si="512"/>
        <v>27574.202831080936</v>
      </c>
      <c r="AL554" s="116">
        <f t="shared" si="512"/>
        <v>30704.69094978258</v>
      </c>
      <c r="AM554" s="116">
        <f t="shared" si="512"/>
        <v>34057.881561213886</v>
      </c>
      <c r="AN554" s="116">
        <f t="shared" si="512"/>
        <v>37652.422961496246</v>
      </c>
      <c r="AO554" s="116">
        <f t="shared" si="512"/>
        <v>41508.430347539637</v>
      </c>
      <c r="AP554" s="116">
        <f t="shared" si="512"/>
        <v>45647.603917992783</v>
      </c>
      <c r="AQ554" s="31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31"/>
      <c r="BD554" s="31"/>
      <c r="BE554" s="22"/>
      <c r="BF554" s="22"/>
      <c r="BG554" s="22"/>
      <c r="BH554" s="31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</row>
    <row r="555" spans="1:79" ht="14.25" hidden="1" customHeight="1" outlineLevel="1" x14ac:dyDescent="0.25">
      <c r="A555" s="22"/>
      <c r="B555" s="22" t="s">
        <v>379</v>
      </c>
      <c r="C555" s="116">
        <f t="shared" ref="C555:D555" si="513">C550/12</f>
        <v>457.41666666666669</v>
      </c>
      <c r="D555" s="116">
        <f t="shared" si="513"/>
        <v>457.41666666666669</v>
      </c>
      <c r="E555" s="22"/>
      <c r="F555" s="82" t="s">
        <v>380</v>
      </c>
      <c r="G555" s="82"/>
      <c r="H555" s="82"/>
      <c r="I555" s="82"/>
      <c r="J555" s="82"/>
      <c r="K555" s="82"/>
      <c r="L555" s="22"/>
      <c r="M555" s="22"/>
      <c r="N555" s="22"/>
      <c r="O555" s="22"/>
      <c r="P555" s="22"/>
      <c r="Q555" s="22"/>
      <c r="R555" s="22"/>
      <c r="S555" s="31"/>
      <c r="T555" s="22"/>
      <c r="U555" s="22"/>
      <c r="V555" s="22"/>
      <c r="W555" s="22"/>
      <c r="X555" s="116">
        <f t="shared" ref="X555:AP555" si="514">X535*$C555</f>
        <v>457.41666666666669</v>
      </c>
      <c r="Y555" s="116">
        <f t="shared" si="514"/>
        <v>946.85250000000019</v>
      </c>
      <c r="Z555" s="116">
        <f t="shared" si="514"/>
        <v>1471.9210916666668</v>
      </c>
      <c r="AA555" s="116">
        <f t="shared" si="514"/>
        <v>2036.5850422500005</v>
      </c>
      <c r="AB555" s="116">
        <f t="shared" si="514"/>
        <v>2645.191232649167</v>
      </c>
      <c r="AC555" s="116">
        <f t="shared" si="514"/>
        <v>3302.509611503026</v>
      </c>
      <c r="AD555" s="116">
        <f t="shared" si="514"/>
        <v>4013.7758505746033</v>
      </c>
      <c r="AE555" s="125">
        <f t="shared" si="514"/>
        <v>4768.5314246673661</v>
      </c>
      <c r="AF555" s="116">
        <f t="shared" si="514"/>
        <v>6127.7236234567599</v>
      </c>
      <c r="AG555" s="116">
        <f t="shared" si="514"/>
        <v>7066.7685555566723</v>
      </c>
      <c r="AH555" s="116">
        <f t="shared" si="514"/>
        <v>8067.4722709578773</v>
      </c>
      <c r="AI555" s="116">
        <f t="shared" si="514"/>
        <v>9135.1714166624788</v>
      </c>
      <c r="AJ555" s="116">
        <f t="shared" si="514"/>
        <v>10275.617453102606</v>
      </c>
      <c r="AK555" s="116">
        <f t="shared" si="514"/>
        <v>11495.010202764734</v>
      </c>
      <c r="AL555" s="116">
        <f t="shared" si="514"/>
        <v>12800.034071797414</v>
      </c>
      <c r="AM555" s="116">
        <f t="shared" si="514"/>
        <v>14197.897158768363</v>
      </c>
      <c r="AN555" s="116">
        <f t="shared" si="514"/>
        <v>15696.373481860173</v>
      </c>
      <c r="AO555" s="116">
        <f t="shared" si="514"/>
        <v>17303.848574287618</v>
      </c>
      <c r="AP555" s="116">
        <f t="shared" si="514"/>
        <v>19029.368717692902</v>
      </c>
      <c r="AQ555" s="31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31"/>
      <c r="BD555" s="31"/>
      <c r="BE555" s="22"/>
      <c r="BF555" s="22"/>
      <c r="BG555" s="22"/>
      <c r="BH555" s="31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</row>
    <row r="556" spans="1:79" ht="14.25" hidden="1" customHeight="1" outlineLevel="1" x14ac:dyDescent="0.25">
      <c r="A556" s="22"/>
      <c r="B556" s="22"/>
      <c r="C556" s="22"/>
      <c r="D556" s="22"/>
      <c r="E556" s="22"/>
      <c r="F556" s="82"/>
      <c r="G556" s="82"/>
      <c r="H556" s="82"/>
      <c r="I556" s="82"/>
      <c r="J556" s="82"/>
      <c r="K556" s="82"/>
      <c r="L556" s="22"/>
      <c r="M556" s="22"/>
      <c r="N556" s="22"/>
      <c r="O556" s="22"/>
      <c r="P556" s="22"/>
      <c r="Q556" s="22"/>
      <c r="R556" s="22"/>
      <c r="S556" s="31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31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31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31"/>
      <c r="BD556" s="31"/>
      <c r="BE556" s="22"/>
      <c r="BF556" s="22"/>
      <c r="BG556" s="22"/>
      <c r="BH556" s="31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</row>
    <row r="557" spans="1:79" ht="14.25" hidden="1" customHeight="1" outlineLevel="1" x14ac:dyDescent="0.25">
      <c r="A557" s="30"/>
      <c r="B557" s="30" t="s">
        <v>450</v>
      </c>
      <c r="C557" s="30">
        <v>2026</v>
      </c>
      <c r="D557" s="30">
        <v>2027</v>
      </c>
      <c r="E557" s="30"/>
      <c r="F557" s="138" t="s">
        <v>451</v>
      </c>
      <c r="G557" s="138"/>
      <c r="H557" s="138"/>
      <c r="I557" s="138"/>
      <c r="J557" s="138"/>
      <c r="K557" s="138"/>
      <c r="L557" s="30"/>
      <c r="M557" s="30"/>
      <c r="N557" s="30"/>
      <c r="O557" s="30"/>
      <c r="P557" s="30"/>
      <c r="Q557" s="30"/>
      <c r="R557" s="30"/>
      <c r="S557" s="161"/>
      <c r="T557" s="15"/>
      <c r="U557" s="15"/>
      <c r="V557" s="15"/>
      <c r="W557" s="15"/>
      <c r="X557" s="126">
        <f t="shared" ref="X557:AP557" si="515">SUM(X558:X560)</f>
        <v>31410</v>
      </c>
      <c r="Y557" s="126">
        <f t="shared" si="515"/>
        <v>65018.69999999999</v>
      </c>
      <c r="Z557" s="126">
        <f t="shared" si="515"/>
        <v>101074.239</v>
      </c>
      <c r="AA557" s="126">
        <f t="shared" si="515"/>
        <v>139848.72182999999</v>
      </c>
      <c r="AB557" s="126">
        <f t="shared" si="515"/>
        <v>181640.64117510003</v>
      </c>
      <c r="AC557" s="126">
        <f t="shared" si="515"/>
        <v>226777.54103984707</v>
      </c>
      <c r="AD557" s="126">
        <f t="shared" si="515"/>
        <v>275618.9458186517</v>
      </c>
      <c r="AE557" s="127">
        <f t="shared" si="515"/>
        <v>327446.6869348922</v>
      </c>
      <c r="AF557" s="126">
        <f t="shared" si="515"/>
        <v>388007.63439606293</v>
      </c>
      <c r="AG557" s="126">
        <f t="shared" si="515"/>
        <v>447467.98624694452</v>
      </c>
      <c r="AH557" s="126">
        <f t="shared" si="515"/>
        <v>510832.57401292102</v>
      </c>
      <c r="AI557" s="126">
        <f t="shared" si="515"/>
        <v>578439.31433418882</v>
      </c>
      <c r="AJ557" s="126">
        <f t="shared" si="515"/>
        <v>650652.38984915102</v>
      </c>
      <c r="AK557" s="126">
        <f t="shared" si="515"/>
        <v>727864.37349426339</v>
      </c>
      <c r="AL557" s="126">
        <f t="shared" si="515"/>
        <v>810498.52205726947</v>
      </c>
      <c r="AM557" s="126">
        <f t="shared" si="515"/>
        <v>899011.25254481216</v>
      </c>
      <c r="AN557" s="126">
        <f t="shared" si="515"/>
        <v>993894.8160096691</v>
      </c>
      <c r="AO557" s="126">
        <f t="shared" si="515"/>
        <v>1095680.1846538766</v>
      </c>
      <c r="AP557" s="126">
        <f t="shared" si="515"/>
        <v>1204940.1692887179</v>
      </c>
      <c r="AQ557" s="111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111"/>
      <c r="BD557" s="111"/>
      <c r="BE557" s="30"/>
      <c r="BF557" s="30"/>
      <c r="BG557" s="30"/>
      <c r="BH557" s="111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</row>
    <row r="558" spans="1:79" ht="14.25" hidden="1" customHeight="1" outlineLevel="1" x14ac:dyDescent="0.25">
      <c r="A558" s="22"/>
      <c r="B558" s="22" t="s">
        <v>375</v>
      </c>
      <c r="C558" s="164">
        <v>299</v>
      </c>
      <c r="D558" s="164">
        <f t="shared" ref="D558:D560" si="516">C558</f>
        <v>299</v>
      </c>
      <c r="E558" s="22"/>
      <c r="F558" s="82" t="s">
        <v>376</v>
      </c>
      <c r="G558" s="82"/>
      <c r="H558" s="82"/>
      <c r="I558" s="82"/>
      <c r="J558" s="82"/>
      <c r="K558" s="82"/>
      <c r="L558" s="22"/>
      <c r="M558" s="22"/>
      <c r="N558" s="22"/>
      <c r="O558" s="22"/>
      <c r="P558" s="22"/>
      <c r="Q558" s="22"/>
      <c r="R558" s="22"/>
      <c r="S558" s="31"/>
      <c r="T558" s="22"/>
      <c r="U558" s="22"/>
      <c r="V558" s="22"/>
      <c r="W558" s="22"/>
      <c r="X558" s="116">
        <f t="shared" ref="X558:AP558" si="517">X538*$C558</f>
        <v>16146</v>
      </c>
      <c r="Y558" s="116">
        <f t="shared" si="517"/>
        <v>33422.219999999994</v>
      </c>
      <c r="Z558" s="116">
        <f t="shared" si="517"/>
        <v>51956.213400000001</v>
      </c>
      <c r="AA558" s="116">
        <f t="shared" si="517"/>
        <v>71887.852997999988</v>
      </c>
      <c r="AB558" s="116">
        <f t="shared" si="517"/>
        <v>93370.576008060016</v>
      </c>
      <c r="AC558" s="116">
        <f t="shared" si="517"/>
        <v>116572.75318781823</v>
      </c>
      <c r="AD558" s="116">
        <f t="shared" si="517"/>
        <v>141679.1944981837</v>
      </c>
      <c r="AE558" s="125">
        <f t="shared" si="517"/>
        <v>168320.73248171821</v>
      </c>
      <c r="AF558" s="116">
        <f t="shared" si="517"/>
        <v>183525.4189358101</v>
      </c>
      <c r="AG558" s="116">
        <f t="shared" si="517"/>
        <v>211649.82942708588</v>
      </c>
      <c r="AH558" s="116">
        <f t="shared" si="517"/>
        <v>241620.92144837146</v>
      </c>
      <c r="AI558" s="116">
        <f t="shared" si="517"/>
        <v>273598.52766134625</v>
      </c>
      <c r="AJ558" s="116">
        <f t="shared" si="517"/>
        <v>307754.9043964459</v>
      </c>
      <c r="AK558" s="116">
        <f t="shared" si="517"/>
        <v>344275.73643468769</v>
      </c>
      <c r="AL558" s="116">
        <f t="shared" si="517"/>
        <v>383361.22184539324</v>
      </c>
      <c r="AM558" s="116">
        <f t="shared" si="517"/>
        <v>425227.24329407723</v>
      </c>
      <c r="AN558" s="116">
        <f t="shared" si="517"/>
        <v>470106.63274762424</v>
      </c>
      <c r="AO558" s="116">
        <f t="shared" si="517"/>
        <v>518250.53705775453</v>
      </c>
      <c r="AP558" s="116">
        <f t="shared" si="517"/>
        <v>569929.89250198565</v>
      </c>
      <c r="AQ558" s="31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31"/>
      <c r="BD558" s="31"/>
      <c r="BE558" s="22"/>
      <c r="BF558" s="22"/>
      <c r="BG558" s="22"/>
      <c r="BH558" s="31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</row>
    <row r="559" spans="1:79" ht="14.25" hidden="1" customHeight="1" outlineLevel="1" x14ac:dyDescent="0.25">
      <c r="A559" s="22"/>
      <c r="B559" s="22" t="s">
        <v>377</v>
      </c>
      <c r="C559" s="164">
        <v>399</v>
      </c>
      <c r="D559" s="164">
        <f t="shared" si="516"/>
        <v>399</v>
      </c>
      <c r="E559" s="22"/>
      <c r="F559" s="82" t="s">
        <v>378</v>
      </c>
      <c r="G559" s="82"/>
      <c r="H559" s="82"/>
      <c r="I559" s="82"/>
      <c r="J559" s="82"/>
      <c r="K559" s="82"/>
      <c r="L559" s="22"/>
      <c r="M559" s="22"/>
      <c r="N559" s="22"/>
      <c r="O559" s="22"/>
      <c r="P559" s="22"/>
      <c r="Q559" s="22"/>
      <c r="R559" s="22"/>
      <c r="S559" s="31"/>
      <c r="T559" s="22"/>
      <c r="U559" s="22"/>
      <c r="V559" s="22"/>
      <c r="W559" s="22"/>
      <c r="X559" s="116">
        <f t="shared" ref="X559:AP559" si="518">X539*$C559</f>
        <v>10773</v>
      </c>
      <c r="Y559" s="116">
        <f t="shared" si="518"/>
        <v>22300.109999999997</v>
      </c>
      <c r="Z559" s="116">
        <f t="shared" si="518"/>
        <v>34666.436700000006</v>
      </c>
      <c r="AA559" s="116">
        <f t="shared" si="518"/>
        <v>47965.306598999996</v>
      </c>
      <c r="AB559" s="116">
        <f t="shared" si="518"/>
        <v>62299.096701030008</v>
      </c>
      <c r="AC559" s="116">
        <f t="shared" si="518"/>
        <v>77780.148029999124</v>
      </c>
      <c r="AD559" s="116">
        <f t="shared" si="518"/>
        <v>94531.770242099155</v>
      </c>
      <c r="AE559" s="125">
        <f t="shared" si="518"/>
        <v>112307.6459200762</v>
      </c>
      <c r="AF559" s="116">
        <f t="shared" si="518"/>
        <v>144319.11079358644</v>
      </c>
      <c r="AG559" s="116">
        <f t="shared" si="518"/>
        <v>166435.3382743932</v>
      </c>
      <c r="AH559" s="116">
        <f t="shared" si="518"/>
        <v>190003.74299514494</v>
      </c>
      <c r="AI559" s="116">
        <f t="shared" si="518"/>
        <v>215150.01276379277</v>
      </c>
      <c r="AJ559" s="116">
        <f t="shared" si="518"/>
        <v>242009.60500406133</v>
      </c>
      <c r="AK559" s="116">
        <f t="shared" si="518"/>
        <v>270728.53688697645</v>
      </c>
      <c r="AL559" s="116">
        <f t="shared" si="518"/>
        <v>301464.23841604713</v>
      </c>
      <c r="AM559" s="116">
        <f t="shared" si="518"/>
        <v>334386.47351009998</v>
      </c>
      <c r="AN559" s="116">
        <f t="shared" si="518"/>
        <v>369678.33453105408</v>
      </c>
      <c r="AO559" s="116">
        <f t="shared" si="518"/>
        <v>407537.31613948004</v>
      </c>
      <c r="AP559" s="116">
        <f t="shared" si="518"/>
        <v>448176.47483120195</v>
      </c>
      <c r="AQ559" s="31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31"/>
      <c r="BD559" s="31"/>
      <c r="BE559" s="22"/>
      <c r="BF559" s="22"/>
      <c r="BG559" s="22"/>
      <c r="BH559" s="31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</row>
    <row r="560" spans="1:79" ht="14.25" hidden="1" customHeight="1" outlineLevel="1" x14ac:dyDescent="0.25">
      <c r="A560" s="22"/>
      <c r="B560" s="22" t="s">
        <v>379</v>
      </c>
      <c r="C560" s="164">
        <v>499</v>
      </c>
      <c r="D560" s="164">
        <f t="shared" si="516"/>
        <v>499</v>
      </c>
      <c r="E560" s="22"/>
      <c r="F560" s="82" t="s">
        <v>380</v>
      </c>
      <c r="G560" s="82"/>
      <c r="H560" s="82"/>
      <c r="I560" s="82"/>
      <c r="J560" s="82"/>
      <c r="K560" s="82"/>
      <c r="L560" s="22"/>
      <c r="M560" s="22"/>
      <c r="N560" s="22"/>
      <c r="O560" s="22"/>
      <c r="P560" s="22"/>
      <c r="Q560" s="22"/>
      <c r="R560" s="22"/>
      <c r="S560" s="31"/>
      <c r="T560" s="22"/>
      <c r="U560" s="22"/>
      <c r="V560" s="22"/>
      <c r="W560" s="22"/>
      <c r="X560" s="116">
        <f t="shared" ref="X560:AP560" si="519">X540*$C560</f>
        <v>4491</v>
      </c>
      <c r="Y560" s="116">
        <f t="shared" si="519"/>
        <v>9296.3700000000008</v>
      </c>
      <c r="Z560" s="116">
        <f t="shared" si="519"/>
        <v>14451.588900000001</v>
      </c>
      <c r="AA560" s="116">
        <f t="shared" si="519"/>
        <v>19995.562233000004</v>
      </c>
      <c r="AB560" s="116">
        <f t="shared" si="519"/>
        <v>25970.968466010003</v>
      </c>
      <c r="AC560" s="116">
        <f t="shared" si="519"/>
        <v>32424.639822029705</v>
      </c>
      <c r="AD560" s="116">
        <f t="shared" si="519"/>
        <v>39407.981078368823</v>
      </c>
      <c r="AE560" s="125">
        <f t="shared" si="519"/>
        <v>46818.308533097763</v>
      </c>
      <c r="AF560" s="116">
        <f t="shared" si="519"/>
        <v>60163.104666666368</v>
      </c>
      <c r="AG560" s="116">
        <f t="shared" si="519"/>
        <v>69382.818545465503</v>
      </c>
      <c r="AH560" s="116">
        <f t="shared" si="519"/>
        <v>79207.909569404597</v>
      </c>
      <c r="AI560" s="116">
        <f t="shared" si="519"/>
        <v>89690.773909049778</v>
      </c>
      <c r="AJ560" s="116">
        <f t="shared" si="519"/>
        <v>100887.88044864377</v>
      </c>
      <c r="AK560" s="116">
        <f t="shared" si="519"/>
        <v>112860.1001725992</v>
      </c>
      <c r="AL560" s="116">
        <f t="shared" si="519"/>
        <v>125673.06179582916</v>
      </c>
      <c r="AM560" s="116">
        <f t="shared" si="519"/>
        <v>139397.53574063483</v>
      </c>
      <c r="AN560" s="116">
        <f t="shared" si="519"/>
        <v>154109.84873099078</v>
      </c>
      <c r="AO560" s="116">
        <f t="shared" si="519"/>
        <v>169892.33145664207</v>
      </c>
      <c r="AP560" s="116">
        <f t="shared" si="519"/>
        <v>186833.80195553027</v>
      </c>
      <c r="AQ560" s="31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31"/>
      <c r="BD560" s="31"/>
      <c r="BE560" s="22"/>
      <c r="BF560" s="22"/>
      <c r="BG560" s="22"/>
      <c r="BH560" s="31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</row>
    <row r="561" spans="1:79" ht="14.25" hidden="1" customHeight="1" outlineLevel="1" x14ac:dyDescent="0.25">
      <c r="A561" s="22"/>
      <c r="B561" s="22"/>
      <c r="C561" s="22"/>
      <c r="D561" s="22"/>
      <c r="E561" s="22"/>
      <c r="F561" s="82"/>
      <c r="G561" s="82"/>
      <c r="H561" s="82"/>
      <c r="I561" s="82"/>
      <c r="J561" s="82"/>
      <c r="K561" s="82"/>
      <c r="L561" s="22"/>
      <c r="M561" s="22"/>
      <c r="N561" s="22"/>
      <c r="O561" s="22"/>
      <c r="P561" s="22"/>
      <c r="Q561" s="22"/>
      <c r="R561" s="22"/>
      <c r="S561" s="31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31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31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31"/>
      <c r="BD561" s="31"/>
      <c r="BE561" s="22"/>
      <c r="BF561" s="22"/>
      <c r="BG561" s="22"/>
      <c r="BH561" s="31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</row>
    <row r="562" spans="1:79" ht="14.25" hidden="1" customHeight="1" outlineLevel="1" x14ac:dyDescent="0.25">
      <c r="A562" s="15"/>
      <c r="B562" s="15"/>
      <c r="C562" s="15"/>
      <c r="D562" s="15"/>
      <c r="E562" s="15"/>
      <c r="F562" s="138" t="s">
        <v>384</v>
      </c>
      <c r="G562" s="138"/>
      <c r="H562" s="138"/>
      <c r="I562" s="138"/>
      <c r="J562" s="138"/>
      <c r="K562" s="138"/>
      <c r="L562" s="15"/>
      <c r="M562" s="15"/>
      <c r="N562" s="15"/>
      <c r="O562" s="15"/>
      <c r="P562" s="15"/>
      <c r="Q562" s="15"/>
      <c r="R562" s="15"/>
      <c r="S562" s="161"/>
      <c r="T562" s="15"/>
      <c r="U562" s="15"/>
      <c r="V562" s="15"/>
      <c r="W562" s="15"/>
      <c r="X562" s="126">
        <f t="shared" ref="X562:AP562" si="520">SUM(X563:X565)</f>
        <v>34609.166666666664</v>
      </c>
      <c r="Y562" s="126">
        <f t="shared" si="520"/>
        <v>71640.974999999991</v>
      </c>
      <c r="Z562" s="126">
        <f t="shared" si="520"/>
        <v>111368.83741666666</v>
      </c>
      <c r="AA562" s="126">
        <f t="shared" si="520"/>
        <v>154092.57312749999</v>
      </c>
      <c r="AB562" s="126">
        <f t="shared" si="520"/>
        <v>200141.07685034169</v>
      </c>
      <c r="AC562" s="126">
        <f t="shared" si="520"/>
        <v>249875.25355316483</v>
      </c>
      <c r="AD562" s="126">
        <f t="shared" si="520"/>
        <v>303691.2458557366</v>
      </c>
      <c r="AE562" s="127">
        <f t="shared" si="520"/>
        <v>360797.7383819645</v>
      </c>
      <c r="AF562" s="126">
        <f t="shared" si="520"/>
        <v>427526.93049195822</v>
      </c>
      <c r="AG562" s="126">
        <f t="shared" si="520"/>
        <v>493043.42929061491</v>
      </c>
      <c r="AH562" s="126">
        <f t="shared" si="520"/>
        <v>562861.81766238518</v>
      </c>
      <c r="AI562" s="126">
        <f t="shared" si="520"/>
        <v>637354.42968304129</v>
      </c>
      <c r="AJ562" s="126">
        <f t="shared" si="520"/>
        <v>716922.54066712013</v>
      </c>
      <c r="AK562" s="126">
        <f t="shared" si="520"/>
        <v>801998.70783164201</v>
      </c>
      <c r="AL562" s="126">
        <f t="shared" si="520"/>
        <v>893049.29745199136</v>
      </c>
      <c r="AM562" s="126">
        <f t="shared" si="520"/>
        <v>990577.21345215407</v>
      </c>
      <c r="AN562" s="126">
        <f t="shared" si="520"/>
        <v>1095124.8435662095</v>
      </c>
      <c r="AO562" s="126">
        <f t="shared" si="520"/>
        <v>1207277.2404982529</v>
      </c>
      <c r="AP562" s="126">
        <f t="shared" si="520"/>
        <v>1327665.5569014577</v>
      </c>
      <c r="AQ562" s="161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61"/>
      <c r="BD562" s="161"/>
      <c r="BE562" s="15"/>
      <c r="BF562" s="15"/>
      <c r="BG562" s="15"/>
      <c r="BH562" s="161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</row>
    <row r="563" spans="1:79" ht="14.25" hidden="1" customHeight="1" outlineLevel="1" x14ac:dyDescent="0.25">
      <c r="A563" s="22"/>
      <c r="B563" s="22"/>
      <c r="C563" s="22"/>
      <c r="D563" s="22"/>
      <c r="E563" s="22"/>
      <c r="F563" s="82" t="s">
        <v>376</v>
      </c>
      <c r="G563" s="82"/>
      <c r="H563" s="82"/>
      <c r="I563" s="82"/>
      <c r="J563" s="82"/>
      <c r="K563" s="82"/>
      <c r="L563" s="22"/>
      <c r="M563" s="22"/>
      <c r="N563" s="22"/>
      <c r="O563" s="22"/>
      <c r="P563" s="22"/>
      <c r="Q563" s="22"/>
      <c r="R563" s="22"/>
      <c r="S563" s="31"/>
      <c r="T563" s="22"/>
      <c r="U563" s="22"/>
      <c r="V563" s="22"/>
      <c r="W563" s="22"/>
      <c r="X563" s="116">
        <f t="shared" ref="X563:AP563" si="521">X553+X558</f>
        <v>17790.5</v>
      </c>
      <c r="Y563" s="116">
        <f t="shared" si="521"/>
        <v>36826.334999999992</v>
      </c>
      <c r="Z563" s="116">
        <f t="shared" si="521"/>
        <v>57248.049950000001</v>
      </c>
      <c r="AA563" s="116">
        <f t="shared" si="521"/>
        <v>79209.76395149999</v>
      </c>
      <c r="AB563" s="116">
        <f t="shared" si="521"/>
        <v>102880.54208295501</v>
      </c>
      <c r="AC563" s="116">
        <f t="shared" si="521"/>
        <v>128445.90397546638</v>
      </c>
      <c r="AD563" s="116">
        <f t="shared" si="521"/>
        <v>156109.48282670241</v>
      </c>
      <c r="AE563" s="125">
        <f t="shared" si="521"/>
        <v>185464.51079004136</v>
      </c>
      <c r="AF563" s="116">
        <f t="shared" si="521"/>
        <v>202217.82271630928</v>
      </c>
      <c r="AG563" s="116">
        <f t="shared" si="521"/>
        <v>233206.75649836316</v>
      </c>
      <c r="AH563" s="116">
        <f t="shared" si="521"/>
        <v>266230.45974403893</v>
      </c>
      <c r="AI563" s="116">
        <f t="shared" si="521"/>
        <v>301465.04436759447</v>
      </c>
      <c r="AJ563" s="116">
        <f t="shared" si="521"/>
        <v>339100.31132571353</v>
      </c>
      <c r="AK563" s="116">
        <f t="shared" si="521"/>
        <v>379340.85773822071</v>
      </c>
      <c r="AL563" s="116">
        <f t="shared" si="521"/>
        <v>422407.27221853513</v>
      </c>
      <c r="AM563" s="116">
        <f t="shared" si="521"/>
        <v>468537.42548143695</v>
      </c>
      <c r="AN563" s="116">
        <f t="shared" si="521"/>
        <v>517987.8638608082</v>
      </c>
      <c r="AO563" s="116">
        <f t="shared" si="521"/>
        <v>571035.31398030359</v>
      </c>
      <c r="AP563" s="116">
        <f t="shared" si="521"/>
        <v>627978.30747903977</v>
      </c>
      <c r="AQ563" s="31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31"/>
      <c r="BD563" s="31"/>
      <c r="BE563" s="22"/>
      <c r="BF563" s="22"/>
      <c r="BG563" s="22"/>
      <c r="BH563" s="31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</row>
    <row r="564" spans="1:79" ht="14.25" hidden="1" customHeight="1" outlineLevel="1" x14ac:dyDescent="0.25">
      <c r="A564" s="22"/>
      <c r="B564" s="22"/>
      <c r="C564" s="22"/>
      <c r="D564" s="22"/>
      <c r="E564" s="22"/>
      <c r="F564" s="82" t="s">
        <v>378</v>
      </c>
      <c r="G564" s="82"/>
      <c r="H564" s="82"/>
      <c r="I564" s="82"/>
      <c r="J564" s="82"/>
      <c r="K564" s="82"/>
      <c r="L564" s="22"/>
      <c r="M564" s="22"/>
      <c r="N564" s="22"/>
      <c r="O564" s="22"/>
      <c r="P564" s="22"/>
      <c r="Q564" s="22"/>
      <c r="R564" s="22"/>
      <c r="S564" s="31"/>
      <c r="T564" s="22"/>
      <c r="U564" s="22"/>
      <c r="V564" s="22"/>
      <c r="W564" s="22"/>
      <c r="X564" s="116">
        <f t="shared" ref="X564:AP564" si="522">X554+X559</f>
        <v>11870.25</v>
      </c>
      <c r="Y564" s="116">
        <f t="shared" si="522"/>
        <v>24571.417499999996</v>
      </c>
      <c r="Z564" s="116">
        <f t="shared" si="522"/>
        <v>38197.277475000003</v>
      </c>
      <c r="AA564" s="116">
        <f t="shared" si="522"/>
        <v>52850.661900749998</v>
      </c>
      <c r="AB564" s="116">
        <f t="shared" si="522"/>
        <v>68644.375068727502</v>
      </c>
      <c r="AC564" s="116">
        <f t="shared" si="522"/>
        <v>85702.200144165705</v>
      </c>
      <c r="AD564" s="116">
        <f t="shared" si="522"/>
        <v>104160.00610009074</v>
      </c>
      <c r="AE564" s="125">
        <f t="shared" si="522"/>
        <v>123746.38763415803</v>
      </c>
      <c r="AF564" s="116">
        <f t="shared" si="522"/>
        <v>159018.2794855258</v>
      </c>
      <c r="AG564" s="116">
        <f t="shared" si="522"/>
        <v>183387.08569122956</v>
      </c>
      <c r="AH564" s="116">
        <f t="shared" si="522"/>
        <v>209355.9760779838</v>
      </c>
      <c r="AI564" s="116">
        <f t="shared" si="522"/>
        <v>237063.43998973462</v>
      </c>
      <c r="AJ564" s="116">
        <f t="shared" si="522"/>
        <v>266658.73143966019</v>
      </c>
      <c r="AK564" s="116">
        <f t="shared" si="522"/>
        <v>298302.73971805739</v>
      </c>
      <c r="AL564" s="116">
        <f t="shared" si="522"/>
        <v>332168.92936582968</v>
      </c>
      <c r="AM564" s="116">
        <f t="shared" si="522"/>
        <v>368444.35507131385</v>
      </c>
      <c r="AN564" s="116">
        <f t="shared" si="522"/>
        <v>407330.7574925503</v>
      </c>
      <c r="AO564" s="116">
        <f t="shared" si="522"/>
        <v>449045.7464870197</v>
      </c>
      <c r="AP564" s="116">
        <f t="shared" si="522"/>
        <v>493824.07874919474</v>
      </c>
      <c r="AQ564" s="31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31"/>
      <c r="BD564" s="31"/>
      <c r="BE564" s="22"/>
      <c r="BF564" s="22"/>
      <c r="BG564" s="22"/>
      <c r="BH564" s="31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</row>
    <row r="565" spans="1:79" ht="14.25" hidden="1" customHeight="1" outlineLevel="1" x14ac:dyDescent="0.25">
      <c r="A565" s="22"/>
      <c r="B565" s="22"/>
      <c r="C565" s="22"/>
      <c r="D565" s="22"/>
      <c r="E565" s="22"/>
      <c r="F565" s="82" t="s">
        <v>380</v>
      </c>
      <c r="G565" s="82"/>
      <c r="H565" s="82"/>
      <c r="I565" s="82"/>
      <c r="J565" s="82"/>
      <c r="K565" s="82"/>
      <c r="L565" s="22"/>
      <c r="M565" s="22"/>
      <c r="N565" s="22"/>
      <c r="O565" s="22"/>
      <c r="P565" s="22"/>
      <c r="Q565" s="22"/>
      <c r="R565" s="22"/>
      <c r="S565" s="31"/>
      <c r="T565" s="22"/>
      <c r="U565" s="22"/>
      <c r="V565" s="22"/>
      <c r="W565" s="22"/>
      <c r="X565" s="116">
        <f t="shared" ref="X565:AP565" si="523">X555+X560</f>
        <v>4948.416666666667</v>
      </c>
      <c r="Y565" s="116">
        <f t="shared" si="523"/>
        <v>10243.222500000002</v>
      </c>
      <c r="Z565" s="116">
        <f t="shared" si="523"/>
        <v>15923.509991666668</v>
      </c>
      <c r="AA565" s="116">
        <f t="shared" si="523"/>
        <v>22032.147275250005</v>
      </c>
      <c r="AB565" s="116">
        <f t="shared" si="523"/>
        <v>28616.159698659168</v>
      </c>
      <c r="AC565" s="116">
        <f t="shared" si="523"/>
        <v>35727.14943353273</v>
      </c>
      <c r="AD565" s="116">
        <f t="shared" si="523"/>
        <v>43421.756928943425</v>
      </c>
      <c r="AE565" s="125">
        <f t="shared" si="523"/>
        <v>51586.839957765129</v>
      </c>
      <c r="AF565" s="116">
        <f t="shared" si="523"/>
        <v>66290.828290123129</v>
      </c>
      <c r="AG565" s="116">
        <f t="shared" si="523"/>
        <v>76449.587101022174</v>
      </c>
      <c r="AH565" s="116">
        <f t="shared" si="523"/>
        <v>87275.381840362475</v>
      </c>
      <c r="AI565" s="116">
        <f t="shared" si="523"/>
        <v>98825.945325712251</v>
      </c>
      <c r="AJ565" s="116">
        <f t="shared" si="523"/>
        <v>111163.49790174638</v>
      </c>
      <c r="AK565" s="116">
        <f t="shared" si="523"/>
        <v>124355.11037536393</v>
      </c>
      <c r="AL565" s="116">
        <f t="shared" si="523"/>
        <v>138473.09586762657</v>
      </c>
      <c r="AM565" s="116">
        <f t="shared" si="523"/>
        <v>153595.43289940321</v>
      </c>
      <c r="AN565" s="116">
        <f t="shared" si="523"/>
        <v>169806.22221285096</v>
      </c>
      <c r="AO565" s="116">
        <f t="shared" si="523"/>
        <v>187196.18003092968</v>
      </c>
      <c r="AP565" s="116">
        <f t="shared" si="523"/>
        <v>205863.17067322318</v>
      </c>
      <c r="AQ565" s="31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31"/>
      <c r="BD565" s="31"/>
      <c r="BE565" s="22"/>
      <c r="BF565" s="22"/>
      <c r="BG565" s="22"/>
      <c r="BH565" s="31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</row>
    <row r="566" spans="1:79" ht="14.25" hidden="1" customHeight="1" outlineLevel="1" x14ac:dyDescent="0.25">
      <c r="A566" s="22"/>
      <c r="B566" s="22"/>
      <c r="C566" s="22"/>
      <c r="D566" s="22"/>
      <c r="E566" s="22"/>
      <c r="F566" s="82"/>
      <c r="G566" s="82"/>
      <c r="H566" s="82"/>
      <c r="I566" s="82"/>
      <c r="J566" s="82"/>
      <c r="K566" s="82"/>
      <c r="L566" s="22"/>
      <c r="M566" s="22"/>
      <c r="N566" s="22"/>
      <c r="O566" s="22"/>
      <c r="P566" s="22"/>
      <c r="Q566" s="22"/>
      <c r="R566" s="22"/>
      <c r="S566" s="31"/>
      <c r="T566" s="22"/>
      <c r="U566" s="22"/>
      <c r="V566" s="22"/>
      <c r="W566" s="22"/>
      <c r="X566" s="116"/>
      <c r="Y566" s="116"/>
      <c r="Z566" s="116"/>
      <c r="AA566" s="116"/>
      <c r="AB566" s="116"/>
      <c r="AC566" s="116"/>
      <c r="AD566" s="116"/>
      <c r="AE566" s="125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31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31"/>
      <c r="BD566" s="31"/>
      <c r="BE566" s="22"/>
      <c r="BF566" s="22"/>
      <c r="BG566" s="22"/>
      <c r="BH566" s="31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</row>
    <row r="567" spans="1:79" ht="14.25" hidden="1" customHeight="1" outlineLevel="1" x14ac:dyDescent="0.25">
      <c r="A567" s="22"/>
      <c r="B567" s="22"/>
      <c r="C567" s="22"/>
      <c r="D567" s="22"/>
      <c r="E567" s="22"/>
      <c r="F567" s="82" t="s">
        <v>364</v>
      </c>
      <c r="G567" s="82"/>
      <c r="H567" s="82"/>
      <c r="I567" s="82"/>
      <c r="J567" s="82"/>
      <c r="K567" s="82"/>
      <c r="L567" s="22"/>
      <c r="M567" s="22"/>
      <c r="N567" s="22"/>
      <c r="O567" s="22"/>
      <c r="P567" s="22"/>
      <c r="Q567" s="22"/>
      <c r="R567" s="22"/>
      <c r="S567" s="31"/>
      <c r="T567" s="22"/>
      <c r="U567" s="22"/>
      <c r="V567" s="22"/>
      <c r="W567" s="22"/>
      <c r="X567" s="116">
        <f t="shared" ref="X567:AP567" si="524">X557+X547</f>
        <v>69800</v>
      </c>
      <c r="Y567" s="116">
        <f t="shared" si="524"/>
        <v>106697.69999999998</v>
      </c>
      <c r="Z567" s="116">
        <f t="shared" si="524"/>
        <v>150431.239</v>
      </c>
      <c r="AA567" s="116">
        <f t="shared" si="524"/>
        <v>189205.72182999999</v>
      </c>
      <c r="AB567" s="116">
        <f t="shared" si="524"/>
        <v>244164.64117510003</v>
      </c>
      <c r="AC567" s="116">
        <f t="shared" si="524"/>
        <v>292590.54103984707</v>
      </c>
      <c r="AD567" s="116">
        <f t="shared" si="524"/>
        <v>344720.9458186517</v>
      </c>
      <c r="AE567" s="125">
        <f t="shared" si="524"/>
        <v>405326.6869348922</v>
      </c>
      <c r="AF567" s="116">
        <f t="shared" si="524"/>
        <v>469176.63439606293</v>
      </c>
      <c r="AG567" s="116">
        <f t="shared" si="524"/>
        <v>541803.98624694452</v>
      </c>
      <c r="AH567" s="116">
        <f t="shared" si="524"/>
        <v>608457.57401292096</v>
      </c>
      <c r="AI567" s="116">
        <f t="shared" si="524"/>
        <v>683742.31433418882</v>
      </c>
      <c r="AJ567" s="116">
        <f t="shared" si="524"/>
        <v>763633.38984915102</v>
      </c>
      <c r="AK567" s="116">
        <f t="shared" si="524"/>
        <v>844134.37349426339</v>
      </c>
      <c r="AL567" s="116">
        <f t="shared" si="524"/>
        <v>939935.52205726947</v>
      </c>
      <c r="AM567" s="116">
        <f t="shared" si="524"/>
        <v>1039415.2525448122</v>
      </c>
      <c r="AN567" s="116">
        <f t="shared" si="524"/>
        <v>1145265.8160096691</v>
      </c>
      <c r="AO567" s="116">
        <f t="shared" si="524"/>
        <v>1263507.1846538766</v>
      </c>
      <c r="AP567" s="116">
        <f t="shared" si="524"/>
        <v>1380445.1692887179</v>
      </c>
      <c r="AQ567" s="31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31"/>
      <c r="BD567" s="31"/>
      <c r="BE567" s="22"/>
      <c r="BF567" s="22"/>
      <c r="BG567" s="22"/>
      <c r="BH567" s="31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</row>
    <row r="568" spans="1:79" ht="14.25" hidden="1" customHeight="1" outlineLevel="1" x14ac:dyDescent="0.25">
      <c r="A568" s="280"/>
      <c r="B568" s="280"/>
      <c r="C568" s="280"/>
      <c r="D568" s="280"/>
      <c r="E568" s="280"/>
      <c r="F568" s="165" t="s">
        <v>365</v>
      </c>
      <c r="G568" s="165"/>
      <c r="H568" s="165"/>
      <c r="I568" s="165"/>
      <c r="J568" s="165"/>
      <c r="K568" s="165"/>
      <c r="L568" s="280"/>
      <c r="M568" s="280"/>
      <c r="N568" s="280"/>
      <c r="O568" s="280"/>
      <c r="P568" s="280"/>
      <c r="Q568" s="280"/>
      <c r="R568" s="280"/>
      <c r="S568" s="281"/>
      <c r="T568" s="280"/>
      <c r="U568" s="280"/>
      <c r="V568" s="280"/>
      <c r="W568" s="280"/>
      <c r="X568" s="157">
        <f t="shared" ref="X568:AP568" si="525">X571</f>
        <v>58436.458333333328</v>
      </c>
      <c r="Y568" s="157">
        <f t="shared" si="525"/>
        <v>66393.458333333328</v>
      </c>
      <c r="Z568" s="157">
        <f t="shared" si="525"/>
        <v>82725.873333333337</v>
      </c>
      <c r="AA568" s="157">
        <f t="shared" si="525"/>
        <v>92046.634633333335</v>
      </c>
      <c r="AB568" s="157">
        <f t="shared" si="525"/>
        <v>102159.83309433336</v>
      </c>
      <c r="AC568" s="157">
        <f t="shared" si="525"/>
        <v>113148.90160150337</v>
      </c>
      <c r="AD568" s="157">
        <f t="shared" si="525"/>
        <v>125105.49065345828</v>
      </c>
      <c r="AE568" s="158">
        <f t="shared" si="525"/>
        <v>144791.93917185452</v>
      </c>
      <c r="AF568" s="157">
        <f t="shared" si="525"/>
        <v>157561.87704373893</v>
      </c>
      <c r="AG568" s="157">
        <f t="shared" si="525"/>
        <v>171212.70996322995</v>
      </c>
      <c r="AH568" s="157">
        <f t="shared" si="525"/>
        <v>185819.13053360055</v>
      </c>
      <c r="AI568" s="157">
        <f t="shared" si="525"/>
        <v>201461.68013640138</v>
      </c>
      <c r="AJ568" s="157">
        <f t="shared" si="525"/>
        <v>218227.22063262295</v>
      </c>
      <c r="AK568" s="157">
        <f t="shared" si="525"/>
        <v>243937.56868598293</v>
      </c>
      <c r="AL568" s="157">
        <f t="shared" si="525"/>
        <v>263237.54572152923</v>
      </c>
      <c r="AM568" s="157">
        <f t="shared" si="525"/>
        <v>283964.32177369919</v>
      </c>
      <c r="AN568" s="157">
        <f t="shared" si="525"/>
        <v>306235.55673820933</v>
      </c>
      <c r="AO568" s="157">
        <f t="shared" si="525"/>
        <v>337906.34282320185</v>
      </c>
      <c r="AP568" s="157">
        <f t="shared" si="525"/>
        <v>363657.45229861571</v>
      </c>
      <c r="AQ568" s="281"/>
      <c r="AR568" s="280"/>
      <c r="AS568" s="280"/>
      <c r="AT568" s="280"/>
      <c r="AU568" s="280"/>
      <c r="AV568" s="280"/>
      <c r="AW568" s="280"/>
      <c r="AX568" s="280"/>
      <c r="AY568" s="280"/>
      <c r="AZ568" s="280"/>
      <c r="BA568" s="280"/>
      <c r="BB568" s="280"/>
      <c r="BC568" s="281"/>
      <c r="BD568" s="281"/>
      <c r="BE568" s="280"/>
      <c r="BF568" s="280"/>
      <c r="BG568" s="280"/>
      <c r="BH568" s="281"/>
      <c r="BI568" s="280"/>
      <c r="BJ568" s="280"/>
      <c r="BK568" s="280"/>
      <c r="BL568" s="280"/>
      <c r="BM568" s="280"/>
      <c r="BN568" s="280"/>
      <c r="BO568" s="280"/>
      <c r="BP568" s="280"/>
      <c r="BQ568" s="280"/>
      <c r="BR568" s="280"/>
      <c r="BS568" s="280"/>
      <c r="BT568" s="280"/>
      <c r="BU568" s="280"/>
      <c r="BV568" s="280"/>
      <c r="BW568" s="280"/>
      <c r="BX568" s="280"/>
      <c r="BY568" s="280"/>
      <c r="BZ568" s="280"/>
      <c r="CA568" s="280"/>
    </row>
    <row r="569" spans="1:79" ht="14.25" hidden="1" customHeight="1" outlineLevel="1" x14ac:dyDescent="0.25">
      <c r="A569" s="46"/>
      <c r="B569" s="46"/>
      <c r="C569" s="46"/>
      <c r="D569" s="46"/>
      <c r="E569" s="46"/>
      <c r="F569" s="139" t="s">
        <v>366</v>
      </c>
      <c r="G569" s="139"/>
      <c r="H569" s="139"/>
      <c r="I569" s="139"/>
      <c r="J569" s="139"/>
      <c r="K569" s="139"/>
      <c r="L569" s="46"/>
      <c r="M569" s="46"/>
      <c r="N569" s="46"/>
      <c r="O569" s="46"/>
      <c r="P569" s="46"/>
      <c r="Q569" s="46"/>
      <c r="R569" s="46"/>
      <c r="S569" s="29"/>
      <c r="T569" s="46"/>
      <c r="U569" s="46"/>
      <c r="V569" s="46"/>
      <c r="W569" s="46"/>
      <c r="X569" s="140">
        <f t="shared" ref="X569:AP569" si="526">X567-X568</f>
        <v>11363.541666666672</v>
      </c>
      <c r="Y569" s="140">
        <f t="shared" si="526"/>
        <v>40304.241666666654</v>
      </c>
      <c r="Z569" s="140">
        <f t="shared" si="526"/>
        <v>67705.365666666665</v>
      </c>
      <c r="AA569" s="140">
        <f t="shared" si="526"/>
        <v>97159.08719666666</v>
      </c>
      <c r="AB569" s="140">
        <f t="shared" si="526"/>
        <v>142004.80808076667</v>
      </c>
      <c r="AC569" s="140">
        <f t="shared" si="526"/>
        <v>179441.6394383437</v>
      </c>
      <c r="AD569" s="140">
        <f t="shared" si="526"/>
        <v>219615.45516519342</v>
      </c>
      <c r="AE569" s="141">
        <f t="shared" si="526"/>
        <v>260534.74776303768</v>
      </c>
      <c r="AF569" s="140">
        <f t="shared" si="526"/>
        <v>311614.75735232397</v>
      </c>
      <c r="AG569" s="140">
        <f t="shared" si="526"/>
        <v>370591.27628371457</v>
      </c>
      <c r="AH569" s="140">
        <f t="shared" si="526"/>
        <v>422638.44347932038</v>
      </c>
      <c r="AI569" s="140">
        <f t="shared" si="526"/>
        <v>482280.63419778744</v>
      </c>
      <c r="AJ569" s="140">
        <f t="shared" si="526"/>
        <v>545406.16921652807</v>
      </c>
      <c r="AK569" s="140">
        <f t="shared" si="526"/>
        <v>600196.80480828043</v>
      </c>
      <c r="AL569" s="140">
        <f t="shared" si="526"/>
        <v>676697.97633574018</v>
      </c>
      <c r="AM569" s="140">
        <f t="shared" si="526"/>
        <v>755450.93077111291</v>
      </c>
      <c r="AN569" s="140">
        <f t="shared" si="526"/>
        <v>839030.25927145977</v>
      </c>
      <c r="AO569" s="140">
        <f t="shared" si="526"/>
        <v>925600.84183067479</v>
      </c>
      <c r="AP569" s="140">
        <f t="shared" si="526"/>
        <v>1016787.7169901022</v>
      </c>
      <c r="AQ569" s="29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29"/>
      <c r="BD569" s="29"/>
      <c r="BE569" s="46"/>
      <c r="BF569" s="46"/>
      <c r="BG569" s="46"/>
      <c r="BH569" s="29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</row>
    <row r="570" spans="1:79" ht="14.25" hidden="1" customHeight="1" outlineLevel="1" x14ac:dyDescent="0.25">
      <c r="A570" s="22"/>
      <c r="B570" s="22"/>
      <c r="C570" s="22"/>
      <c r="D570" s="22"/>
      <c r="E570" s="22"/>
      <c r="F570" s="82"/>
      <c r="G570" s="82"/>
      <c r="H570" s="82"/>
      <c r="I570" s="82"/>
      <c r="J570" s="82"/>
      <c r="K570" s="82"/>
      <c r="L570" s="22"/>
      <c r="M570" s="22"/>
      <c r="N570" s="22"/>
      <c r="O570" s="22"/>
      <c r="P570" s="22"/>
      <c r="Q570" s="22"/>
      <c r="R570" s="22"/>
      <c r="S570" s="31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31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31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31"/>
      <c r="BD570" s="31"/>
      <c r="BE570" s="22"/>
      <c r="BF570" s="22"/>
      <c r="BG570" s="22"/>
      <c r="BH570" s="31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</row>
    <row r="571" spans="1:79" ht="14.25" hidden="1" customHeight="1" outlineLevel="1" x14ac:dyDescent="0.25">
      <c r="A571" s="119"/>
      <c r="B571" s="119" t="s">
        <v>452</v>
      </c>
      <c r="C571" s="119"/>
      <c r="D571" s="119"/>
      <c r="E571" s="119"/>
      <c r="F571" s="282"/>
      <c r="G571" s="282"/>
      <c r="H571" s="282"/>
      <c r="I571" s="282"/>
      <c r="J571" s="282"/>
      <c r="K571" s="282"/>
      <c r="L571" s="119"/>
      <c r="M571" s="119"/>
      <c r="N571" s="119"/>
      <c r="O571" s="119"/>
      <c r="P571" s="119"/>
      <c r="Q571" s="121">
        <f t="shared" ref="Q571:AP571" si="527">SUM(Q573:Q576)</f>
        <v>0</v>
      </c>
      <c r="R571" s="121">
        <f t="shared" si="527"/>
        <v>0</v>
      </c>
      <c r="S571" s="122">
        <f t="shared" si="527"/>
        <v>0</v>
      </c>
      <c r="T571" s="121">
        <f t="shared" si="527"/>
        <v>0</v>
      </c>
      <c r="U571" s="121">
        <f t="shared" si="527"/>
        <v>0</v>
      </c>
      <c r="V571" s="121">
        <f t="shared" si="527"/>
        <v>0</v>
      </c>
      <c r="W571" s="121">
        <f t="shared" si="527"/>
        <v>0</v>
      </c>
      <c r="X571" s="121">
        <f t="shared" si="527"/>
        <v>58436.458333333328</v>
      </c>
      <c r="Y571" s="121">
        <f t="shared" si="527"/>
        <v>66393.458333333328</v>
      </c>
      <c r="Z571" s="121">
        <f t="shared" si="527"/>
        <v>82725.873333333337</v>
      </c>
      <c r="AA571" s="121">
        <f t="shared" si="527"/>
        <v>92046.634633333335</v>
      </c>
      <c r="AB571" s="121">
        <f t="shared" si="527"/>
        <v>102159.83309433336</v>
      </c>
      <c r="AC571" s="121">
        <f t="shared" si="527"/>
        <v>113148.90160150337</v>
      </c>
      <c r="AD571" s="121">
        <f t="shared" si="527"/>
        <v>125105.49065345828</v>
      </c>
      <c r="AE571" s="122">
        <f t="shared" si="527"/>
        <v>144791.93917185452</v>
      </c>
      <c r="AF571" s="121">
        <f t="shared" si="527"/>
        <v>157561.87704373893</v>
      </c>
      <c r="AG571" s="121">
        <f t="shared" si="527"/>
        <v>171212.70996322995</v>
      </c>
      <c r="AH571" s="121">
        <f t="shared" si="527"/>
        <v>185819.13053360055</v>
      </c>
      <c r="AI571" s="121">
        <f t="shared" si="527"/>
        <v>201461.68013640138</v>
      </c>
      <c r="AJ571" s="121">
        <f t="shared" si="527"/>
        <v>218227.22063262295</v>
      </c>
      <c r="AK571" s="121">
        <f t="shared" si="527"/>
        <v>243937.56868598293</v>
      </c>
      <c r="AL571" s="121">
        <f t="shared" si="527"/>
        <v>263237.54572152923</v>
      </c>
      <c r="AM571" s="121">
        <f t="shared" si="527"/>
        <v>283964.32177369919</v>
      </c>
      <c r="AN571" s="121">
        <f t="shared" si="527"/>
        <v>306235.55673820933</v>
      </c>
      <c r="AO571" s="121">
        <f t="shared" si="527"/>
        <v>337906.34282320185</v>
      </c>
      <c r="AP571" s="121">
        <f t="shared" si="527"/>
        <v>363657.45229861571</v>
      </c>
      <c r="AQ571" s="124"/>
      <c r="AR571" s="119"/>
      <c r="AS571" s="119"/>
      <c r="AT571" s="119"/>
      <c r="AU571" s="119"/>
      <c r="AV571" s="119"/>
      <c r="AW571" s="119"/>
      <c r="AX571" s="119"/>
      <c r="AY571" s="119"/>
      <c r="AZ571" s="119"/>
      <c r="BA571" s="119"/>
      <c r="BB571" s="119"/>
      <c r="BC571" s="124"/>
      <c r="BD571" s="124"/>
      <c r="BE571" s="119"/>
      <c r="BF571" s="119"/>
      <c r="BG571" s="119"/>
      <c r="BH571" s="124"/>
      <c r="BI571" s="119"/>
      <c r="BJ571" s="119"/>
      <c r="BK571" s="119"/>
      <c r="BL571" s="119"/>
      <c r="BM571" s="119"/>
      <c r="BN571" s="119"/>
      <c r="BO571" s="119"/>
      <c r="BP571" s="119"/>
      <c r="BQ571" s="119"/>
      <c r="BR571" s="119"/>
      <c r="BS571" s="119"/>
      <c r="BT571" s="119"/>
      <c r="BU571" s="119"/>
      <c r="BV571" s="119"/>
      <c r="BW571" s="119"/>
      <c r="BX571" s="119"/>
      <c r="BY571" s="119"/>
      <c r="BZ571" s="119"/>
      <c r="CA571" s="119"/>
    </row>
    <row r="572" spans="1:79" ht="14.25" hidden="1" customHeight="1" outlineLevel="1" x14ac:dyDescent="0.25">
      <c r="A572" s="22"/>
      <c r="B572" s="22"/>
      <c r="C572" s="22"/>
      <c r="D572" s="22"/>
      <c r="E572" s="22"/>
      <c r="F572" s="82"/>
      <c r="G572" s="82"/>
      <c r="H572" s="82"/>
      <c r="I572" s="82"/>
      <c r="J572" s="82"/>
      <c r="K572" s="82"/>
      <c r="L572" s="22"/>
      <c r="M572" s="22"/>
      <c r="N572" s="22"/>
      <c r="O572" s="22"/>
      <c r="P572" s="22"/>
      <c r="Q572" s="22"/>
      <c r="R572" s="22"/>
      <c r="S572" s="125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25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31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31"/>
      <c r="BD572" s="31"/>
      <c r="BE572" s="22"/>
      <c r="BF572" s="22"/>
      <c r="BG572" s="22"/>
      <c r="BH572" s="31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</row>
    <row r="573" spans="1:79" ht="14.25" hidden="1" customHeight="1" outlineLevel="1" x14ac:dyDescent="0.25">
      <c r="A573" s="22"/>
      <c r="B573" s="117" t="s">
        <v>161</v>
      </c>
      <c r="C573" s="22">
        <v>2026</v>
      </c>
      <c r="D573" s="22">
        <v>2027</v>
      </c>
      <c r="E573" s="11"/>
      <c r="F573" s="82"/>
      <c r="G573" s="11">
        <f>Staffing!K609</f>
        <v>0</v>
      </c>
      <c r="H573" s="11">
        <f>Staffing!L609</f>
        <v>0</v>
      </c>
      <c r="I573" s="11">
        <f>Staffing!M609</f>
        <v>0</v>
      </c>
      <c r="J573" s="11">
        <f>Staffing!N609</f>
        <v>0</v>
      </c>
      <c r="K573" s="11">
        <f>Staffing!O609</f>
        <v>0</v>
      </c>
      <c r="L573" s="11">
        <f>Staffing!P609</f>
        <v>0</v>
      </c>
      <c r="M573" s="11">
        <f t="shared" ref="M573:P573" si="528">M81</f>
        <v>0</v>
      </c>
      <c r="N573" s="11">
        <f t="shared" si="528"/>
        <v>0</v>
      </c>
      <c r="O573" s="11">
        <f t="shared" si="528"/>
        <v>0</v>
      </c>
      <c r="P573" s="11">
        <f t="shared" si="528"/>
        <v>0</v>
      </c>
      <c r="Q573" s="11"/>
      <c r="R573" s="11"/>
      <c r="S573" s="50"/>
      <c r="T573" s="11"/>
      <c r="U573" s="11"/>
      <c r="V573" s="11"/>
      <c r="W573" s="11"/>
      <c r="X573" s="11">
        <f t="shared" ref="X573:AP573" si="529">X81</f>
        <v>28336.458333333328</v>
      </c>
      <c r="Y573" s="11">
        <f t="shared" si="529"/>
        <v>28336.458333333328</v>
      </c>
      <c r="Z573" s="11">
        <f t="shared" si="529"/>
        <v>36064.583333333328</v>
      </c>
      <c r="AA573" s="11">
        <f t="shared" si="529"/>
        <v>36064.583333333328</v>
      </c>
      <c r="AB573" s="11">
        <f t="shared" si="529"/>
        <v>36064.583333333328</v>
      </c>
      <c r="AC573" s="11">
        <f t="shared" si="529"/>
        <v>36064.583333333328</v>
      </c>
      <c r="AD573" s="11">
        <f t="shared" si="529"/>
        <v>36064.583333333328</v>
      </c>
      <c r="AE573" s="50">
        <f t="shared" si="529"/>
        <v>43792.708333333328</v>
      </c>
      <c r="AF573" s="11">
        <f t="shared" si="529"/>
        <v>43792.708333333328</v>
      </c>
      <c r="AG573" s="11">
        <f t="shared" si="529"/>
        <v>43792.708333333328</v>
      </c>
      <c r="AH573" s="11">
        <f t="shared" si="529"/>
        <v>43792.708333333328</v>
      </c>
      <c r="AI573" s="11">
        <f t="shared" si="529"/>
        <v>43792.708333333328</v>
      </c>
      <c r="AJ573" s="11">
        <f t="shared" si="529"/>
        <v>43792.708333333328</v>
      </c>
      <c r="AK573" s="11">
        <f t="shared" si="529"/>
        <v>51520.833333333328</v>
      </c>
      <c r="AL573" s="11">
        <f t="shared" si="529"/>
        <v>51520.833333333328</v>
      </c>
      <c r="AM573" s="11">
        <f t="shared" si="529"/>
        <v>51520.833333333328</v>
      </c>
      <c r="AN573" s="11">
        <f t="shared" si="529"/>
        <v>51520.833333333328</v>
      </c>
      <c r="AO573" s="11">
        <f t="shared" si="529"/>
        <v>59248.958333333328</v>
      </c>
      <c r="AP573" s="11">
        <f t="shared" si="529"/>
        <v>59248.958333333328</v>
      </c>
      <c r="AQ573" s="31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31"/>
      <c r="BD573" s="31"/>
      <c r="BE573" s="22"/>
      <c r="BF573" s="22"/>
      <c r="BG573" s="22"/>
      <c r="BH573" s="31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</row>
    <row r="574" spans="1:79" ht="14.25" hidden="1" customHeight="1" outlineLevel="1" x14ac:dyDescent="0.25">
      <c r="A574" s="22"/>
      <c r="B574" s="117" t="s">
        <v>453</v>
      </c>
      <c r="C574" s="283">
        <v>1</v>
      </c>
      <c r="D574" s="283">
        <v>1</v>
      </c>
      <c r="E574" s="11" t="s">
        <v>454</v>
      </c>
      <c r="F574" s="8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50">
        <f t="shared" ref="S574:AD574" si="530">$C574*S525</f>
        <v>0</v>
      </c>
      <c r="T574" s="11">
        <f t="shared" si="530"/>
        <v>0</v>
      </c>
      <c r="U574" s="11">
        <f t="shared" si="530"/>
        <v>0</v>
      </c>
      <c r="V574" s="11">
        <f t="shared" si="530"/>
        <v>0</v>
      </c>
      <c r="W574" s="11">
        <f t="shared" si="530"/>
        <v>0</v>
      </c>
      <c r="X574" s="11">
        <f t="shared" si="530"/>
        <v>100</v>
      </c>
      <c r="Y574" s="11">
        <f t="shared" si="530"/>
        <v>207</v>
      </c>
      <c r="Z574" s="11">
        <f t="shared" si="530"/>
        <v>321.79000000000002</v>
      </c>
      <c r="AA574" s="11">
        <f t="shared" si="530"/>
        <v>445.23630000000003</v>
      </c>
      <c r="AB574" s="11">
        <f t="shared" si="530"/>
        <v>578.28921100000002</v>
      </c>
      <c r="AC574" s="11">
        <f t="shared" si="530"/>
        <v>721.99153467000019</v>
      </c>
      <c r="AD574" s="11">
        <f t="shared" si="530"/>
        <v>877.48788862990034</v>
      </c>
      <c r="AE574" s="50">
        <f t="shared" ref="AE574:AP574" si="531">$D574*AE525</f>
        <v>1042.4918399710034</v>
      </c>
      <c r="AF574" s="11">
        <f t="shared" si="531"/>
        <v>1217.8519598118735</v>
      </c>
      <c r="AG574" s="11">
        <f t="shared" si="531"/>
        <v>1404.4820660607174</v>
      </c>
      <c r="AH574" s="11">
        <f t="shared" si="531"/>
        <v>1603.3665223255523</v>
      </c>
      <c r="AI574" s="11">
        <f t="shared" si="531"/>
        <v>1815.5659583621743</v>
      </c>
      <c r="AJ574" s="11">
        <f t="shared" si="531"/>
        <v>2042.2234458542089</v>
      </c>
      <c r="AK574" s="11">
        <f t="shared" si="531"/>
        <v>2284.5711660209145</v>
      </c>
      <c r="AL574" s="11">
        <f t="shared" si="531"/>
        <v>2543.9376084660057</v>
      </c>
      <c r="AM574" s="11">
        <f t="shared" si="531"/>
        <v>2821.7553438318014</v>
      </c>
      <c r="AN574" s="11">
        <f t="shared" si="531"/>
        <v>3119.5694162262052</v>
      </c>
      <c r="AO574" s="11">
        <f t="shared" si="531"/>
        <v>3439.046405065526</v>
      </c>
      <c r="AP574" s="11">
        <f t="shared" si="531"/>
        <v>3781.9842099457555</v>
      </c>
      <c r="AQ574" s="31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31"/>
      <c r="BD574" s="31"/>
      <c r="BE574" s="22"/>
      <c r="BF574" s="22"/>
      <c r="BG574" s="22"/>
      <c r="BH574" s="31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</row>
    <row r="575" spans="1:79" ht="14.25" hidden="1" customHeight="1" outlineLevel="1" x14ac:dyDescent="0.25">
      <c r="A575" s="22"/>
      <c r="B575" s="22" t="s">
        <v>455</v>
      </c>
      <c r="C575" s="283">
        <v>50</v>
      </c>
      <c r="D575" s="283">
        <v>50</v>
      </c>
      <c r="E575" s="11" t="s">
        <v>454</v>
      </c>
      <c r="F575" s="8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50">
        <f t="shared" ref="S575:AD575" si="532">$C575*S525</f>
        <v>0</v>
      </c>
      <c r="T575" s="11">
        <f t="shared" si="532"/>
        <v>0</v>
      </c>
      <c r="U575" s="11">
        <f t="shared" si="532"/>
        <v>0</v>
      </c>
      <c r="V575" s="11">
        <f t="shared" si="532"/>
        <v>0</v>
      </c>
      <c r="W575" s="11">
        <f t="shared" si="532"/>
        <v>0</v>
      </c>
      <c r="X575" s="11">
        <f t="shared" si="532"/>
        <v>5000</v>
      </c>
      <c r="Y575" s="11">
        <f t="shared" si="532"/>
        <v>10350</v>
      </c>
      <c r="Z575" s="11">
        <f t="shared" si="532"/>
        <v>16089.500000000002</v>
      </c>
      <c r="AA575" s="11">
        <f t="shared" si="532"/>
        <v>22261.815000000002</v>
      </c>
      <c r="AB575" s="11">
        <f t="shared" si="532"/>
        <v>28914.46055</v>
      </c>
      <c r="AC575" s="11">
        <f t="shared" si="532"/>
        <v>36099.576733500013</v>
      </c>
      <c r="AD575" s="11">
        <f t="shared" si="532"/>
        <v>43874.39443149502</v>
      </c>
      <c r="AE575" s="50">
        <f t="shared" ref="AE575:AP575" si="533">$D575*AE525</f>
        <v>52124.591998550168</v>
      </c>
      <c r="AF575" s="11">
        <f t="shared" si="533"/>
        <v>60892.597990593677</v>
      </c>
      <c r="AG575" s="11">
        <f t="shared" si="533"/>
        <v>70224.103303035867</v>
      </c>
      <c r="AH575" s="11">
        <f t="shared" si="533"/>
        <v>80168.326116277618</v>
      </c>
      <c r="AI575" s="11">
        <f t="shared" si="533"/>
        <v>90778.297918108714</v>
      </c>
      <c r="AJ575" s="11">
        <f t="shared" si="533"/>
        <v>102111.17229271044</v>
      </c>
      <c r="AK575" s="11">
        <f t="shared" si="533"/>
        <v>114228.55830104572</v>
      </c>
      <c r="AL575" s="11">
        <f t="shared" si="533"/>
        <v>127196.88042330029</v>
      </c>
      <c r="AM575" s="11">
        <f t="shared" si="533"/>
        <v>141087.76719159007</v>
      </c>
      <c r="AN575" s="11">
        <f t="shared" si="533"/>
        <v>155978.47081131025</v>
      </c>
      <c r="AO575" s="11">
        <f t="shared" si="533"/>
        <v>171952.3202532763</v>
      </c>
      <c r="AP575" s="11">
        <f t="shared" si="533"/>
        <v>189099.21049728777</v>
      </c>
      <c r="AQ575" s="31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31"/>
      <c r="BD575" s="31"/>
      <c r="BE575" s="22"/>
      <c r="BF575" s="22"/>
      <c r="BG575" s="22"/>
      <c r="BH575" s="31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</row>
    <row r="576" spans="1:79" ht="14.25" hidden="1" customHeight="1" outlineLevel="1" x14ac:dyDescent="0.25">
      <c r="A576" s="22"/>
      <c r="B576" s="117" t="s">
        <v>456</v>
      </c>
      <c r="C576" s="283">
        <v>250</v>
      </c>
      <c r="D576" s="283">
        <v>250</v>
      </c>
      <c r="E576" s="11" t="s">
        <v>457</v>
      </c>
      <c r="F576" s="8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50">
        <f t="shared" ref="S576:AD576" si="534">$C576*S524</f>
        <v>0</v>
      </c>
      <c r="T576" s="11">
        <f t="shared" si="534"/>
        <v>0</v>
      </c>
      <c r="U576" s="11">
        <f t="shared" si="534"/>
        <v>0</v>
      </c>
      <c r="V576" s="11">
        <f t="shared" si="534"/>
        <v>0</v>
      </c>
      <c r="W576" s="11">
        <f t="shared" si="534"/>
        <v>0</v>
      </c>
      <c r="X576" s="11">
        <f t="shared" si="534"/>
        <v>25000</v>
      </c>
      <c r="Y576" s="11">
        <f t="shared" si="534"/>
        <v>27500.000000000004</v>
      </c>
      <c r="Z576" s="11">
        <f t="shared" si="534"/>
        <v>30250.000000000007</v>
      </c>
      <c r="AA576" s="11">
        <f t="shared" si="534"/>
        <v>33275.000000000015</v>
      </c>
      <c r="AB576" s="11">
        <f t="shared" si="534"/>
        <v>36602.500000000022</v>
      </c>
      <c r="AC576" s="11">
        <f t="shared" si="534"/>
        <v>40262.750000000022</v>
      </c>
      <c r="AD576" s="11">
        <f t="shared" si="534"/>
        <v>44289.025000000031</v>
      </c>
      <c r="AE576" s="50">
        <f t="shared" ref="AE576:AP576" si="535">$D576*AE524</f>
        <v>47832.147000000034</v>
      </c>
      <c r="AF576" s="11">
        <f t="shared" si="535"/>
        <v>51658.71876000004</v>
      </c>
      <c r="AG576" s="11">
        <f t="shared" si="535"/>
        <v>55791.416260800048</v>
      </c>
      <c r="AH576" s="11">
        <f t="shared" si="535"/>
        <v>60254.729561664055</v>
      </c>
      <c r="AI576" s="11">
        <f t="shared" si="535"/>
        <v>65075.107926597186</v>
      </c>
      <c r="AJ576" s="11">
        <f t="shared" si="535"/>
        <v>70281.116560724971</v>
      </c>
      <c r="AK576" s="11">
        <f t="shared" si="535"/>
        <v>75903.605885582976</v>
      </c>
      <c r="AL576" s="11">
        <f t="shared" si="535"/>
        <v>81975.894356429621</v>
      </c>
      <c r="AM576" s="11">
        <f t="shared" si="535"/>
        <v>88533.965904943994</v>
      </c>
      <c r="AN576" s="11">
        <f t="shared" si="535"/>
        <v>95616.683177339524</v>
      </c>
      <c r="AO576" s="11">
        <f t="shared" si="535"/>
        <v>103266.0178315267</v>
      </c>
      <c r="AP576" s="11">
        <f t="shared" si="535"/>
        <v>111527.29925804884</v>
      </c>
      <c r="AQ576" s="31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31"/>
      <c r="BD576" s="31"/>
      <c r="BE576" s="22"/>
      <c r="BF576" s="22"/>
      <c r="BG576" s="22"/>
      <c r="BH576" s="31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</row>
    <row r="577" spans="1:79" ht="14.25" hidden="1" customHeight="1" outlineLevel="1" x14ac:dyDescent="0.25">
      <c r="A577" s="284"/>
      <c r="B577" s="284" t="s">
        <v>458</v>
      </c>
      <c r="C577" s="284"/>
      <c r="D577" s="284"/>
      <c r="E577" s="284"/>
      <c r="F577" s="285"/>
      <c r="G577" s="285"/>
      <c r="H577" s="285"/>
      <c r="I577" s="285"/>
      <c r="J577" s="285"/>
      <c r="K577" s="285"/>
      <c r="L577" s="284"/>
      <c r="M577" s="284"/>
      <c r="N577" s="284"/>
      <c r="O577" s="284"/>
      <c r="P577" s="284"/>
      <c r="Q577" s="11">
        <f t="shared" ref="Q577:W577" si="536">$C577*Q525</f>
        <v>0</v>
      </c>
      <c r="R577" s="11">
        <f t="shared" si="536"/>
        <v>0</v>
      </c>
      <c r="S577" s="50">
        <f t="shared" si="536"/>
        <v>0</v>
      </c>
      <c r="T577" s="11">
        <f t="shared" si="536"/>
        <v>0</v>
      </c>
      <c r="U577" s="11">
        <f t="shared" si="536"/>
        <v>0</v>
      </c>
      <c r="V577" s="11">
        <f t="shared" si="536"/>
        <v>0</v>
      </c>
      <c r="W577" s="11">
        <f t="shared" si="536"/>
        <v>0</v>
      </c>
      <c r="X577" s="286">
        <f t="shared" ref="X577:AP577" si="537">X571/X562</f>
        <v>1.6884676506705834</v>
      </c>
      <c r="Y577" s="286">
        <f t="shared" si="537"/>
        <v>0.92675257886053808</v>
      </c>
      <c r="Z577" s="286">
        <f t="shared" si="537"/>
        <v>0.74280988517307778</v>
      </c>
      <c r="AA577" s="286">
        <f t="shared" si="537"/>
        <v>0.59734634035328671</v>
      </c>
      <c r="AB577" s="286">
        <f t="shared" si="537"/>
        <v>0.51043910976218443</v>
      </c>
      <c r="AC577" s="286">
        <f t="shared" si="537"/>
        <v>0.4528215579276208</v>
      </c>
      <c r="AD577" s="286">
        <f t="shared" si="537"/>
        <v>0.41194961119454704</v>
      </c>
      <c r="AE577" s="287">
        <f t="shared" si="537"/>
        <v>0.40131055095076051</v>
      </c>
      <c r="AF577" s="286">
        <f t="shared" si="537"/>
        <v>0.36854257780306698</v>
      </c>
      <c r="AG577" s="286">
        <f t="shared" si="537"/>
        <v>0.34725685363978742</v>
      </c>
      <c r="AH577" s="286">
        <f t="shared" si="537"/>
        <v>0.33013276918538159</v>
      </c>
      <c r="AI577" s="286">
        <f t="shared" si="537"/>
        <v>0.31609049965588065</v>
      </c>
      <c r="AJ577" s="286">
        <f t="shared" si="537"/>
        <v>0.30439441955550078</v>
      </c>
      <c r="AK577" s="286">
        <f t="shared" si="537"/>
        <v>0.30416204702563066</v>
      </c>
      <c r="AL577" s="286">
        <f t="shared" si="537"/>
        <v>0.29476261441847268</v>
      </c>
      <c r="AM577" s="286">
        <f t="shared" si="537"/>
        <v>0.28666550968206272</v>
      </c>
      <c r="AN577" s="286">
        <f t="shared" si="537"/>
        <v>0.2796352932154943</v>
      </c>
      <c r="AO577" s="286">
        <f t="shared" si="537"/>
        <v>0.27989125570175183</v>
      </c>
      <c r="AP577" s="286">
        <f t="shared" si="537"/>
        <v>0.27390742375461591</v>
      </c>
      <c r="AQ577" s="288"/>
      <c r="AR577" s="284"/>
      <c r="AS577" s="284"/>
      <c r="AT577" s="284"/>
      <c r="AU577" s="284"/>
      <c r="AV577" s="284"/>
      <c r="AW577" s="284"/>
      <c r="AX577" s="284"/>
      <c r="AY577" s="284"/>
      <c r="AZ577" s="284"/>
      <c r="BA577" s="284"/>
      <c r="BB577" s="284"/>
      <c r="BC577" s="288"/>
      <c r="BD577" s="288"/>
      <c r="BE577" s="284"/>
      <c r="BF577" s="284"/>
      <c r="BG577" s="284"/>
      <c r="BH577" s="288"/>
      <c r="BI577" s="284"/>
      <c r="BJ577" s="284"/>
      <c r="BK577" s="284"/>
      <c r="BL577" s="284"/>
      <c r="BM577" s="284"/>
      <c r="BN577" s="284"/>
      <c r="BO577" s="284"/>
      <c r="BP577" s="284"/>
      <c r="BQ577" s="284"/>
      <c r="BR577" s="284"/>
      <c r="BS577" s="284"/>
      <c r="BT577" s="284"/>
      <c r="BU577" s="284"/>
      <c r="BV577" s="284"/>
      <c r="BW577" s="284"/>
      <c r="BX577" s="284"/>
      <c r="BY577" s="284"/>
      <c r="BZ577" s="284"/>
      <c r="CA577" s="284"/>
    </row>
    <row r="578" spans="1:79" ht="14.25" hidden="1" customHeight="1" outlineLevel="1" x14ac:dyDescent="0.25">
      <c r="A578" s="22"/>
      <c r="B578" s="246"/>
      <c r="C578" s="22"/>
      <c r="D578" s="22"/>
      <c r="E578" s="22"/>
      <c r="F578" s="82"/>
      <c r="G578" s="82"/>
      <c r="H578" s="82"/>
      <c r="I578" s="82"/>
      <c r="J578" s="82"/>
      <c r="K578" s="82"/>
      <c r="L578" s="22"/>
      <c r="M578" s="22"/>
      <c r="N578" s="22"/>
      <c r="O578" s="22"/>
      <c r="P578" s="22"/>
      <c r="Q578" s="22"/>
      <c r="R578" s="22"/>
      <c r="S578" s="31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31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31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31"/>
      <c r="BD578" s="31"/>
      <c r="BE578" s="22"/>
      <c r="BF578" s="22"/>
      <c r="BG578" s="22"/>
      <c r="BH578" s="31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</row>
    <row r="579" spans="1:79" ht="14.25" hidden="1" customHeight="1" outlineLevel="1" x14ac:dyDescent="0.25">
      <c r="A579" s="22"/>
      <c r="B579" s="246"/>
      <c r="C579" s="22"/>
      <c r="D579" s="22"/>
      <c r="E579" s="22"/>
      <c r="F579" s="82"/>
      <c r="G579" s="82"/>
      <c r="H579" s="82"/>
      <c r="I579" s="82"/>
      <c r="J579" s="82"/>
      <c r="K579" s="82"/>
      <c r="L579" s="22"/>
      <c r="M579" s="22"/>
      <c r="N579" s="22"/>
      <c r="O579" s="22"/>
      <c r="P579" s="22"/>
      <c r="Q579" s="22"/>
      <c r="R579" s="22"/>
      <c r="S579" s="31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31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31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31"/>
      <c r="BD579" s="31"/>
      <c r="BE579" s="22"/>
      <c r="BF579" s="22"/>
      <c r="BG579" s="22"/>
      <c r="BH579" s="31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</row>
    <row r="580" spans="1:79" ht="14.25" customHeight="1" collapsed="1" x14ac:dyDescent="0.25">
      <c r="A580" s="22"/>
      <c r="B580" s="246"/>
      <c r="C580" s="22"/>
      <c r="D580" s="22"/>
      <c r="E580" s="22"/>
      <c r="F580" s="82"/>
      <c r="G580" s="82"/>
      <c r="H580" s="82"/>
      <c r="I580" s="82"/>
      <c r="J580" s="82"/>
      <c r="K580" s="82"/>
      <c r="L580" s="22"/>
      <c r="M580" s="22"/>
      <c r="N580" s="22"/>
      <c r="O580" s="22"/>
      <c r="P580" s="22"/>
      <c r="Q580" s="22"/>
      <c r="R580" s="22"/>
      <c r="S580" s="31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31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31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31"/>
      <c r="BD580" s="31"/>
      <c r="BE580" s="22"/>
      <c r="BF580" s="22"/>
      <c r="BG580" s="22"/>
      <c r="BH580" s="31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</row>
    <row r="581" spans="1:79" ht="14.25" customHeight="1" x14ac:dyDescent="0.25">
      <c r="A581" s="153" t="s">
        <v>459</v>
      </c>
      <c r="B581" s="153"/>
      <c r="C581" s="153"/>
      <c r="D581" s="153"/>
      <c r="E581" s="153"/>
      <c r="F581" s="87"/>
      <c r="G581" s="159"/>
      <c r="H581" s="159"/>
      <c r="I581" s="159"/>
      <c r="J581" s="159"/>
      <c r="K581" s="159"/>
      <c r="L581" s="153"/>
      <c r="M581" s="153"/>
      <c r="N581" s="153"/>
      <c r="O581" s="153"/>
      <c r="P581" s="153"/>
      <c r="Q581" s="153"/>
      <c r="R581" s="153"/>
      <c r="S581" s="155">
        <f t="shared" ref="S581:AP581" si="538">S612</f>
        <v>0</v>
      </c>
      <c r="T581" s="154">
        <f t="shared" si="538"/>
        <v>0</v>
      </c>
      <c r="U581" s="154">
        <f t="shared" si="538"/>
        <v>0</v>
      </c>
      <c r="V581" s="154">
        <f t="shared" si="538"/>
        <v>0</v>
      </c>
      <c r="W581" s="154">
        <f t="shared" si="538"/>
        <v>0</v>
      </c>
      <c r="X581" s="154">
        <f t="shared" si="538"/>
        <v>0</v>
      </c>
      <c r="Y581" s="154">
        <f t="shared" si="538"/>
        <v>0</v>
      </c>
      <c r="Z581" s="154">
        <f t="shared" si="538"/>
        <v>0</v>
      </c>
      <c r="AA581" s="154">
        <f t="shared" si="538"/>
        <v>0</v>
      </c>
      <c r="AB581" s="154">
        <f t="shared" si="538"/>
        <v>0</v>
      </c>
      <c r="AC581" s="154">
        <f t="shared" si="538"/>
        <v>0</v>
      </c>
      <c r="AD581" s="154">
        <f t="shared" si="538"/>
        <v>0</v>
      </c>
      <c r="AE581" s="155">
        <f t="shared" si="538"/>
        <v>0</v>
      </c>
      <c r="AF581" s="154">
        <f t="shared" si="538"/>
        <v>0</v>
      </c>
      <c r="AG581" s="154">
        <f t="shared" si="538"/>
        <v>0</v>
      </c>
      <c r="AH581" s="154">
        <f t="shared" si="538"/>
        <v>0</v>
      </c>
      <c r="AI581" s="154">
        <f t="shared" si="538"/>
        <v>0</v>
      </c>
      <c r="AJ581" s="154">
        <f t="shared" si="538"/>
        <v>0</v>
      </c>
      <c r="AK581" s="154">
        <f t="shared" si="538"/>
        <v>0</v>
      </c>
      <c r="AL581" s="154">
        <f t="shared" si="538"/>
        <v>0</v>
      </c>
      <c r="AM581" s="154">
        <f t="shared" si="538"/>
        <v>0</v>
      </c>
      <c r="AN581" s="154">
        <f t="shared" si="538"/>
        <v>0</v>
      </c>
      <c r="AO581" s="154">
        <f t="shared" si="538"/>
        <v>0</v>
      </c>
      <c r="AP581" s="154">
        <f t="shared" si="538"/>
        <v>0</v>
      </c>
      <c r="AQ581" s="156"/>
      <c r="AR581" s="153"/>
      <c r="AS581" s="153"/>
      <c r="AT581" s="153"/>
      <c r="AU581" s="153"/>
      <c r="AV581" s="153"/>
      <c r="AW581" s="153"/>
      <c r="AX581" s="153"/>
      <c r="AY581" s="153"/>
      <c r="AZ581" s="153"/>
      <c r="BA581" s="153"/>
      <c r="BB581" s="153"/>
      <c r="BC581" s="156"/>
      <c r="BD581" s="156"/>
      <c r="BE581" s="153"/>
      <c r="BF581" s="153"/>
      <c r="BG581" s="153"/>
      <c r="BH581" s="156"/>
      <c r="BI581" s="153"/>
      <c r="BJ581" s="153"/>
      <c r="BK581" s="153"/>
      <c r="BL581" s="153"/>
      <c r="BM581" s="153"/>
      <c r="BN581" s="153"/>
      <c r="BO581" s="153"/>
      <c r="BP581" s="153"/>
      <c r="BQ581" s="153"/>
      <c r="BR581" s="153"/>
      <c r="BS581" s="153"/>
      <c r="BT581" s="153"/>
      <c r="BU581" s="153"/>
      <c r="BV581" s="153"/>
      <c r="BW581" s="153"/>
      <c r="BX581" s="153"/>
      <c r="BY581" s="153"/>
      <c r="BZ581" s="153"/>
      <c r="CA581" s="153"/>
    </row>
    <row r="582" spans="1:79" ht="14.25" customHeight="1" x14ac:dyDescent="0.25">
      <c r="A582" s="22"/>
      <c r="B582" s="22"/>
      <c r="C582" s="22"/>
      <c r="D582" s="22"/>
      <c r="E582" s="22"/>
      <c r="F582" s="80"/>
      <c r="G582" s="82"/>
      <c r="H582" s="82"/>
      <c r="I582" s="82"/>
      <c r="J582" s="82"/>
      <c r="K582" s="82"/>
      <c r="L582" s="22"/>
      <c r="M582" s="22"/>
      <c r="N582" s="22"/>
      <c r="O582" s="22"/>
      <c r="P582" s="22"/>
      <c r="Q582" s="22"/>
      <c r="R582" s="22"/>
      <c r="S582" s="31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31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31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31"/>
      <c r="BD582" s="31"/>
      <c r="BE582" s="22"/>
      <c r="BF582" s="22"/>
      <c r="BG582" s="22"/>
      <c r="BH582" s="31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</row>
    <row r="583" spans="1:79" ht="14.25" customHeight="1" x14ac:dyDescent="0.25">
      <c r="A583" s="22"/>
      <c r="B583" s="22"/>
      <c r="C583" s="22"/>
      <c r="D583" s="22"/>
      <c r="E583" s="22"/>
      <c r="F583" s="80"/>
      <c r="G583" s="82"/>
      <c r="H583" s="82"/>
      <c r="I583" s="82"/>
      <c r="J583" s="82"/>
      <c r="K583" s="82"/>
      <c r="L583" s="22"/>
      <c r="M583" s="22"/>
      <c r="N583" s="22"/>
      <c r="O583" s="22"/>
      <c r="P583" s="22"/>
      <c r="Q583" s="22"/>
      <c r="R583" s="22"/>
      <c r="S583" s="31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31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31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31"/>
      <c r="BD583" s="31"/>
      <c r="BE583" s="22"/>
      <c r="BF583" s="22"/>
      <c r="BG583" s="22"/>
      <c r="BH583" s="31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</row>
  </sheetData>
  <conditionalFormatting sqref="G9:BB9">
    <cfRule type="cellIs" dxfId="10" priority="1" operator="equal">
      <formula>1</formula>
    </cfRule>
  </conditionalFormatting>
  <conditionalFormatting sqref="G10:BB10">
    <cfRule type="cellIs" dxfId="9" priority="2" operator="equal">
      <formula>1</formula>
    </cfRule>
  </conditionalFormatting>
  <conditionalFormatting sqref="G11:BB11">
    <cfRule type="cellIs" dxfId="8" priority="3" operator="equal">
      <formula>1</formula>
    </cfRule>
  </conditionalFormatting>
  <conditionalFormatting sqref="M12:BB12">
    <cfRule type="cellIs" dxfId="7" priority="4" operator="equal">
      <formula>1</formula>
    </cfRule>
  </conditionalFormatting>
  <conditionalFormatting sqref="S13:BB13">
    <cfRule type="cellIs" dxfId="6" priority="5" operator="equal">
      <formula>1</formula>
    </cfRule>
  </conditionalFormatting>
  <conditionalFormatting sqref="U14:BB14">
    <cfRule type="cellIs" dxfId="5" priority="6" operator="equal">
      <formula>1</formula>
    </cfRule>
    <cfRule type="cellIs" dxfId="4" priority="7" operator="equal">
      <formula>1</formula>
    </cfRule>
  </conditionalFormatting>
  <conditionalFormatting sqref="U15:BB15">
    <cfRule type="cellIs" dxfId="3" priority="8" operator="equal">
      <formula>1</formula>
    </cfRule>
  </conditionalFormatting>
  <conditionalFormatting sqref="X16:BB16">
    <cfRule type="cellIs" dxfId="2" priority="9" operator="equal">
      <formula>1</formula>
    </cfRule>
  </conditionalFormatting>
  <conditionalFormatting sqref="AC17">
    <cfRule type="cellIs" dxfId="1" priority="10" operator="equal">
      <formula>1</formula>
    </cfRule>
  </conditionalFormatting>
  <conditionalFormatting sqref="AL17:BB17">
    <cfRule type="cellIs" dxfId="0" priority="11" operator="equal">
      <formula>1</formula>
    </cfRule>
  </conditionalFormatting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T1000"/>
  <sheetViews>
    <sheetView workbookViewId="0">
      <pane xSplit="10" ySplit="2" topLeftCell="K6" activePane="bottomRight" state="frozen"/>
      <selection pane="topRight" activeCell="K1" sqref="K1"/>
      <selection pane="bottomLeft" activeCell="A3" sqref="A3"/>
      <selection pane="bottomRight" activeCell="O7" sqref="O7"/>
    </sheetView>
  </sheetViews>
  <sheetFormatPr defaultColWidth="12.7109375" defaultRowHeight="15" customHeight="1" outlineLevelRow="1" outlineLevelCol="1" x14ac:dyDescent="0.25"/>
  <cols>
    <col min="1" max="1" width="3.85546875" customWidth="1"/>
    <col min="2" max="2" width="9.28515625" customWidth="1" outlineLevel="1"/>
    <col min="3" max="3" width="7" customWidth="1" outlineLevel="1"/>
    <col min="4" max="4" width="21.85546875" customWidth="1" outlineLevel="1"/>
    <col min="5" max="5" width="14.85546875" customWidth="1" outlineLevel="1"/>
    <col min="6" max="6" width="12.28515625" customWidth="1" outlineLevel="1"/>
    <col min="7" max="7" width="15.7109375" customWidth="1" outlineLevel="1"/>
    <col min="8" max="8" width="15.140625" customWidth="1"/>
    <col min="9" max="9" width="12.28515625" customWidth="1"/>
    <col min="10" max="10" width="0.7109375" customWidth="1"/>
    <col min="11" max="11" width="10.7109375" customWidth="1"/>
    <col min="12" max="22" width="8.7109375" customWidth="1" outlineLevel="1"/>
    <col min="23" max="23" width="8.42578125" customWidth="1"/>
    <col min="24" max="46" width="8.7109375" customWidth="1"/>
  </cols>
  <sheetData>
    <row r="1" spans="1:46" x14ac:dyDescent="0.25">
      <c r="A1" s="289"/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</row>
    <row r="2" spans="1:46" ht="14.25" customHeight="1" x14ac:dyDescent="0.25">
      <c r="A2" s="290" t="s">
        <v>460</v>
      </c>
      <c r="B2" s="290"/>
      <c r="C2" s="290"/>
      <c r="D2" s="290"/>
      <c r="E2" s="290"/>
      <c r="F2" s="290"/>
      <c r="G2" s="118"/>
      <c r="H2" s="290"/>
      <c r="I2" s="290"/>
      <c r="J2" s="291"/>
      <c r="K2" s="35">
        <v>45658</v>
      </c>
      <c r="L2" s="35">
        <v>45689</v>
      </c>
      <c r="M2" s="35">
        <v>45717</v>
      </c>
      <c r="N2" s="35">
        <v>45748</v>
      </c>
      <c r="O2" s="35">
        <v>45778</v>
      </c>
      <c r="P2" s="35">
        <v>45809</v>
      </c>
      <c r="Q2" s="36">
        <v>45839</v>
      </c>
      <c r="R2" s="36">
        <v>45870</v>
      </c>
      <c r="S2" s="36">
        <v>45901</v>
      </c>
      <c r="T2" s="36">
        <v>45931</v>
      </c>
      <c r="U2" s="36">
        <v>45962</v>
      </c>
      <c r="V2" s="36">
        <v>45992</v>
      </c>
      <c r="W2" s="38">
        <v>46023</v>
      </c>
      <c r="X2" s="39">
        <v>46054</v>
      </c>
      <c r="Y2" s="39">
        <v>46082</v>
      </c>
      <c r="Z2" s="39">
        <v>46113</v>
      </c>
      <c r="AA2" s="39">
        <v>46143</v>
      </c>
      <c r="AB2" s="39">
        <v>46174</v>
      </c>
      <c r="AC2" s="39">
        <v>46204</v>
      </c>
      <c r="AD2" s="39">
        <v>46235</v>
      </c>
      <c r="AE2" s="39">
        <v>46266</v>
      </c>
      <c r="AF2" s="39">
        <v>46296</v>
      </c>
      <c r="AG2" s="39">
        <v>46327</v>
      </c>
      <c r="AH2" s="39">
        <v>46357</v>
      </c>
      <c r="AI2" s="40">
        <v>46388</v>
      </c>
      <c r="AJ2" s="36">
        <v>46419</v>
      </c>
      <c r="AK2" s="36">
        <v>46447</v>
      </c>
      <c r="AL2" s="36">
        <v>46478</v>
      </c>
      <c r="AM2" s="36">
        <v>46508</v>
      </c>
      <c r="AN2" s="36">
        <v>46539</v>
      </c>
      <c r="AO2" s="36">
        <v>46569</v>
      </c>
      <c r="AP2" s="36">
        <v>46600</v>
      </c>
      <c r="AQ2" s="36">
        <v>46631</v>
      </c>
      <c r="AR2" s="36">
        <v>46661</v>
      </c>
      <c r="AS2" s="36">
        <v>46692</v>
      </c>
      <c r="AT2" s="36">
        <v>46722</v>
      </c>
    </row>
    <row r="3" spans="1:46" ht="14.25" customHeight="1" x14ac:dyDescent="0.25">
      <c r="A3" s="290"/>
      <c r="B3" s="290" t="s">
        <v>461</v>
      </c>
      <c r="C3" s="290" t="s">
        <v>462</v>
      </c>
      <c r="D3" s="290" t="s">
        <v>463</v>
      </c>
      <c r="E3" s="291" t="s">
        <v>464</v>
      </c>
      <c r="F3" s="291"/>
      <c r="G3" s="292" t="s">
        <v>465</v>
      </c>
      <c r="H3" s="292" t="s">
        <v>160</v>
      </c>
      <c r="I3" s="293" t="s">
        <v>466</v>
      </c>
      <c r="J3" s="290"/>
      <c r="K3" s="294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4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95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</row>
    <row r="4" spans="1:46" ht="14.25" customHeight="1" x14ac:dyDescent="0.25">
      <c r="A4" s="290">
        <v>1</v>
      </c>
      <c r="B4" s="296" t="s">
        <v>467</v>
      </c>
      <c r="C4" s="296" t="s">
        <v>468</v>
      </c>
      <c r="D4" s="296" t="s">
        <v>469</v>
      </c>
      <c r="E4" s="296" t="s">
        <v>470</v>
      </c>
      <c r="F4" s="296" t="s">
        <v>213</v>
      </c>
      <c r="G4" s="297" t="s">
        <v>471</v>
      </c>
      <c r="H4" s="297">
        <v>15000</v>
      </c>
      <c r="I4" s="298">
        <v>45658</v>
      </c>
      <c r="J4" s="299"/>
      <c r="K4" s="300">
        <v>2854</v>
      </c>
      <c r="L4" s="300">
        <v>1411</v>
      </c>
      <c r="M4" s="300">
        <v>6767</v>
      </c>
      <c r="N4" s="300">
        <f>3708+450000</f>
        <v>453708</v>
      </c>
      <c r="O4" s="300">
        <v>3336</v>
      </c>
      <c r="P4" s="300">
        <v>13259</v>
      </c>
      <c r="Q4" s="300">
        <v>10670</v>
      </c>
      <c r="R4" s="300">
        <v>1220</v>
      </c>
      <c r="S4" s="300"/>
      <c r="T4" s="300"/>
      <c r="U4" s="300"/>
      <c r="V4" s="300"/>
      <c r="W4" s="301">
        <f t="shared" ref="W4:AT4" si="0">IF(W$2&gt;=$I4,$H4,0)</f>
        <v>15000</v>
      </c>
      <c r="X4" s="302">
        <f t="shared" si="0"/>
        <v>15000</v>
      </c>
      <c r="Y4" s="302">
        <f t="shared" si="0"/>
        <v>15000</v>
      </c>
      <c r="Z4" s="302">
        <f t="shared" si="0"/>
        <v>15000</v>
      </c>
      <c r="AA4" s="302">
        <f t="shared" si="0"/>
        <v>15000</v>
      </c>
      <c r="AB4" s="302">
        <f t="shared" si="0"/>
        <v>15000</v>
      </c>
      <c r="AC4" s="302">
        <f t="shared" si="0"/>
        <v>15000</v>
      </c>
      <c r="AD4" s="302">
        <f t="shared" si="0"/>
        <v>15000</v>
      </c>
      <c r="AE4" s="302">
        <f t="shared" si="0"/>
        <v>15000</v>
      </c>
      <c r="AF4" s="302">
        <f t="shared" si="0"/>
        <v>15000</v>
      </c>
      <c r="AG4" s="302">
        <f t="shared" si="0"/>
        <v>15000</v>
      </c>
      <c r="AH4" s="302">
        <f t="shared" si="0"/>
        <v>15000</v>
      </c>
      <c r="AI4" s="301">
        <f t="shared" si="0"/>
        <v>15000</v>
      </c>
      <c r="AJ4" s="302">
        <f t="shared" si="0"/>
        <v>15000</v>
      </c>
      <c r="AK4" s="302">
        <f t="shared" si="0"/>
        <v>15000</v>
      </c>
      <c r="AL4" s="302">
        <f t="shared" si="0"/>
        <v>15000</v>
      </c>
      <c r="AM4" s="302">
        <f t="shared" si="0"/>
        <v>15000</v>
      </c>
      <c r="AN4" s="302">
        <f t="shared" si="0"/>
        <v>15000</v>
      </c>
      <c r="AO4" s="302">
        <f t="shared" si="0"/>
        <v>15000</v>
      </c>
      <c r="AP4" s="302">
        <f t="shared" si="0"/>
        <v>15000</v>
      </c>
      <c r="AQ4" s="302">
        <f t="shared" si="0"/>
        <v>15000</v>
      </c>
      <c r="AR4" s="302">
        <f t="shared" si="0"/>
        <v>15000</v>
      </c>
      <c r="AS4" s="302">
        <f t="shared" si="0"/>
        <v>15000</v>
      </c>
      <c r="AT4" s="302">
        <f t="shared" si="0"/>
        <v>15000</v>
      </c>
    </row>
    <row r="5" spans="1:46" ht="14.25" customHeight="1" x14ac:dyDescent="0.25">
      <c r="A5" s="118">
        <v>2</v>
      </c>
      <c r="B5" s="303" t="s">
        <v>472</v>
      </c>
      <c r="C5" s="303" t="s">
        <v>473</v>
      </c>
      <c r="D5" s="303" t="s">
        <v>474</v>
      </c>
      <c r="E5" s="303" t="s">
        <v>470</v>
      </c>
      <c r="F5" s="303" t="s">
        <v>213</v>
      </c>
      <c r="G5" s="304">
        <v>250000</v>
      </c>
      <c r="H5" s="304">
        <f t="shared" ref="H5:H93" si="1">G5/12</f>
        <v>20833.333333333332</v>
      </c>
      <c r="I5" s="298">
        <v>45658</v>
      </c>
      <c r="J5" s="289"/>
      <c r="K5" s="305">
        <v>0</v>
      </c>
      <c r="L5" s="306">
        <v>0</v>
      </c>
      <c r="M5" s="306">
        <v>0</v>
      </c>
      <c r="N5" s="306">
        <v>0</v>
      </c>
      <c r="O5" s="306">
        <v>0</v>
      </c>
      <c r="P5" s="306">
        <v>0</v>
      </c>
      <c r="Q5" s="306">
        <v>0</v>
      </c>
      <c r="R5" s="306">
        <v>0</v>
      </c>
      <c r="S5" s="306">
        <v>0</v>
      </c>
      <c r="T5" s="306">
        <v>0</v>
      </c>
      <c r="U5" s="306">
        <v>0</v>
      </c>
      <c r="V5" s="306">
        <v>0</v>
      </c>
      <c r="W5" s="307">
        <f t="shared" ref="W5:AT5" si="2">IF(W$2&gt;=$I5,$H5,0)</f>
        <v>20833.333333333332</v>
      </c>
      <c r="X5" s="308">
        <f t="shared" si="2"/>
        <v>20833.333333333332</v>
      </c>
      <c r="Y5" s="308">
        <f t="shared" si="2"/>
        <v>20833.333333333332</v>
      </c>
      <c r="Z5" s="308">
        <f t="shared" si="2"/>
        <v>20833.333333333332</v>
      </c>
      <c r="AA5" s="308">
        <f t="shared" si="2"/>
        <v>20833.333333333332</v>
      </c>
      <c r="AB5" s="308">
        <f t="shared" si="2"/>
        <v>20833.333333333332</v>
      </c>
      <c r="AC5" s="308">
        <f t="shared" si="2"/>
        <v>20833.333333333332</v>
      </c>
      <c r="AD5" s="308">
        <f t="shared" si="2"/>
        <v>20833.333333333332</v>
      </c>
      <c r="AE5" s="308">
        <f t="shared" si="2"/>
        <v>20833.333333333332</v>
      </c>
      <c r="AF5" s="308">
        <f t="shared" si="2"/>
        <v>20833.333333333332</v>
      </c>
      <c r="AG5" s="308">
        <f t="shared" si="2"/>
        <v>20833.333333333332</v>
      </c>
      <c r="AH5" s="308">
        <f t="shared" si="2"/>
        <v>20833.333333333332</v>
      </c>
      <c r="AI5" s="307">
        <f t="shared" si="2"/>
        <v>20833.333333333332</v>
      </c>
      <c r="AJ5" s="308">
        <f t="shared" si="2"/>
        <v>20833.333333333332</v>
      </c>
      <c r="AK5" s="308">
        <f t="shared" si="2"/>
        <v>20833.333333333332</v>
      </c>
      <c r="AL5" s="308">
        <f t="shared" si="2"/>
        <v>20833.333333333332</v>
      </c>
      <c r="AM5" s="308">
        <f t="shared" si="2"/>
        <v>20833.333333333332</v>
      </c>
      <c r="AN5" s="308">
        <f t="shared" si="2"/>
        <v>20833.333333333332</v>
      </c>
      <c r="AO5" s="308">
        <f t="shared" si="2"/>
        <v>20833.333333333332</v>
      </c>
      <c r="AP5" s="308">
        <f t="shared" si="2"/>
        <v>20833.333333333332</v>
      </c>
      <c r="AQ5" s="308">
        <f t="shared" si="2"/>
        <v>20833.333333333332</v>
      </c>
      <c r="AR5" s="308">
        <f t="shared" si="2"/>
        <v>20833.333333333332</v>
      </c>
      <c r="AS5" s="308">
        <f t="shared" si="2"/>
        <v>20833.333333333332</v>
      </c>
      <c r="AT5" s="308">
        <f t="shared" si="2"/>
        <v>20833.333333333332</v>
      </c>
    </row>
    <row r="6" spans="1:46" ht="14.25" customHeight="1" x14ac:dyDescent="0.25">
      <c r="A6" s="118">
        <v>3</v>
      </c>
      <c r="B6" s="303" t="s">
        <v>475</v>
      </c>
      <c r="C6" s="303" t="s">
        <v>476</v>
      </c>
      <c r="D6" s="303" t="s">
        <v>477</v>
      </c>
      <c r="E6" s="303" t="s">
        <v>470</v>
      </c>
      <c r="F6" s="303" t="s">
        <v>213</v>
      </c>
      <c r="G6" s="304">
        <v>300000</v>
      </c>
      <c r="H6" s="304">
        <f t="shared" si="1"/>
        <v>25000</v>
      </c>
      <c r="I6" s="298">
        <v>45658</v>
      </c>
      <c r="J6" s="289"/>
      <c r="K6" s="305">
        <v>0</v>
      </c>
      <c r="L6" s="306">
        <v>0</v>
      </c>
      <c r="M6" s="306">
        <v>10000</v>
      </c>
      <c r="N6" s="306">
        <v>10000</v>
      </c>
      <c r="O6" s="306">
        <v>10000</v>
      </c>
      <c r="P6" s="306">
        <v>10000</v>
      </c>
      <c r="Q6" s="306">
        <v>10000</v>
      </c>
      <c r="R6" s="306">
        <v>10000</v>
      </c>
      <c r="S6" s="306">
        <v>10000</v>
      </c>
      <c r="T6" s="306">
        <v>10000</v>
      </c>
      <c r="U6" s="306">
        <v>10000</v>
      </c>
      <c r="V6" s="306">
        <v>10000</v>
      </c>
      <c r="W6" s="307">
        <f t="shared" ref="W6:AT6" si="3">IF(W$2&gt;=$I6,$H6,0)</f>
        <v>25000</v>
      </c>
      <c r="X6" s="308">
        <f t="shared" si="3"/>
        <v>25000</v>
      </c>
      <c r="Y6" s="308">
        <f t="shared" si="3"/>
        <v>25000</v>
      </c>
      <c r="Z6" s="308">
        <f t="shared" si="3"/>
        <v>25000</v>
      </c>
      <c r="AA6" s="308">
        <f t="shared" si="3"/>
        <v>25000</v>
      </c>
      <c r="AB6" s="308">
        <f t="shared" si="3"/>
        <v>25000</v>
      </c>
      <c r="AC6" s="308">
        <f t="shared" si="3"/>
        <v>25000</v>
      </c>
      <c r="AD6" s="308">
        <f t="shared" si="3"/>
        <v>25000</v>
      </c>
      <c r="AE6" s="308">
        <f t="shared" si="3"/>
        <v>25000</v>
      </c>
      <c r="AF6" s="308">
        <f t="shared" si="3"/>
        <v>25000</v>
      </c>
      <c r="AG6" s="308">
        <f t="shared" si="3"/>
        <v>25000</v>
      </c>
      <c r="AH6" s="308">
        <f t="shared" si="3"/>
        <v>25000</v>
      </c>
      <c r="AI6" s="307">
        <f t="shared" si="3"/>
        <v>25000</v>
      </c>
      <c r="AJ6" s="308">
        <f t="shared" si="3"/>
        <v>25000</v>
      </c>
      <c r="AK6" s="308">
        <f t="shared" si="3"/>
        <v>25000</v>
      </c>
      <c r="AL6" s="308">
        <f t="shared" si="3"/>
        <v>25000</v>
      </c>
      <c r="AM6" s="308">
        <f t="shared" si="3"/>
        <v>25000</v>
      </c>
      <c r="AN6" s="308">
        <f t="shared" si="3"/>
        <v>25000</v>
      </c>
      <c r="AO6" s="308">
        <f t="shared" si="3"/>
        <v>25000</v>
      </c>
      <c r="AP6" s="308">
        <f t="shared" si="3"/>
        <v>25000</v>
      </c>
      <c r="AQ6" s="308">
        <f t="shared" si="3"/>
        <v>25000</v>
      </c>
      <c r="AR6" s="308">
        <f t="shared" si="3"/>
        <v>25000</v>
      </c>
      <c r="AS6" s="308">
        <f t="shared" si="3"/>
        <v>25000</v>
      </c>
      <c r="AT6" s="308">
        <f t="shared" si="3"/>
        <v>25000</v>
      </c>
    </row>
    <row r="7" spans="1:46" ht="14.25" customHeight="1" x14ac:dyDescent="0.25">
      <c r="A7" s="118">
        <v>4</v>
      </c>
      <c r="B7" s="303" t="s">
        <v>478</v>
      </c>
      <c r="C7" s="303" t="s">
        <v>479</v>
      </c>
      <c r="D7" s="303" t="s">
        <v>480</v>
      </c>
      <c r="E7" s="303" t="s">
        <v>470</v>
      </c>
      <c r="F7" s="303" t="s">
        <v>213</v>
      </c>
      <c r="G7" s="304">
        <v>250000</v>
      </c>
      <c r="H7" s="304">
        <f t="shared" si="1"/>
        <v>20833.333333333332</v>
      </c>
      <c r="I7" s="309">
        <v>45658</v>
      </c>
      <c r="J7" s="289"/>
      <c r="K7" s="305">
        <v>12500</v>
      </c>
      <c r="L7" s="306">
        <v>12500</v>
      </c>
      <c r="M7" s="306">
        <v>12500</v>
      </c>
      <c r="N7" s="306">
        <v>12500</v>
      </c>
      <c r="O7" s="306">
        <v>12500</v>
      </c>
      <c r="P7" s="306">
        <v>12500</v>
      </c>
      <c r="Q7" s="306">
        <v>12500</v>
      </c>
      <c r="R7" s="306">
        <v>12500</v>
      </c>
      <c r="S7" s="306">
        <v>12500</v>
      </c>
      <c r="T7" s="306">
        <v>12500</v>
      </c>
      <c r="U7" s="306">
        <v>12500</v>
      </c>
      <c r="V7" s="306">
        <v>12500</v>
      </c>
      <c r="W7" s="307">
        <f t="shared" ref="W7:AT7" si="4">IF(W$2&gt;=$I7,$H7,0)</f>
        <v>20833.333333333332</v>
      </c>
      <c r="X7" s="308">
        <f t="shared" si="4"/>
        <v>20833.333333333332</v>
      </c>
      <c r="Y7" s="308">
        <f t="shared" si="4"/>
        <v>20833.333333333332</v>
      </c>
      <c r="Z7" s="308">
        <f t="shared" si="4"/>
        <v>20833.333333333332</v>
      </c>
      <c r="AA7" s="308">
        <f t="shared" si="4"/>
        <v>20833.333333333332</v>
      </c>
      <c r="AB7" s="308">
        <f t="shared" si="4"/>
        <v>20833.333333333332</v>
      </c>
      <c r="AC7" s="308">
        <f t="shared" si="4"/>
        <v>20833.333333333332</v>
      </c>
      <c r="AD7" s="308">
        <f t="shared" si="4"/>
        <v>20833.333333333332</v>
      </c>
      <c r="AE7" s="308">
        <f t="shared" si="4"/>
        <v>20833.333333333332</v>
      </c>
      <c r="AF7" s="308">
        <f t="shared" si="4"/>
        <v>20833.333333333332</v>
      </c>
      <c r="AG7" s="308">
        <f t="shared" si="4"/>
        <v>20833.333333333332</v>
      </c>
      <c r="AH7" s="308">
        <f t="shared" si="4"/>
        <v>20833.333333333332</v>
      </c>
      <c r="AI7" s="307">
        <f t="shared" si="4"/>
        <v>20833.333333333332</v>
      </c>
      <c r="AJ7" s="308">
        <f t="shared" si="4"/>
        <v>20833.333333333332</v>
      </c>
      <c r="AK7" s="308">
        <f t="shared" si="4"/>
        <v>20833.333333333332</v>
      </c>
      <c r="AL7" s="308">
        <f t="shared" si="4"/>
        <v>20833.333333333332</v>
      </c>
      <c r="AM7" s="308">
        <f t="shared" si="4"/>
        <v>20833.333333333332</v>
      </c>
      <c r="AN7" s="308">
        <f t="shared" si="4"/>
        <v>20833.333333333332</v>
      </c>
      <c r="AO7" s="308">
        <f t="shared" si="4"/>
        <v>20833.333333333332</v>
      </c>
      <c r="AP7" s="308">
        <f t="shared" si="4"/>
        <v>20833.333333333332</v>
      </c>
      <c r="AQ7" s="308">
        <f t="shared" si="4"/>
        <v>20833.333333333332</v>
      </c>
      <c r="AR7" s="308">
        <f t="shared" si="4"/>
        <v>20833.333333333332</v>
      </c>
      <c r="AS7" s="308">
        <f t="shared" si="4"/>
        <v>20833.333333333332</v>
      </c>
      <c r="AT7" s="308">
        <f t="shared" si="4"/>
        <v>20833.333333333332</v>
      </c>
    </row>
    <row r="8" spans="1:46" ht="14.25" customHeight="1" x14ac:dyDescent="0.25">
      <c r="A8" s="310"/>
      <c r="B8" s="311" t="s">
        <v>481</v>
      </c>
      <c r="C8" s="311"/>
      <c r="D8" s="311" t="s">
        <v>482</v>
      </c>
      <c r="E8" s="311" t="s">
        <v>470</v>
      </c>
      <c r="F8" s="311" t="s">
        <v>213</v>
      </c>
      <c r="G8" s="312">
        <v>300000</v>
      </c>
      <c r="H8" s="313">
        <f t="shared" si="1"/>
        <v>25000</v>
      </c>
      <c r="I8" s="314">
        <v>45962</v>
      </c>
      <c r="J8" s="315"/>
      <c r="K8" s="316"/>
      <c r="L8" s="317"/>
      <c r="M8" s="317"/>
      <c r="N8" s="317"/>
      <c r="O8" s="317"/>
      <c r="P8" s="317"/>
      <c r="Q8" s="317">
        <f t="shared" ref="Q8:T8" si="5">IF(Q$2&gt;=$I8,$H8,0)</f>
        <v>0</v>
      </c>
      <c r="R8" s="317">
        <f t="shared" si="5"/>
        <v>0</v>
      </c>
      <c r="S8" s="317">
        <f t="shared" si="5"/>
        <v>0</v>
      </c>
      <c r="T8" s="317">
        <f t="shared" si="5"/>
        <v>0</v>
      </c>
      <c r="U8" s="317"/>
      <c r="V8" s="317"/>
      <c r="W8" s="316">
        <f t="shared" ref="W8:AT8" si="6">IF(W$2&gt;=$I8,$H8,0)</f>
        <v>25000</v>
      </c>
      <c r="X8" s="317">
        <f t="shared" si="6"/>
        <v>25000</v>
      </c>
      <c r="Y8" s="317">
        <f t="shared" si="6"/>
        <v>25000</v>
      </c>
      <c r="Z8" s="317">
        <f t="shared" si="6"/>
        <v>25000</v>
      </c>
      <c r="AA8" s="317">
        <f t="shared" si="6"/>
        <v>25000</v>
      </c>
      <c r="AB8" s="317">
        <f t="shared" si="6"/>
        <v>25000</v>
      </c>
      <c r="AC8" s="317">
        <f t="shared" si="6"/>
        <v>25000</v>
      </c>
      <c r="AD8" s="317">
        <f t="shared" si="6"/>
        <v>25000</v>
      </c>
      <c r="AE8" s="317">
        <f t="shared" si="6"/>
        <v>25000</v>
      </c>
      <c r="AF8" s="317">
        <f t="shared" si="6"/>
        <v>25000</v>
      </c>
      <c r="AG8" s="317">
        <f t="shared" si="6"/>
        <v>25000</v>
      </c>
      <c r="AH8" s="317">
        <f t="shared" si="6"/>
        <v>25000</v>
      </c>
      <c r="AI8" s="316">
        <f t="shared" si="6"/>
        <v>25000</v>
      </c>
      <c r="AJ8" s="317">
        <f t="shared" si="6"/>
        <v>25000</v>
      </c>
      <c r="AK8" s="317">
        <f t="shared" si="6"/>
        <v>25000</v>
      </c>
      <c r="AL8" s="317">
        <f t="shared" si="6"/>
        <v>25000</v>
      </c>
      <c r="AM8" s="317">
        <f t="shared" si="6"/>
        <v>25000</v>
      </c>
      <c r="AN8" s="317">
        <f t="shared" si="6"/>
        <v>25000</v>
      </c>
      <c r="AO8" s="317">
        <f t="shared" si="6"/>
        <v>25000</v>
      </c>
      <c r="AP8" s="317">
        <f t="shared" si="6"/>
        <v>25000</v>
      </c>
      <c r="AQ8" s="317">
        <f t="shared" si="6"/>
        <v>25000</v>
      </c>
      <c r="AR8" s="317">
        <f t="shared" si="6"/>
        <v>25000</v>
      </c>
      <c r="AS8" s="317">
        <f t="shared" si="6"/>
        <v>25000</v>
      </c>
      <c r="AT8" s="317">
        <f t="shared" si="6"/>
        <v>25000</v>
      </c>
    </row>
    <row r="9" spans="1:46" ht="14.25" customHeight="1" x14ac:dyDescent="0.25">
      <c r="A9" s="310"/>
      <c r="B9" s="318" t="s">
        <v>481</v>
      </c>
      <c r="C9" s="318"/>
      <c r="D9" s="318" t="s">
        <v>483</v>
      </c>
      <c r="E9" s="311" t="s">
        <v>470</v>
      </c>
      <c r="F9" s="311" t="s">
        <v>213</v>
      </c>
      <c r="G9" s="312">
        <v>300000</v>
      </c>
      <c r="H9" s="313">
        <f t="shared" si="1"/>
        <v>25000</v>
      </c>
      <c r="I9" s="314">
        <v>45962</v>
      </c>
      <c r="J9" s="315"/>
      <c r="K9" s="316"/>
      <c r="L9" s="317"/>
      <c r="M9" s="317"/>
      <c r="N9" s="317"/>
      <c r="O9" s="317"/>
      <c r="P9" s="317"/>
      <c r="Q9" s="317">
        <f t="shared" ref="Q9:T9" si="7">IF(Q$2&gt;=$I9,$H9,0)</f>
        <v>0</v>
      </c>
      <c r="R9" s="317">
        <f t="shared" si="7"/>
        <v>0</v>
      </c>
      <c r="S9" s="317">
        <f t="shared" si="7"/>
        <v>0</v>
      </c>
      <c r="T9" s="317">
        <f t="shared" si="7"/>
        <v>0</v>
      </c>
      <c r="U9" s="317"/>
      <c r="V9" s="317"/>
      <c r="W9" s="316">
        <f t="shared" ref="W9:AT9" si="8">IF(W$2&gt;=$I9,$H9,0)</f>
        <v>25000</v>
      </c>
      <c r="X9" s="317">
        <f t="shared" si="8"/>
        <v>25000</v>
      </c>
      <c r="Y9" s="317">
        <f t="shared" si="8"/>
        <v>25000</v>
      </c>
      <c r="Z9" s="317">
        <f t="shared" si="8"/>
        <v>25000</v>
      </c>
      <c r="AA9" s="317">
        <f t="shared" si="8"/>
        <v>25000</v>
      </c>
      <c r="AB9" s="317">
        <f t="shared" si="8"/>
        <v>25000</v>
      </c>
      <c r="AC9" s="317">
        <f t="shared" si="8"/>
        <v>25000</v>
      </c>
      <c r="AD9" s="317">
        <f t="shared" si="8"/>
        <v>25000</v>
      </c>
      <c r="AE9" s="317">
        <f t="shared" si="8"/>
        <v>25000</v>
      </c>
      <c r="AF9" s="317">
        <f t="shared" si="8"/>
        <v>25000</v>
      </c>
      <c r="AG9" s="317">
        <f t="shared" si="8"/>
        <v>25000</v>
      </c>
      <c r="AH9" s="317">
        <f t="shared" si="8"/>
        <v>25000</v>
      </c>
      <c r="AI9" s="316">
        <f t="shared" si="8"/>
        <v>25000</v>
      </c>
      <c r="AJ9" s="317">
        <f t="shared" si="8"/>
        <v>25000</v>
      </c>
      <c r="AK9" s="317">
        <f t="shared" si="8"/>
        <v>25000</v>
      </c>
      <c r="AL9" s="317">
        <f t="shared" si="8"/>
        <v>25000</v>
      </c>
      <c r="AM9" s="317">
        <f t="shared" si="8"/>
        <v>25000</v>
      </c>
      <c r="AN9" s="317">
        <f t="shared" si="8"/>
        <v>25000</v>
      </c>
      <c r="AO9" s="317">
        <f t="shared" si="8"/>
        <v>25000</v>
      </c>
      <c r="AP9" s="317">
        <f t="shared" si="8"/>
        <v>25000</v>
      </c>
      <c r="AQ9" s="317">
        <f t="shared" si="8"/>
        <v>25000</v>
      </c>
      <c r="AR9" s="317">
        <f t="shared" si="8"/>
        <v>25000</v>
      </c>
      <c r="AS9" s="317">
        <f t="shared" si="8"/>
        <v>25000</v>
      </c>
      <c r="AT9" s="317">
        <f t="shared" si="8"/>
        <v>25000</v>
      </c>
    </row>
    <row r="10" spans="1:46" ht="14.25" customHeight="1" x14ac:dyDescent="0.25">
      <c r="A10" s="118">
        <v>5</v>
      </c>
      <c r="B10" s="319" t="s">
        <v>484</v>
      </c>
      <c r="C10" s="319" t="s">
        <v>485</v>
      </c>
      <c r="D10" s="319" t="s">
        <v>486</v>
      </c>
      <c r="E10" s="303" t="s">
        <v>216</v>
      </c>
      <c r="F10" s="303" t="s">
        <v>216</v>
      </c>
      <c r="G10" s="304">
        <v>200000</v>
      </c>
      <c r="H10" s="304">
        <f t="shared" si="1"/>
        <v>16666.666666666668</v>
      </c>
      <c r="I10" s="309">
        <v>45139</v>
      </c>
      <c r="J10" s="289"/>
      <c r="K10" s="305">
        <v>16666.666666666668</v>
      </c>
      <c r="L10" s="306">
        <v>16666.666666666668</v>
      </c>
      <c r="M10" s="306">
        <v>16666.666666666668</v>
      </c>
      <c r="N10" s="306">
        <v>16666.666666666668</v>
      </c>
      <c r="O10" s="306">
        <v>16666.666666666668</v>
      </c>
      <c r="P10" s="306">
        <v>16666.666666666668</v>
      </c>
      <c r="Q10" s="306">
        <v>16666.666666666668</v>
      </c>
      <c r="R10" s="306">
        <v>16666.666666666668</v>
      </c>
      <c r="S10" s="306">
        <v>16666.666666666668</v>
      </c>
      <c r="T10" s="306">
        <v>16666.666666666668</v>
      </c>
      <c r="U10" s="306">
        <v>16666.666666666668</v>
      </c>
      <c r="V10" s="306">
        <v>16666.666666666668</v>
      </c>
      <c r="W10" s="307">
        <f t="shared" ref="W10:AT10" si="9">IF(W$2&gt;=$I10,$H10,0)</f>
        <v>16666.666666666668</v>
      </c>
      <c r="X10" s="308">
        <f t="shared" si="9"/>
        <v>16666.666666666668</v>
      </c>
      <c r="Y10" s="308">
        <f t="shared" si="9"/>
        <v>16666.666666666668</v>
      </c>
      <c r="Z10" s="308">
        <f t="shared" si="9"/>
        <v>16666.666666666668</v>
      </c>
      <c r="AA10" s="308">
        <f t="shared" si="9"/>
        <v>16666.666666666668</v>
      </c>
      <c r="AB10" s="308">
        <f t="shared" si="9"/>
        <v>16666.666666666668</v>
      </c>
      <c r="AC10" s="308">
        <f t="shared" si="9"/>
        <v>16666.666666666668</v>
      </c>
      <c r="AD10" s="308">
        <f t="shared" si="9"/>
        <v>16666.666666666668</v>
      </c>
      <c r="AE10" s="308">
        <f t="shared" si="9"/>
        <v>16666.666666666668</v>
      </c>
      <c r="AF10" s="308">
        <f t="shared" si="9"/>
        <v>16666.666666666668</v>
      </c>
      <c r="AG10" s="308">
        <f t="shared" si="9"/>
        <v>16666.666666666668</v>
      </c>
      <c r="AH10" s="308">
        <f t="shared" si="9"/>
        <v>16666.666666666668</v>
      </c>
      <c r="AI10" s="307">
        <f t="shared" si="9"/>
        <v>16666.666666666668</v>
      </c>
      <c r="AJ10" s="308">
        <f t="shared" si="9"/>
        <v>16666.666666666668</v>
      </c>
      <c r="AK10" s="308">
        <f t="shared" si="9"/>
        <v>16666.666666666668</v>
      </c>
      <c r="AL10" s="308">
        <f t="shared" si="9"/>
        <v>16666.666666666668</v>
      </c>
      <c r="AM10" s="308">
        <f t="shared" si="9"/>
        <v>16666.666666666668</v>
      </c>
      <c r="AN10" s="308">
        <f t="shared" si="9"/>
        <v>16666.666666666668</v>
      </c>
      <c r="AO10" s="308">
        <f t="shared" si="9"/>
        <v>16666.666666666668</v>
      </c>
      <c r="AP10" s="308">
        <f t="shared" si="9"/>
        <v>16666.666666666668</v>
      </c>
      <c r="AQ10" s="308">
        <f t="shared" si="9"/>
        <v>16666.666666666668</v>
      </c>
      <c r="AR10" s="308">
        <f t="shared" si="9"/>
        <v>16666.666666666668</v>
      </c>
      <c r="AS10" s="308">
        <f t="shared" si="9"/>
        <v>16666.666666666668</v>
      </c>
      <c r="AT10" s="308">
        <f t="shared" si="9"/>
        <v>16666.666666666668</v>
      </c>
    </row>
    <row r="11" spans="1:46" ht="14.25" customHeight="1" x14ac:dyDescent="0.25">
      <c r="A11" s="118">
        <v>6</v>
      </c>
      <c r="B11" s="303" t="s">
        <v>487</v>
      </c>
      <c r="C11" s="303" t="s">
        <v>488</v>
      </c>
      <c r="D11" s="303" t="s">
        <v>489</v>
      </c>
      <c r="E11" s="303" t="s">
        <v>490</v>
      </c>
      <c r="F11" s="303" t="s">
        <v>213</v>
      </c>
      <c r="G11" s="304">
        <v>125000</v>
      </c>
      <c r="H11" s="304">
        <f t="shared" si="1"/>
        <v>10416.666666666666</v>
      </c>
      <c r="I11" s="309">
        <v>45627</v>
      </c>
      <c r="J11" s="289"/>
      <c r="K11" s="305">
        <v>7916.666666666667</v>
      </c>
      <c r="L11" s="306">
        <v>7916.666666666667</v>
      </c>
      <c r="M11" s="306">
        <v>7916.666666666667</v>
      </c>
      <c r="N11" s="306">
        <v>7916.666666666667</v>
      </c>
      <c r="O11" s="306">
        <v>7916.666666666667</v>
      </c>
      <c r="P11" s="306">
        <v>7916.666666666667</v>
      </c>
      <c r="Q11" s="306">
        <v>7916.666666666667</v>
      </c>
      <c r="R11" s="306">
        <v>7916.666666666667</v>
      </c>
      <c r="S11" s="306">
        <v>7916.666666666667</v>
      </c>
      <c r="T11" s="306">
        <v>7916.666666666667</v>
      </c>
      <c r="U11" s="306">
        <v>7916.666666666667</v>
      </c>
      <c r="V11" s="306">
        <v>7916.666666666667</v>
      </c>
      <c r="W11" s="307">
        <f t="shared" ref="W11:AT11" si="10">IF(W$2&gt;=$I11,$H11,0)</f>
        <v>10416.666666666666</v>
      </c>
      <c r="X11" s="308">
        <f t="shared" si="10"/>
        <v>10416.666666666666</v>
      </c>
      <c r="Y11" s="308">
        <f t="shared" si="10"/>
        <v>10416.666666666666</v>
      </c>
      <c r="Z11" s="308">
        <f t="shared" si="10"/>
        <v>10416.666666666666</v>
      </c>
      <c r="AA11" s="308">
        <f t="shared" si="10"/>
        <v>10416.666666666666</v>
      </c>
      <c r="AB11" s="308">
        <f t="shared" si="10"/>
        <v>10416.666666666666</v>
      </c>
      <c r="AC11" s="308">
        <f t="shared" si="10"/>
        <v>10416.666666666666</v>
      </c>
      <c r="AD11" s="308">
        <f t="shared" si="10"/>
        <v>10416.666666666666</v>
      </c>
      <c r="AE11" s="308">
        <f t="shared" si="10"/>
        <v>10416.666666666666</v>
      </c>
      <c r="AF11" s="308">
        <f t="shared" si="10"/>
        <v>10416.666666666666</v>
      </c>
      <c r="AG11" s="308">
        <f t="shared" si="10"/>
        <v>10416.666666666666</v>
      </c>
      <c r="AH11" s="308">
        <f t="shared" si="10"/>
        <v>10416.666666666666</v>
      </c>
      <c r="AI11" s="307">
        <f t="shared" si="10"/>
        <v>10416.666666666666</v>
      </c>
      <c r="AJ11" s="308">
        <f t="shared" si="10"/>
        <v>10416.666666666666</v>
      </c>
      <c r="AK11" s="308">
        <f t="shared" si="10"/>
        <v>10416.666666666666</v>
      </c>
      <c r="AL11" s="308">
        <f t="shared" si="10"/>
        <v>10416.666666666666</v>
      </c>
      <c r="AM11" s="308">
        <f t="shared" si="10"/>
        <v>10416.666666666666</v>
      </c>
      <c r="AN11" s="308">
        <f t="shared" si="10"/>
        <v>10416.666666666666</v>
      </c>
      <c r="AO11" s="308">
        <f t="shared" si="10"/>
        <v>10416.666666666666</v>
      </c>
      <c r="AP11" s="308">
        <f t="shared" si="10"/>
        <v>10416.666666666666</v>
      </c>
      <c r="AQ11" s="308">
        <f t="shared" si="10"/>
        <v>10416.666666666666</v>
      </c>
      <c r="AR11" s="308">
        <f t="shared" si="10"/>
        <v>10416.666666666666</v>
      </c>
      <c r="AS11" s="308">
        <f t="shared" si="10"/>
        <v>10416.666666666666</v>
      </c>
      <c r="AT11" s="308">
        <f t="shared" si="10"/>
        <v>10416.666666666666</v>
      </c>
    </row>
    <row r="12" spans="1:46" ht="14.25" customHeight="1" x14ac:dyDescent="0.25">
      <c r="A12" s="118">
        <v>7</v>
      </c>
      <c r="B12" s="303" t="s">
        <v>491</v>
      </c>
      <c r="C12" s="303" t="s">
        <v>492</v>
      </c>
      <c r="D12" s="303" t="s">
        <v>493</v>
      </c>
      <c r="E12" s="303" t="s">
        <v>494</v>
      </c>
      <c r="F12" s="303" t="s">
        <v>213</v>
      </c>
      <c r="G12" s="304">
        <v>135000</v>
      </c>
      <c r="H12" s="304">
        <f t="shared" si="1"/>
        <v>11250</v>
      </c>
      <c r="I12" s="309">
        <v>45741</v>
      </c>
      <c r="J12" s="118"/>
      <c r="K12" s="305">
        <v>0</v>
      </c>
      <c r="L12" s="306">
        <v>0</v>
      </c>
      <c r="M12" s="306">
        <v>0</v>
      </c>
      <c r="N12" s="306">
        <v>11250</v>
      </c>
      <c r="O12" s="306">
        <v>11250</v>
      </c>
      <c r="P12" s="306">
        <v>11250</v>
      </c>
      <c r="Q12" s="306">
        <v>11250</v>
      </c>
      <c r="R12" s="306">
        <v>11250</v>
      </c>
      <c r="S12" s="306">
        <v>11250</v>
      </c>
      <c r="T12" s="306">
        <v>11250</v>
      </c>
      <c r="U12" s="306">
        <v>11250</v>
      </c>
      <c r="V12" s="306">
        <v>11250</v>
      </c>
      <c r="W12" s="307">
        <f t="shared" ref="W12:AT12" si="11">IF(W$2&gt;=$I12,$H12,0)</f>
        <v>11250</v>
      </c>
      <c r="X12" s="308">
        <f t="shared" si="11"/>
        <v>11250</v>
      </c>
      <c r="Y12" s="308">
        <f t="shared" si="11"/>
        <v>11250</v>
      </c>
      <c r="Z12" s="308">
        <f t="shared" si="11"/>
        <v>11250</v>
      </c>
      <c r="AA12" s="308">
        <f t="shared" si="11"/>
        <v>11250</v>
      </c>
      <c r="AB12" s="308">
        <f t="shared" si="11"/>
        <v>11250</v>
      </c>
      <c r="AC12" s="308">
        <f t="shared" si="11"/>
        <v>11250</v>
      </c>
      <c r="AD12" s="308">
        <f t="shared" si="11"/>
        <v>11250</v>
      </c>
      <c r="AE12" s="308">
        <f t="shared" si="11"/>
        <v>11250</v>
      </c>
      <c r="AF12" s="308">
        <f t="shared" si="11"/>
        <v>11250</v>
      </c>
      <c r="AG12" s="308">
        <f t="shared" si="11"/>
        <v>11250</v>
      </c>
      <c r="AH12" s="308">
        <f t="shared" si="11"/>
        <v>11250</v>
      </c>
      <c r="AI12" s="307">
        <f t="shared" si="11"/>
        <v>11250</v>
      </c>
      <c r="AJ12" s="308">
        <f t="shared" si="11"/>
        <v>11250</v>
      </c>
      <c r="AK12" s="308">
        <f t="shared" si="11"/>
        <v>11250</v>
      </c>
      <c r="AL12" s="308">
        <f t="shared" si="11"/>
        <v>11250</v>
      </c>
      <c r="AM12" s="308">
        <f t="shared" si="11"/>
        <v>11250</v>
      </c>
      <c r="AN12" s="308">
        <f t="shared" si="11"/>
        <v>11250</v>
      </c>
      <c r="AO12" s="308">
        <f t="shared" si="11"/>
        <v>11250</v>
      </c>
      <c r="AP12" s="308">
        <f t="shared" si="11"/>
        <v>11250</v>
      </c>
      <c r="AQ12" s="308">
        <f t="shared" si="11"/>
        <v>11250</v>
      </c>
      <c r="AR12" s="308">
        <f t="shared" si="11"/>
        <v>11250</v>
      </c>
      <c r="AS12" s="308">
        <f t="shared" si="11"/>
        <v>11250</v>
      </c>
      <c r="AT12" s="308">
        <f t="shared" si="11"/>
        <v>11250</v>
      </c>
    </row>
    <row r="13" spans="1:46" ht="14.25" customHeight="1" x14ac:dyDescent="0.25">
      <c r="A13" s="118">
        <v>8</v>
      </c>
      <c r="B13" s="319" t="s">
        <v>495</v>
      </c>
      <c r="C13" s="319" t="s">
        <v>496</v>
      </c>
      <c r="D13" s="319" t="s">
        <v>497</v>
      </c>
      <c r="E13" s="303" t="s">
        <v>498</v>
      </c>
      <c r="F13" s="303" t="s">
        <v>213</v>
      </c>
      <c r="G13" s="304">
        <v>44000</v>
      </c>
      <c r="H13" s="304">
        <f t="shared" si="1"/>
        <v>3666.6666666666665</v>
      </c>
      <c r="I13" s="309">
        <v>45931</v>
      </c>
      <c r="J13" s="118"/>
      <c r="K13" s="305">
        <v>0</v>
      </c>
      <c r="L13" s="306">
        <v>0</v>
      </c>
      <c r="M13" s="306">
        <v>0</v>
      </c>
      <c r="N13" s="306">
        <v>0</v>
      </c>
      <c r="O13" s="306">
        <v>0</v>
      </c>
      <c r="P13" s="306">
        <v>0</v>
      </c>
      <c r="Q13" s="306">
        <v>0</v>
      </c>
      <c r="R13" s="306">
        <v>0</v>
      </c>
      <c r="S13" s="306">
        <v>0</v>
      </c>
      <c r="T13" s="306">
        <v>3666.6666666666665</v>
      </c>
      <c r="U13" s="306">
        <v>3666.6666666666665</v>
      </c>
      <c r="V13" s="306">
        <v>3666.6666666666665</v>
      </c>
      <c r="W13" s="307">
        <f t="shared" ref="W13:AT13" si="12">IF(W$2&gt;=$I13,$H13,0)</f>
        <v>3666.6666666666665</v>
      </c>
      <c r="X13" s="308">
        <f t="shared" si="12"/>
        <v>3666.6666666666665</v>
      </c>
      <c r="Y13" s="308">
        <f t="shared" si="12"/>
        <v>3666.6666666666665</v>
      </c>
      <c r="Z13" s="308">
        <f t="shared" si="12"/>
        <v>3666.6666666666665</v>
      </c>
      <c r="AA13" s="308">
        <f t="shared" si="12"/>
        <v>3666.6666666666665</v>
      </c>
      <c r="AB13" s="308">
        <f t="shared" si="12"/>
        <v>3666.6666666666665</v>
      </c>
      <c r="AC13" s="308">
        <f t="shared" si="12"/>
        <v>3666.6666666666665</v>
      </c>
      <c r="AD13" s="308">
        <f t="shared" si="12"/>
        <v>3666.6666666666665</v>
      </c>
      <c r="AE13" s="308">
        <f t="shared" si="12"/>
        <v>3666.6666666666665</v>
      </c>
      <c r="AF13" s="308">
        <f t="shared" si="12"/>
        <v>3666.6666666666665</v>
      </c>
      <c r="AG13" s="308">
        <f t="shared" si="12"/>
        <v>3666.6666666666665</v>
      </c>
      <c r="AH13" s="308">
        <f t="shared" si="12"/>
        <v>3666.6666666666665</v>
      </c>
      <c r="AI13" s="307">
        <f t="shared" si="12"/>
        <v>3666.6666666666665</v>
      </c>
      <c r="AJ13" s="308">
        <f t="shared" si="12"/>
        <v>3666.6666666666665</v>
      </c>
      <c r="AK13" s="308">
        <f t="shared" si="12"/>
        <v>3666.6666666666665</v>
      </c>
      <c r="AL13" s="308">
        <f t="shared" si="12"/>
        <v>3666.6666666666665</v>
      </c>
      <c r="AM13" s="308">
        <f t="shared" si="12"/>
        <v>3666.6666666666665</v>
      </c>
      <c r="AN13" s="308">
        <f t="shared" si="12"/>
        <v>3666.6666666666665</v>
      </c>
      <c r="AO13" s="308">
        <f t="shared" si="12"/>
        <v>3666.6666666666665</v>
      </c>
      <c r="AP13" s="308">
        <f t="shared" si="12"/>
        <v>3666.6666666666665</v>
      </c>
      <c r="AQ13" s="308">
        <f t="shared" si="12"/>
        <v>3666.6666666666665</v>
      </c>
      <c r="AR13" s="308">
        <f t="shared" si="12"/>
        <v>3666.6666666666665</v>
      </c>
      <c r="AS13" s="308">
        <f t="shared" si="12"/>
        <v>3666.6666666666665</v>
      </c>
      <c r="AT13" s="308">
        <f t="shared" si="12"/>
        <v>3666.6666666666665</v>
      </c>
    </row>
    <row r="14" spans="1:46" ht="14.25" customHeight="1" x14ac:dyDescent="0.25">
      <c r="A14" s="118">
        <v>9</v>
      </c>
      <c r="B14" s="303" t="s">
        <v>499</v>
      </c>
      <c r="C14" s="303" t="s">
        <v>500</v>
      </c>
      <c r="D14" s="303" t="s">
        <v>501</v>
      </c>
      <c r="E14" s="303" t="s">
        <v>214</v>
      </c>
      <c r="F14" s="303" t="s">
        <v>214</v>
      </c>
      <c r="G14" s="304">
        <v>70000</v>
      </c>
      <c r="H14" s="304">
        <f t="shared" si="1"/>
        <v>5833.333333333333</v>
      </c>
      <c r="I14" s="309">
        <v>45444</v>
      </c>
      <c r="J14" s="118"/>
      <c r="K14" s="305">
        <v>5833.333333333333</v>
      </c>
      <c r="L14" s="306">
        <v>5833.333333333333</v>
      </c>
      <c r="M14" s="306">
        <v>5833.333333333333</v>
      </c>
      <c r="N14" s="306">
        <v>5833.333333333333</v>
      </c>
      <c r="O14" s="306">
        <v>5833.333333333333</v>
      </c>
      <c r="P14" s="306">
        <v>5833.333333333333</v>
      </c>
      <c r="Q14" s="306">
        <v>5833.333333333333</v>
      </c>
      <c r="R14" s="306">
        <v>5833.333333333333</v>
      </c>
      <c r="S14" s="306">
        <v>5833.333333333333</v>
      </c>
      <c r="T14" s="306">
        <v>5833.333333333333</v>
      </c>
      <c r="U14" s="306">
        <v>5833.333333333333</v>
      </c>
      <c r="V14" s="306">
        <v>5833.333333333333</v>
      </c>
      <c r="W14" s="307">
        <f t="shared" ref="W14:AT14" si="13">IF(W$2&gt;=$I14,$H14,0)</f>
        <v>5833.333333333333</v>
      </c>
      <c r="X14" s="308">
        <f t="shared" si="13"/>
        <v>5833.333333333333</v>
      </c>
      <c r="Y14" s="308">
        <f t="shared" si="13"/>
        <v>5833.333333333333</v>
      </c>
      <c r="Z14" s="308">
        <f t="shared" si="13"/>
        <v>5833.333333333333</v>
      </c>
      <c r="AA14" s="308">
        <f t="shared" si="13"/>
        <v>5833.333333333333</v>
      </c>
      <c r="AB14" s="308">
        <f t="shared" si="13"/>
        <v>5833.333333333333</v>
      </c>
      <c r="AC14" s="308">
        <f t="shared" si="13"/>
        <v>5833.333333333333</v>
      </c>
      <c r="AD14" s="308">
        <f t="shared" si="13"/>
        <v>5833.333333333333</v>
      </c>
      <c r="AE14" s="308">
        <f t="shared" si="13"/>
        <v>5833.333333333333</v>
      </c>
      <c r="AF14" s="308">
        <f t="shared" si="13"/>
        <v>5833.333333333333</v>
      </c>
      <c r="AG14" s="308">
        <f t="shared" si="13"/>
        <v>5833.333333333333</v>
      </c>
      <c r="AH14" s="308">
        <f t="shared" si="13"/>
        <v>5833.333333333333</v>
      </c>
      <c r="AI14" s="307">
        <f t="shared" si="13"/>
        <v>5833.333333333333</v>
      </c>
      <c r="AJ14" s="308">
        <f t="shared" si="13"/>
        <v>5833.333333333333</v>
      </c>
      <c r="AK14" s="308">
        <f t="shared" si="13"/>
        <v>5833.333333333333</v>
      </c>
      <c r="AL14" s="308">
        <f t="shared" si="13"/>
        <v>5833.333333333333</v>
      </c>
      <c r="AM14" s="308">
        <f t="shared" si="13"/>
        <v>5833.333333333333</v>
      </c>
      <c r="AN14" s="308">
        <f t="shared" si="13"/>
        <v>5833.333333333333</v>
      </c>
      <c r="AO14" s="308">
        <f t="shared" si="13"/>
        <v>5833.333333333333</v>
      </c>
      <c r="AP14" s="308">
        <f t="shared" si="13"/>
        <v>5833.333333333333</v>
      </c>
      <c r="AQ14" s="308">
        <f t="shared" si="13"/>
        <v>5833.333333333333</v>
      </c>
      <c r="AR14" s="308">
        <f t="shared" si="13"/>
        <v>5833.333333333333</v>
      </c>
      <c r="AS14" s="308">
        <f t="shared" si="13"/>
        <v>5833.333333333333</v>
      </c>
      <c r="AT14" s="308">
        <f t="shared" si="13"/>
        <v>5833.333333333333</v>
      </c>
    </row>
    <row r="15" spans="1:46" ht="14.25" customHeight="1" x14ac:dyDescent="0.25">
      <c r="A15" s="118">
        <v>10</v>
      </c>
      <c r="B15" s="303" t="s">
        <v>502</v>
      </c>
      <c r="C15" s="303" t="s">
        <v>503</v>
      </c>
      <c r="D15" s="303" t="s">
        <v>501</v>
      </c>
      <c r="E15" s="303" t="s">
        <v>214</v>
      </c>
      <c r="F15" s="303" t="s">
        <v>214</v>
      </c>
      <c r="G15" s="304">
        <v>82500</v>
      </c>
      <c r="H15" s="304">
        <f t="shared" si="1"/>
        <v>6875</v>
      </c>
      <c r="I15" s="309">
        <v>45335</v>
      </c>
      <c r="J15" s="118"/>
      <c r="K15" s="305">
        <v>6875</v>
      </c>
      <c r="L15" s="306">
        <v>6875</v>
      </c>
      <c r="M15" s="306">
        <v>6875</v>
      </c>
      <c r="N15" s="306">
        <v>6875</v>
      </c>
      <c r="O15" s="306">
        <v>6875</v>
      </c>
      <c r="P15" s="306">
        <v>6875</v>
      </c>
      <c r="Q15" s="306">
        <v>6875</v>
      </c>
      <c r="R15" s="306">
        <v>6875</v>
      </c>
      <c r="S15" s="306">
        <v>6875</v>
      </c>
      <c r="T15" s="306">
        <v>6875</v>
      </c>
      <c r="U15" s="306">
        <v>6875</v>
      </c>
      <c r="V15" s="306">
        <v>6875</v>
      </c>
      <c r="W15" s="307">
        <f t="shared" ref="W15:AT15" si="14">IF(W$2&gt;=$I15,$H15,0)</f>
        <v>6875</v>
      </c>
      <c r="X15" s="308">
        <f t="shared" si="14"/>
        <v>6875</v>
      </c>
      <c r="Y15" s="308">
        <f t="shared" si="14"/>
        <v>6875</v>
      </c>
      <c r="Z15" s="308">
        <f t="shared" si="14"/>
        <v>6875</v>
      </c>
      <c r="AA15" s="308">
        <f t="shared" si="14"/>
        <v>6875</v>
      </c>
      <c r="AB15" s="308">
        <f t="shared" si="14"/>
        <v>6875</v>
      </c>
      <c r="AC15" s="308">
        <f t="shared" si="14"/>
        <v>6875</v>
      </c>
      <c r="AD15" s="308">
        <f t="shared" si="14"/>
        <v>6875</v>
      </c>
      <c r="AE15" s="308">
        <f t="shared" si="14"/>
        <v>6875</v>
      </c>
      <c r="AF15" s="308">
        <f t="shared" si="14"/>
        <v>6875</v>
      </c>
      <c r="AG15" s="308">
        <f t="shared" si="14"/>
        <v>6875</v>
      </c>
      <c r="AH15" s="308">
        <f t="shared" si="14"/>
        <v>6875</v>
      </c>
      <c r="AI15" s="307">
        <f t="shared" si="14"/>
        <v>6875</v>
      </c>
      <c r="AJ15" s="308">
        <f t="shared" si="14"/>
        <v>6875</v>
      </c>
      <c r="AK15" s="308">
        <f t="shared" si="14"/>
        <v>6875</v>
      </c>
      <c r="AL15" s="308">
        <f t="shared" si="14"/>
        <v>6875</v>
      </c>
      <c r="AM15" s="308">
        <f t="shared" si="14"/>
        <v>6875</v>
      </c>
      <c r="AN15" s="308">
        <f t="shared" si="14"/>
        <v>6875</v>
      </c>
      <c r="AO15" s="308">
        <f t="shared" si="14"/>
        <v>6875</v>
      </c>
      <c r="AP15" s="308">
        <f t="shared" si="14"/>
        <v>6875</v>
      </c>
      <c r="AQ15" s="308">
        <f t="shared" si="14"/>
        <v>6875</v>
      </c>
      <c r="AR15" s="308">
        <f t="shared" si="14"/>
        <v>6875</v>
      </c>
      <c r="AS15" s="308">
        <f t="shared" si="14"/>
        <v>6875</v>
      </c>
      <c r="AT15" s="308">
        <f t="shared" si="14"/>
        <v>6875</v>
      </c>
    </row>
    <row r="16" spans="1:46" ht="14.25" customHeight="1" x14ac:dyDescent="0.25">
      <c r="A16" s="118">
        <v>11</v>
      </c>
      <c r="B16" s="303" t="s">
        <v>504</v>
      </c>
      <c r="C16" s="303" t="s">
        <v>505</v>
      </c>
      <c r="D16" s="303" t="s">
        <v>506</v>
      </c>
      <c r="E16" s="303" t="s">
        <v>214</v>
      </c>
      <c r="F16" s="303" t="s">
        <v>217</v>
      </c>
      <c r="G16" s="304">
        <v>57000</v>
      </c>
      <c r="H16" s="304">
        <f t="shared" si="1"/>
        <v>4750</v>
      </c>
      <c r="I16" s="309">
        <v>45839</v>
      </c>
      <c r="J16" s="118"/>
      <c r="K16" s="305">
        <v>0</v>
      </c>
      <c r="L16" s="306">
        <v>0</v>
      </c>
      <c r="M16" s="306">
        <v>0</v>
      </c>
      <c r="N16" s="306">
        <v>0</v>
      </c>
      <c r="O16" s="306">
        <v>0</v>
      </c>
      <c r="P16" s="306">
        <v>0</v>
      </c>
      <c r="Q16" s="306">
        <v>4750</v>
      </c>
      <c r="R16" s="306">
        <v>4750</v>
      </c>
      <c r="S16" s="306">
        <v>4750</v>
      </c>
      <c r="T16" s="306">
        <v>4750</v>
      </c>
      <c r="U16" s="306">
        <v>4750</v>
      </c>
      <c r="V16" s="306">
        <v>4750</v>
      </c>
      <c r="W16" s="307">
        <f t="shared" ref="W16:AT16" si="15">IF(W$2&gt;=$I16,$H16,0)</f>
        <v>4750</v>
      </c>
      <c r="X16" s="308">
        <f t="shared" si="15"/>
        <v>4750</v>
      </c>
      <c r="Y16" s="308">
        <f t="shared" si="15"/>
        <v>4750</v>
      </c>
      <c r="Z16" s="308">
        <f t="shared" si="15"/>
        <v>4750</v>
      </c>
      <c r="AA16" s="308">
        <f t="shared" si="15"/>
        <v>4750</v>
      </c>
      <c r="AB16" s="308">
        <f t="shared" si="15"/>
        <v>4750</v>
      </c>
      <c r="AC16" s="308">
        <f t="shared" si="15"/>
        <v>4750</v>
      </c>
      <c r="AD16" s="308">
        <f t="shared" si="15"/>
        <v>4750</v>
      </c>
      <c r="AE16" s="308">
        <f t="shared" si="15"/>
        <v>4750</v>
      </c>
      <c r="AF16" s="308">
        <f t="shared" si="15"/>
        <v>4750</v>
      </c>
      <c r="AG16" s="308">
        <f t="shared" si="15"/>
        <v>4750</v>
      </c>
      <c r="AH16" s="308">
        <f t="shared" si="15"/>
        <v>4750</v>
      </c>
      <c r="AI16" s="307">
        <f t="shared" si="15"/>
        <v>4750</v>
      </c>
      <c r="AJ16" s="308">
        <f t="shared" si="15"/>
        <v>4750</v>
      </c>
      <c r="AK16" s="308">
        <f t="shared" si="15"/>
        <v>4750</v>
      </c>
      <c r="AL16" s="308">
        <f t="shared" si="15"/>
        <v>4750</v>
      </c>
      <c r="AM16" s="308">
        <f t="shared" si="15"/>
        <v>4750</v>
      </c>
      <c r="AN16" s="308">
        <f t="shared" si="15"/>
        <v>4750</v>
      </c>
      <c r="AO16" s="308">
        <f t="shared" si="15"/>
        <v>4750</v>
      </c>
      <c r="AP16" s="308">
        <f t="shared" si="15"/>
        <v>4750</v>
      </c>
      <c r="AQ16" s="308">
        <f t="shared" si="15"/>
        <v>4750</v>
      </c>
      <c r="AR16" s="308">
        <f t="shared" si="15"/>
        <v>4750</v>
      </c>
      <c r="AS16" s="308">
        <f t="shared" si="15"/>
        <v>4750</v>
      </c>
      <c r="AT16" s="308">
        <f t="shared" si="15"/>
        <v>4750</v>
      </c>
    </row>
    <row r="17" spans="1:46" ht="14.25" customHeight="1" x14ac:dyDescent="0.25">
      <c r="A17" s="118">
        <v>12</v>
      </c>
      <c r="B17" s="303" t="s">
        <v>507</v>
      </c>
      <c r="C17" s="303" t="s">
        <v>508</v>
      </c>
      <c r="D17" s="303" t="s">
        <v>509</v>
      </c>
      <c r="E17" s="303" t="s">
        <v>216</v>
      </c>
      <c r="F17" s="303" t="s">
        <v>217</v>
      </c>
      <c r="G17" s="304">
        <v>125000</v>
      </c>
      <c r="H17" s="304">
        <f t="shared" si="1"/>
        <v>10416.666666666666</v>
      </c>
      <c r="I17" s="309">
        <v>45754</v>
      </c>
      <c r="J17" s="118"/>
      <c r="K17" s="305">
        <v>0</v>
      </c>
      <c r="L17" s="306">
        <v>0</v>
      </c>
      <c r="M17" s="306">
        <v>0</v>
      </c>
      <c r="N17" s="306">
        <v>0</v>
      </c>
      <c r="O17" s="306">
        <v>10416.666666666666</v>
      </c>
      <c r="P17" s="306">
        <v>10416.666666666666</v>
      </c>
      <c r="Q17" s="306">
        <v>10416.666666666666</v>
      </c>
      <c r="R17" s="306">
        <v>10416.666666666666</v>
      </c>
      <c r="S17" s="306">
        <v>10416.666666666666</v>
      </c>
      <c r="T17" s="306">
        <v>10416.666666666666</v>
      </c>
      <c r="U17" s="306">
        <v>10416.666666666666</v>
      </c>
      <c r="V17" s="306">
        <v>10416.666666666666</v>
      </c>
      <c r="W17" s="307">
        <f t="shared" ref="W17:AT17" si="16">IF(W$2&gt;=$I17,$H17,0)</f>
        <v>10416.666666666666</v>
      </c>
      <c r="X17" s="308">
        <f t="shared" si="16"/>
        <v>10416.666666666666</v>
      </c>
      <c r="Y17" s="308">
        <f t="shared" si="16"/>
        <v>10416.666666666666</v>
      </c>
      <c r="Z17" s="308">
        <f t="shared" si="16"/>
        <v>10416.666666666666</v>
      </c>
      <c r="AA17" s="308">
        <f t="shared" si="16"/>
        <v>10416.666666666666</v>
      </c>
      <c r="AB17" s="308">
        <f t="shared" si="16"/>
        <v>10416.666666666666</v>
      </c>
      <c r="AC17" s="308">
        <f t="shared" si="16"/>
        <v>10416.666666666666</v>
      </c>
      <c r="AD17" s="308">
        <f t="shared" si="16"/>
        <v>10416.666666666666</v>
      </c>
      <c r="AE17" s="308">
        <f t="shared" si="16"/>
        <v>10416.666666666666</v>
      </c>
      <c r="AF17" s="308">
        <f t="shared" si="16"/>
        <v>10416.666666666666</v>
      </c>
      <c r="AG17" s="308">
        <f t="shared" si="16"/>
        <v>10416.666666666666</v>
      </c>
      <c r="AH17" s="308">
        <f t="shared" si="16"/>
        <v>10416.666666666666</v>
      </c>
      <c r="AI17" s="307">
        <f t="shared" si="16"/>
        <v>10416.666666666666</v>
      </c>
      <c r="AJ17" s="308">
        <f t="shared" si="16"/>
        <v>10416.666666666666</v>
      </c>
      <c r="AK17" s="308">
        <f t="shared" si="16"/>
        <v>10416.666666666666</v>
      </c>
      <c r="AL17" s="308">
        <f t="shared" si="16"/>
        <v>10416.666666666666</v>
      </c>
      <c r="AM17" s="308">
        <f t="shared" si="16"/>
        <v>10416.666666666666</v>
      </c>
      <c r="AN17" s="308">
        <f t="shared" si="16"/>
        <v>10416.666666666666</v>
      </c>
      <c r="AO17" s="308">
        <f t="shared" si="16"/>
        <v>10416.666666666666</v>
      </c>
      <c r="AP17" s="308">
        <f t="shared" si="16"/>
        <v>10416.666666666666</v>
      </c>
      <c r="AQ17" s="308">
        <f t="shared" si="16"/>
        <v>10416.666666666666</v>
      </c>
      <c r="AR17" s="308">
        <f t="shared" si="16"/>
        <v>10416.666666666666</v>
      </c>
      <c r="AS17" s="308">
        <f t="shared" si="16"/>
        <v>10416.666666666666</v>
      </c>
      <c r="AT17" s="308">
        <f t="shared" si="16"/>
        <v>10416.666666666666</v>
      </c>
    </row>
    <row r="18" spans="1:46" ht="14.25" customHeight="1" x14ac:dyDescent="0.25">
      <c r="A18" s="118">
        <v>13</v>
      </c>
      <c r="B18" s="303" t="s">
        <v>510</v>
      </c>
      <c r="C18" s="303" t="s">
        <v>511</v>
      </c>
      <c r="D18" s="303" t="s">
        <v>512</v>
      </c>
      <c r="E18" s="303" t="s">
        <v>216</v>
      </c>
      <c r="F18" s="303" t="s">
        <v>217</v>
      </c>
      <c r="G18" s="304">
        <v>55000</v>
      </c>
      <c r="H18" s="304">
        <f t="shared" si="1"/>
        <v>4583.333333333333</v>
      </c>
      <c r="I18" s="309">
        <v>45817</v>
      </c>
      <c r="J18" s="118"/>
      <c r="K18" s="305">
        <v>0</v>
      </c>
      <c r="L18" s="306">
        <v>0</v>
      </c>
      <c r="M18" s="306">
        <v>0</v>
      </c>
      <c r="N18" s="306">
        <v>0</v>
      </c>
      <c r="O18" s="306">
        <v>0</v>
      </c>
      <c r="P18" s="306">
        <v>0</v>
      </c>
      <c r="Q18" s="306">
        <v>4583.333333333333</v>
      </c>
      <c r="R18" s="306">
        <v>4583.333333333333</v>
      </c>
      <c r="S18" s="306">
        <v>4583.333333333333</v>
      </c>
      <c r="T18" s="306">
        <v>4583.333333333333</v>
      </c>
      <c r="U18" s="306">
        <v>4583.333333333333</v>
      </c>
      <c r="V18" s="306">
        <v>4583.333333333333</v>
      </c>
      <c r="W18" s="307">
        <f t="shared" ref="W18:AT18" si="17">IF(W$2&gt;=$I18,$H18,0)</f>
        <v>4583.333333333333</v>
      </c>
      <c r="X18" s="308">
        <f t="shared" si="17"/>
        <v>4583.333333333333</v>
      </c>
      <c r="Y18" s="308">
        <f t="shared" si="17"/>
        <v>4583.333333333333</v>
      </c>
      <c r="Z18" s="308">
        <f t="shared" si="17"/>
        <v>4583.333333333333</v>
      </c>
      <c r="AA18" s="308">
        <f t="shared" si="17"/>
        <v>4583.333333333333</v>
      </c>
      <c r="AB18" s="308">
        <f t="shared" si="17"/>
        <v>4583.333333333333</v>
      </c>
      <c r="AC18" s="308">
        <f t="shared" si="17"/>
        <v>4583.333333333333</v>
      </c>
      <c r="AD18" s="308">
        <f t="shared" si="17"/>
        <v>4583.333333333333</v>
      </c>
      <c r="AE18" s="308">
        <f t="shared" si="17"/>
        <v>4583.333333333333</v>
      </c>
      <c r="AF18" s="308">
        <f t="shared" si="17"/>
        <v>4583.333333333333</v>
      </c>
      <c r="AG18" s="308">
        <f t="shared" si="17"/>
        <v>4583.333333333333</v>
      </c>
      <c r="AH18" s="308">
        <f t="shared" si="17"/>
        <v>4583.333333333333</v>
      </c>
      <c r="AI18" s="307">
        <f t="shared" si="17"/>
        <v>4583.333333333333</v>
      </c>
      <c r="AJ18" s="308">
        <f t="shared" si="17"/>
        <v>4583.333333333333</v>
      </c>
      <c r="AK18" s="308">
        <f t="shared" si="17"/>
        <v>4583.333333333333</v>
      </c>
      <c r="AL18" s="308">
        <f t="shared" si="17"/>
        <v>4583.333333333333</v>
      </c>
      <c r="AM18" s="308">
        <f t="shared" si="17"/>
        <v>4583.333333333333</v>
      </c>
      <c r="AN18" s="308">
        <f t="shared" si="17"/>
        <v>4583.333333333333</v>
      </c>
      <c r="AO18" s="308">
        <f t="shared" si="17"/>
        <v>4583.333333333333</v>
      </c>
      <c r="AP18" s="308">
        <f t="shared" si="17"/>
        <v>4583.333333333333</v>
      </c>
      <c r="AQ18" s="308">
        <f t="shared" si="17"/>
        <v>4583.333333333333</v>
      </c>
      <c r="AR18" s="308">
        <f t="shared" si="17"/>
        <v>4583.333333333333</v>
      </c>
      <c r="AS18" s="308">
        <f t="shared" si="17"/>
        <v>4583.333333333333</v>
      </c>
      <c r="AT18" s="308">
        <f t="shared" si="17"/>
        <v>4583.333333333333</v>
      </c>
    </row>
    <row r="19" spans="1:46" ht="14.25" customHeight="1" x14ac:dyDescent="0.25">
      <c r="A19" s="118">
        <v>14</v>
      </c>
      <c r="B19" s="303" t="s">
        <v>513</v>
      </c>
      <c r="C19" s="303" t="s">
        <v>514</v>
      </c>
      <c r="D19" s="303" t="s">
        <v>515</v>
      </c>
      <c r="E19" s="303" t="s">
        <v>214</v>
      </c>
      <c r="F19" s="303" t="s">
        <v>217</v>
      </c>
      <c r="G19" s="304">
        <v>125000</v>
      </c>
      <c r="H19" s="304">
        <f t="shared" si="1"/>
        <v>10416.666666666666</v>
      </c>
      <c r="I19" s="309">
        <v>45784</v>
      </c>
      <c r="J19" s="118"/>
      <c r="K19" s="305">
        <v>0</v>
      </c>
      <c r="L19" s="306">
        <v>0</v>
      </c>
      <c r="M19" s="306">
        <v>0</v>
      </c>
      <c r="N19" s="306">
        <v>0</v>
      </c>
      <c r="O19" s="306">
        <v>0</v>
      </c>
      <c r="P19" s="306">
        <v>10416.666666666666</v>
      </c>
      <c r="Q19" s="306">
        <v>10416.666666666666</v>
      </c>
      <c r="R19" s="306">
        <v>10416.666666666666</v>
      </c>
      <c r="S19" s="306">
        <v>10416.666666666666</v>
      </c>
      <c r="T19" s="306">
        <v>10416.666666666666</v>
      </c>
      <c r="U19" s="306">
        <v>10416.666666666666</v>
      </c>
      <c r="V19" s="306">
        <v>10416.666666666666</v>
      </c>
      <c r="W19" s="307">
        <f t="shared" ref="W19:AT19" si="18">IF(W$2&gt;=$I19,$H19,0)</f>
        <v>10416.666666666666</v>
      </c>
      <c r="X19" s="308">
        <f t="shared" si="18"/>
        <v>10416.666666666666</v>
      </c>
      <c r="Y19" s="308">
        <f t="shared" si="18"/>
        <v>10416.666666666666</v>
      </c>
      <c r="Z19" s="308">
        <f t="shared" si="18"/>
        <v>10416.666666666666</v>
      </c>
      <c r="AA19" s="308">
        <f t="shared" si="18"/>
        <v>10416.666666666666</v>
      </c>
      <c r="AB19" s="308">
        <f t="shared" si="18"/>
        <v>10416.666666666666</v>
      </c>
      <c r="AC19" s="308">
        <f t="shared" si="18"/>
        <v>10416.666666666666</v>
      </c>
      <c r="AD19" s="308">
        <f t="shared" si="18"/>
        <v>10416.666666666666</v>
      </c>
      <c r="AE19" s="308">
        <f t="shared" si="18"/>
        <v>10416.666666666666</v>
      </c>
      <c r="AF19" s="308">
        <f t="shared" si="18"/>
        <v>10416.666666666666</v>
      </c>
      <c r="AG19" s="308">
        <f t="shared" si="18"/>
        <v>10416.666666666666</v>
      </c>
      <c r="AH19" s="308">
        <f t="shared" si="18"/>
        <v>10416.666666666666</v>
      </c>
      <c r="AI19" s="307">
        <f t="shared" si="18"/>
        <v>10416.666666666666</v>
      </c>
      <c r="AJ19" s="308">
        <f t="shared" si="18"/>
        <v>10416.666666666666</v>
      </c>
      <c r="AK19" s="308">
        <f t="shared" si="18"/>
        <v>10416.666666666666</v>
      </c>
      <c r="AL19" s="308">
        <f t="shared" si="18"/>
        <v>10416.666666666666</v>
      </c>
      <c r="AM19" s="308">
        <f t="shared" si="18"/>
        <v>10416.666666666666</v>
      </c>
      <c r="AN19" s="308">
        <f t="shared" si="18"/>
        <v>10416.666666666666</v>
      </c>
      <c r="AO19" s="308">
        <f t="shared" si="18"/>
        <v>10416.666666666666</v>
      </c>
      <c r="AP19" s="308">
        <f t="shared" si="18"/>
        <v>10416.666666666666</v>
      </c>
      <c r="AQ19" s="308">
        <f t="shared" si="18"/>
        <v>10416.666666666666</v>
      </c>
      <c r="AR19" s="308">
        <f t="shared" si="18"/>
        <v>10416.666666666666</v>
      </c>
      <c r="AS19" s="308">
        <f t="shared" si="18"/>
        <v>10416.666666666666</v>
      </c>
      <c r="AT19" s="308">
        <f t="shared" si="18"/>
        <v>10416.666666666666</v>
      </c>
    </row>
    <row r="20" spans="1:46" ht="14.25" customHeight="1" x14ac:dyDescent="0.25">
      <c r="A20" s="118">
        <v>15</v>
      </c>
      <c r="B20" s="303" t="s">
        <v>516</v>
      </c>
      <c r="C20" s="303" t="s">
        <v>517</v>
      </c>
      <c r="D20" s="303" t="s">
        <v>518</v>
      </c>
      <c r="E20" s="303" t="s">
        <v>214</v>
      </c>
      <c r="F20" s="303" t="s">
        <v>217</v>
      </c>
      <c r="G20" s="304">
        <v>48000</v>
      </c>
      <c r="H20" s="304">
        <f t="shared" si="1"/>
        <v>4000</v>
      </c>
      <c r="I20" s="309">
        <v>45717</v>
      </c>
      <c r="J20" s="118"/>
      <c r="K20" s="305">
        <v>0</v>
      </c>
      <c r="L20" s="306">
        <v>0</v>
      </c>
      <c r="M20" s="306">
        <v>4000</v>
      </c>
      <c r="N20" s="306">
        <v>4000</v>
      </c>
      <c r="O20" s="306">
        <v>4000</v>
      </c>
      <c r="P20" s="306">
        <v>4000</v>
      </c>
      <c r="Q20" s="306">
        <v>4000</v>
      </c>
      <c r="R20" s="306">
        <v>4000</v>
      </c>
      <c r="S20" s="306">
        <v>4000</v>
      </c>
      <c r="T20" s="306">
        <v>4000</v>
      </c>
      <c r="U20" s="306">
        <v>4000</v>
      </c>
      <c r="V20" s="306">
        <v>4000</v>
      </c>
      <c r="W20" s="307">
        <f t="shared" ref="W20:AT20" si="19">IF(W$2&gt;=$I20,$H20,0)</f>
        <v>4000</v>
      </c>
      <c r="X20" s="308">
        <f t="shared" si="19"/>
        <v>4000</v>
      </c>
      <c r="Y20" s="308">
        <f t="shared" si="19"/>
        <v>4000</v>
      </c>
      <c r="Z20" s="308">
        <f t="shared" si="19"/>
        <v>4000</v>
      </c>
      <c r="AA20" s="308">
        <f t="shared" si="19"/>
        <v>4000</v>
      </c>
      <c r="AB20" s="308">
        <f t="shared" si="19"/>
        <v>4000</v>
      </c>
      <c r="AC20" s="308">
        <f t="shared" si="19"/>
        <v>4000</v>
      </c>
      <c r="AD20" s="308">
        <f t="shared" si="19"/>
        <v>4000</v>
      </c>
      <c r="AE20" s="308">
        <f t="shared" si="19"/>
        <v>4000</v>
      </c>
      <c r="AF20" s="308">
        <f t="shared" si="19"/>
        <v>4000</v>
      </c>
      <c r="AG20" s="308">
        <f t="shared" si="19"/>
        <v>4000</v>
      </c>
      <c r="AH20" s="308">
        <f t="shared" si="19"/>
        <v>4000</v>
      </c>
      <c r="AI20" s="307">
        <f t="shared" si="19"/>
        <v>4000</v>
      </c>
      <c r="AJ20" s="308">
        <f t="shared" si="19"/>
        <v>4000</v>
      </c>
      <c r="AK20" s="308">
        <f t="shared" si="19"/>
        <v>4000</v>
      </c>
      <c r="AL20" s="308">
        <f t="shared" si="19"/>
        <v>4000</v>
      </c>
      <c r="AM20" s="308">
        <f t="shared" si="19"/>
        <v>4000</v>
      </c>
      <c r="AN20" s="308">
        <f t="shared" si="19"/>
        <v>4000</v>
      </c>
      <c r="AO20" s="308">
        <f t="shared" si="19"/>
        <v>4000</v>
      </c>
      <c r="AP20" s="308">
        <f t="shared" si="19"/>
        <v>4000</v>
      </c>
      <c r="AQ20" s="308">
        <f t="shared" si="19"/>
        <v>4000</v>
      </c>
      <c r="AR20" s="308">
        <f t="shared" si="19"/>
        <v>4000</v>
      </c>
      <c r="AS20" s="308">
        <f t="shared" si="19"/>
        <v>4000</v>
      </c>
      <c r="AT20" s="308">
        <f t="shared" si="19"/>
        <v>4000</v>
      </c>
    </row>
    <row r="21" spans="1:46" ht="14.25" customHeight="1" x14ac:dyDescent="0.25">
      <c r="A21" s="118">
        <v>16</v>
      </c>
      <c r="B21" s="303" t="s">
        <v>519</v>
      </c>
      <c r="C21" s="303" t="s">
        <v>520</v>
      </c>
      <c r="D21" s="303" t="s">
        <v>521</v>
      </c>
      <c r="E21" s="303" t="s">
        <v>214</v>
      </c>
      <c r="F21" s="303" t="s">
        <v>217</v>
      </c>
      <c r="G21" s="304">
        <v>53000</v>
      </c>
      <c r="H21" s="304">
        <f t="shared" si="1"/>
        <v>4416.666666666667</v>
      </c>
      <c r="I21" s="309">
        <v>45708</v>
      </c>
      <c r="J21" s="118"/>
      <c r="K21" s="305">
        <v>0</v>
      </c>
      <c r="L21" s="306">
        <v>0</v>
      </c>
      <c r="M21" s="306">
        <v>4416.666666666667</v>
      </c>
      <c r="N21" s="306">
        <v>4416.666666666667</v>
      </c>
      <c r="O21" s="306">
        <v>4416.666666666667</v>
      </c>
      <c r="P21" s="306">
        <v>4416.666666666667</v>
      </c>
      <c r="Q21" s="306">
        <v>4416.666666666667</v>
      </c>
      <c r="R21" s="306">
        <v>4416.666666666667</v>
      </c>
      <c r="S21" s="306">
        <v>4416.666666666667</v>
      </c>
      <c r="T21" s="306">
        <v>4416.666666666667</v>
      </c>
      <c r="U21" s="306">
        <v>4416.666666666667</v>
      </c>
      <c r="V21" s="306">
        <v>4416.666666666667</v>
      </c>
      <c r="W21" s="307">
        <f t="shared" ref="W21:AT21" si="20">IF(W$2&gt;=$I21,$H21,0)</f>
        <v>4416.666666666667</v>
      </c>
      <c r="X21" s="308">
        <f t="shared" si="20"/>
        <v>4416.666666666667</v>
      </c>
      <c r="Y21" s="308">
        <f t="shared" si="20"/>
        <v>4416.666666666667</v>
      </c>
      <c r="Z21" s="308">
        <f t="shared" si="20"/>
        <v>4416.666666666667</v>
      </c>
      <c r="AA21" s="308">
        <f t="shared" si="20"/>
        <v>4416.666666666667</v>
      </c>
      <c r="AB21" s="308">
        <f t="shared" si="20"/>
        <v>4416.666666666667</v>
      </c>
      <c r="AC21" s="308">
        <f t="shared" si="20"/>
        <v>4416.666666666667</v>
      </c>
      <c r="AD21" s="308">
        <f t="shared" si="20"/>
        <v>4416.666666666667</v>
      </c>
      <c r="AE21" s="308">
        <f t="shared" si="20"/>
        <v>4416.666666666667</v>
      </c>
      <c r="AF21" s="308">
        <f t="shared" si="20"/>
        <v>4416.666666666667</v>
      </c>
      <c r="AG21" s="308">
        <f t="shared" si="20"/>
        <v>4416.666666666667</v>
      </c>
      <c r="AH21" s="308">
        <f t="shared" si="20"/>
        <v>4416.666666666667</v>
      </c>
      <c r="AI21" s="307">
        <f t="shared" si="20"/>
        <v>4416.666666666667</v>
      </c>
      <c r="AJ21" s="308">
        <f t="shared" si="20"/>
        <v>4416.666666666667</v>
      </c>
      <c r="AK21" s="308">
        <f t="shared" si="20"/>
        <v>4416.666666666667</v>
      </c>
      <c r="AL21" s="308">
        <f t="shared" si="20"/>
        <v>4416.666666666667</v>
      </c>
      <c r="AM21" s="308">
        <f t="shared" si="20"/>
        <v>4416.666666666667</v>
      </c>
      <c r="AN21" s="308">
        <f t="shared" si="20"/>
        <v>4416.666666666667</v>
      </c>
      <c r="AO21" s="308">
        <f t="shared" si="20"/>
        <v>4416.666666666667</v>
      </c>
      <c r="AP21" s="308">
        <f t="shared" si="20"/>
        <v>4416.666666666667</v>
      </c>
      <c r="AQ21" s="308">
        <f t="shared" si="20"/>
        <v>4416.666666666667</v>
      </c>
      <c r="AR21" s="308">
        <f t="shared" si="20"/>
        <v>4416.666666666667</v>
      </c>
      <c r="AS21" s="308">
        <f t="shared" si="20"/>
        <v>4416.666666666667</v>
      </c>
      <c r="AT21" s="308">
        <f t="shared" si="20"/>
        <v>4416.666666666667</v>
      </c>
    </row>
    <row r="22" spans="1:46" ht="15.75" customHeight="1" x14ac:dyDescent="0.25">
      <c r="A22" s="118">
        <v>17</v>
      </c>
      <c r="B22" s="303" t="s">
        <v>522</v>
      </c>
      <c r="C22" s="303" t="s">
        <v>523</v>
      </c>
      <c r="D22" s="303" t="s">
        <v>524</v>
      </c>
      <c r="E22" s="303" t="s">
        <v>214</v>
      </c>
      <c r="F22" s="303" t="s">
        <v>214</v>
      </c>
      <c r="G22" s="304">
        <v>102000</v>
      </c>
      <c r="H22" s="304">
        <f t="shared" si="1"/>
        <v>8500</v>
      </c>
      <c r="I22" s="309">
        <v>45152</v>
      </c>
      <c r="J22" s="118"/>
      <c r="K22" s="305">
        <v>8500</v>
      </c>
      <c r="L22" s="306">
        <v>8500</v>
      </c>
      <c r="M22" s="306">
        <v>8500</v>
      </c>
      <c r="N22" s="306">
        <v>8500</v>
      </c>
      <c r="O22" s="306">
        <v>8500</v>
      </c>
      <c r="P22" s="306">
        <v>8500</v>
      </c>
      <c r="Q22" s="306">
        <v>8500</v>
      </c>
      <c r="R22" s="306">
        <v>8500</v>
      </c>
      <c r="S22" s="306">
        <v>8500</v>
      </c>
      <c r="T22" s="306">
        <v>8500</v>
      </c>
      <c r="U22" s="306">
        <v>8500</v>
      </c>
      <c r="V22" s="306">
        <v>8500</v>
      </c>
      <c r="W22" s="307">
        <f t="shared" ref="W22:AT22" si="21">IF(W$2&gt;=$I22,$H22,0)</f>
        <v>8500</v>
      </c>
      <c r="X22" s="308">
        <f t="shared" si="21"/>
        <v>8500</v>
      </c>
      <c r="Y22" s="308">
        <f t="shared" si="21"/>
        <v>8500</v>
      </c>
      <c r="Z22" s="308">
        <f t="shared" si="21"/>
        <v>8500</v>
      </c>
      <c r="AA22" s="308">
        <f t="shared" si="21"/>
        <v>8500</v>
      </c>
      <c r="AB22" s="308">
        <f t="shared" si="21"/>
        <v>8500</v>
      </c>
      <c r="AC22" s="308">
        <f t="shared" si="21"/>
        <v>8500</v>
      </c>
      <c r="AD22" s="308">
        <f t="shared" si="21"/>
        <v>8500</v>
      </c>
      <c r="AE22" s="308">
        <f t="shared" si="21"/>
        <v>8500</v>
      </c>
      <c r="AF22" s="308">
        <f t="shared" si="21"/>
        <v>8500</v>
      </c>
      <c r="AG22" s="308">
        <f t="shared" si="21"/>
        <v>8500</v>
      </c>
      <c r="AH22" s="308">
        <f t="shared" si="21"/>
        <v>8500</v>
      </c>
      <c r="AI22" s="307">
        <f t="shared" si="21"/>
        <v>8500</v>
      </c>
      <c r="AJ22" s="308">
        <f t="shared" si="21"/>
        <v>8500</v>
      </c>
      <c r="AK22" s="308">
        <f t="shared" si="21"/>
        <v>8500</v>
      </c>
      <c r="AL22" s="308">
        <f t="shared" si="21"/>
        <v>8500</v>
      </c>
      <c r="AM22" s="308">
        <f t="shared" si="21"/>
        <v>8500</v>
      </c>
      <c r="AN22" s="308">
        <f t="shared" si="21"/>
        <v>8500</v>
      </c>
      <c r="AO22" s="308">
        <f t="shared" si="21"/>
        <v>8500</v>
      </c>
      <c r="AP22" s="308">
        <f t="shared" si="21"/>
        <v>8500</v>
      </c>
      <c r="AQ22" s="308">
        <f t="shared" si="21"/>
        <v>8500</v>
      </c>
      <c r="AR22" s="308">
        <f t="shared" si="21"/>
        <v>8500</v>
      </c>
      <c r="AS22" s="308">
        <f t="shared" si="21"/>
        <v>8500</v>
      </c>
      <c r="AT22" s="308">
        <f t="shared" si="21"/>
        <v>8500</v>
      </c>
    </row>
    <row r="23" spans="1:46" ht="15.75" customHeight="1" x14ac:dyDescent="0.25">
      <c r="A23" s="118">
        <v>20</v>
      </c>
      <c r="B23" s="303" t="s">
        <v>525</v>
      </c>
      <c r="C23" s="303" t="s">
        <v>526</v>
      </c>
      <c r="D23" s="303" t="s">
        <v>527</v>
      </c>
      <c r="E23" s="303" t="s">
        <v>498</v>
      </c>
      <c r="F23" s="303" t="s">
        <v>213</v>
      </c>
      <c r="G23" s="304">
        <v>92000</v>
      </c>
      <c r="H23" s="304">
        <f t="shared" si="1"/>
        <v>7666.666666666667</v>
      </c>
      <c r="I23" s="309">
        <v>45870</v>
      </c>
      <c r="J23" s="118"/>
      <c r="K23" s="306">
        <v>0</v>
      </c>
      <c r="L23" s="306">
        <v>0</v>
      </c>
      <c r="M23" s="306">
        <v>0</v>
      </c>
      <c r="N23" s="306">
        <v>0</v>
      </c>
      <c r="O23" s="306">
        <v>0</v>
      </c>
      <c r="P23" s="306">
        <v>0</v>
      </c>
      <c r="Q23" s="306">
        <v>0</v>
      </c>
      <c r="R23" s="306">
        <v>4666.666666666667</v>
      </c>
      <c r="S23" s="306">
        <v>4666.666666666667</v>
      </c>
      <c r="T23" s="306">
        <v>4666.666666666667</v>
      </c>
      <c r="U23" s="306">
        <v>4666.666666666667</v>
      </c>
      <c r="V23" s="306">
        <v>4666.666666666667</v>
      </c>
      <c r="W23" s="307">
        <f t="shared" ref="W23:AT23" si="22">IF(W$2&gt;=$I23,$H23,0)</f>
        <v>7666.666666666667</v>
      </c>
      <c r="X23" s="308">
        <f t="shared" si="22"/>
        <v>7666.666666666667</v>
      </c>
      <c r="Y23" s="308">
        <f t="shared" si="22"/>
        <v>7666.666666666667</v>
      </c>
      <c r="Z23" s="308">
        <f t="shared" si="22"/>
        <v>7666.666666666667</v>
      </c>
      <c r="AA23" s="308">
        <f t="shared" si="22"/>
        <v>7666.666666666667</v>
      </c>
      <c r="AB23" s="308">
        <f t="shared" si="22"/>
        <v>7666.666666666667</v>
      </c>
      <c r="AC23" s="308">
        <f t="shared" si="22"/>
        <v>7666.666666666667</v>
      </c>
      <c r="AD23" s="308">
        <f t="shared" si="22"/>
        <v>7666.666666666667</v>
      </c>
      <c r="AE23" s="308">
        <f t="shared" si="22"/>
        <v>7666.666666666667</v>
      </c>
      <c r="AF23" s="308">
        <f t="shared" si="22"/>
        <v>7666.666666666667</v>
      </c>
      <c r="AG23" s="308">
        <f t="shared" si="22"/>
        <v>7666.666666666667</v>
      </c>
      <c r="AH23" s="308">
        <f t="shared" si="22"/>
        <v>7666.666666666667</v>
      </c>
      <c r="AI23" s="307">
        <f t="shared" si="22"/>
        <v>7666.666666666667</v>
      </c>
      <c r="AJ23" s="308">
        <f t="shared" si="22"/>
        <v>7666.666666666667</v>
      </c>
      <c r="AK23" s="308">
        <f t="shared" si="22"/>
        <v>7666.666666666667</v>
      </c>
      <c r="AL23" s="308">
        <f t="shared" si="22"/>
        <v>7666.666666666667</v>
      </c>
      <c r="AM23" s="308">
        <f t="shared" si="22"/>
        <v>7666.666666666667</v>
      </c>
      <c r="AN23" s="308">
        <f t="shared" si="22"/>
        <v>7666.666666666667</v>
      </c>
      <c r="AO23" s="308">
        <f t="shared" si="22"/>
        <v>7666.666666666667</v>
      </c>
      <c r="AP23" s="308">
        <f t="shared" si="22"/>
        <v>7666.666666666667</v>
      </c>
      <c r="AQ23" s="308">
        <f t="shared" si="22"/>
        <v>7666.666666666667</v>
      </c>
      <c r="AR23" s="308">
        <f t="shared" si="22"/>
        <v>7666.666666666667</v>
      </c>
      <c r="AS23" s="308">
        <f t="shared" si="22"/>
        <v>7666.666666666667</v>
      </c>
      <c r="AT23" s="308">
        <f t="shared" si="22"/>
        <v>7666.666666666667</v>
      </c>
    </row>
    <row r="24" spans="1:46" ht="15.75" customHeight="1" x14ac:dyDescent="0.25">
      <c r="A24" s="118">
        <v>21</v>
      </c>
      <c r="B24" s="303" t="s">
        <v>528</v>
      </c>
      <c r="C24" s="303" t="s">
        <v>529</v>
      </c>
      <c r="D24" s="303" t="s">
        <v>530</v>
      </c>
      <c r="E24" s="303" t="s">
        <v>531</v>
      </c>
      <c r="F24" s="303" t="s">
        <v>25</v>
      </c>
      <c r="G24" s="304">
        <v>75000</v>
      </c>
      <c r="H24" s="304">
        <f t="shared" si="1"/>
        <v>6250</v>
      </c>
      <c r="I24" s="309">
        <v>45233</v>
      </c>
      <c r="J24" s="118"/>
      <c r="K24" s="306">
        <v>6250</v>
      </c>
      <c r="L24" s="306">
        <v>6250</v>
      </c>
      <c r="M24" s="306">
        <v>6250</v>
      </c>
      <c r="N24" s="306">
        <v>6250</v>
      </c>
      <c r="O24" s="306">
        <v>6250</v>
      </c>
      <c r="P24" s="306">
        <v>6250</v>
      </c>
      <c r="Q24" s="306">
        <v>6250</v>
      </c>
      <c r="R24" s="306">
        <v>6250</v>
      </c>
      <c r="S24" s="306">
        <v>6250</v>
      </c>
      <c r="T24" s="306">
        <v>6250</v>
      </c>
      <c r="U24" s="306">
        <v>6250</v>
      </c>
      <c r="V24" s="306">
        <v>6250</v>
      </c>
      <c r="W24" s="307">
        <f t="shared" ref="W24:AT24" si="23">IF(W$2&gt;=$I24,$H24,0)</f>
        <v>6250</v>
      </c>
      <c r="X24" s="308">
        <f t="shared" si="23"/>
        <v>6250</v>
      </c>
      <c r="Y24" s="308">
        <f t="shared" si="23"/>
        <v>6250</v>
      </c>
      <c r="Z24" s="308">
        <f t="shared" si="23"/>
        <v>6250</v>
      </c>
      <c r="AA24" s="308">
        <f t="shared" si="23"/>
        <v>6250</v>
      </c>
      <c r="AB24" s="308">
        <f t="shared" si="23"/>
        <v>6250</v>
      </c>
      <c r="AC24" s="308">
        <f t="shared" si="23"/>
        <v>6250</v>
      </c>
      <c r="AD24" s="308">
        <f t="shared" si="23"/>
        <v>6250</v>
      </c>
      <c r="AE24" s="308">
        <f t="shared" si="23"/>
        <v>6250</v>
      </c>
      <c r="AF24" s="308">
        <f t="shared" si="23"/>
        <v>6250</v>
      </c>
      <c r="AG24" s="308">
        <f t="shared" si="23"/>
        <v>6250</v>
      </c>
      <c r="AH24" s="308">
        <f t="shared" si="23"/>
        <v>6250</v>
      </c>
      <c r="AI24" s="307">
        <f t="shared" si="23"/>
        <v>6250</v>
      </c>
      <c r="AJ24" s="308">
        <f t="shared" si="23"/>
        <v>6250</v>
      </c>
      <c r="AK24" s="308">
        <f t="shared" si="23"/>
        <v>6250</v>
      </c>
      <c r="AL24" s="308">
        <f t="shared" si="23"/>
        <v>6250</v>
      </c>
      <c r="AM24" s="308">
        <f t="shared" si="23"/>
        <v>6250</v>
      </c>
      <c r="AN24" s="308">
        <f t="shared" si="23"/>
        <v>6250</v>
      </c>
      <c r="AO24" s="308">
        <f t="shared" si="23"/>
        <v>6250</v>
      </c>
      <c r="AP24" s="308">
        <f t="shared" si="23"/>
        <v>6250</v>
      </c>
      <c r="AQ24" s="308">
        <f t="shared" si="23"/>
        <v>6250</v>
      </c>
      <c r="AR24" s="308">
        <f t="shared" si="23"/>
        <v>6250</v>
      </c>
      <c r="AS24" s="308">
        <f t="shared" si="23"/>
        <v>6250</v>
      </c>
      <c r="AT24" s="308">
        <f t="shared" si="23"/>
        <v>6250</v>
      </c>
    </row>
    <row r="25" spans="1:46" ht="15.75" hidden="1" customHeight="1" outlineLevel="1" x14ac:dyDescent="0.25">
      <c r="A25" s="310">
        <v>1</v>
      </c>
      <c r="B25" s="311"/>
      <c r="C25" s="311"/>
      <c r="D25" s="311" t="s">
        <v>532</v>
      </c>
      <c r="E25" s="311" t="s">
        <v>214</v>
      </c>
      <c r="F25" s="311" t="s">
        <v>17</v>
      </c>
      <c r="G25" s="312">
        <v>75000</v>
      </c>
      <c r="H25" s="312">
        <f t="shared" si="1"/>
        <v>6250</v>
      </c>
      <c r="I25" s="314">
        <v>46143</v>
      </c>
      <c r="J25" s="310"/>
      <c r="K25" s="316"/>
      <c r="L25" s="317"/>
      <c r="M25" s="317"/>
      <c r="N25" s="317"/>
      <c r="O25" s="317"/>
      <c r="P25" s="317"/>
      <c r="Q25" s="317">
        <f t="shared" ref="Q25:AT25" si="24">IF(Q$2&gt;=$I25,$H25,0)</f>
        <v>0</v>
      </c>
      <c r="R25" s="317">
        <f t="shared" si="24"/>
        <v>0</v>
      </c>
      <c r="S25" s="317">
        <f t="shared" si="24"/>
        <v>0</v>
      </c>
      <c r="T25" s="317">
        <f t="shared" si="24"/>
        <v>0</v>
      </c>
      <c r="U25" s="317">
        <f t="shared" si="24"/>
        <v>0</v>
      </c>
      <c r="V25" s="317">
        <f t="shared" si="24"/>
        <v>0</v>
      </c>
      <c r="W25" s="316">
        <f t="shared" si="24"/>
        <v>0</v>
      </c>
      <c r="X25" s="317">
        <f t="shared" si="24"/>
        <v>0</v>
      </c>
      <c r="Y25" s="317">
        <f t="shared" si="24"/>
        <v>0</v>
      </c>
      <c r="Z25" s="317">
        <f t="shared" si="24"/>
        <v>0</v>
      </c>
      <c r="AA25" s="317">
        <f t="shared" si="24"/>
        <v>6250</v>
      </c>
      <c r="AB25" s="317">
        <f t="shared" si="24"/>
        <v>6250</v>
      </c>
      <c r="AC25" s="317">
        <f t="shared" si="24"/>
        <v>6250</v>
      </c>
      <c r="AD25" s="317">
        <f t="shared" si="24"/>
        <v>6250</v>
      </c>
      <c r="AE25" s="317">
        <f t="shared" si="24"/>
        <v>6250</v>
      </c>
      <c r="AF25" s="317">
        <f t="shared" si="24"/>
        <v>6250</v>
      </c>
      <c r="AG25" s="317">
        <f t="shared" si="24"/>
        <v>6250</v>
      </c>
      <c r="AH25" s="317">
        <f t="shared" si="24"/>
        <v>6250</v>
      </c>
      <c r="AI25" s="316">
        <f t="shared" si="24"/>
        <v>6250</v>
      </c>
      <c r="AJ25" s="317">
        <f t="shared" si="24"/>
        <v>6250</v>
      </c>
      <c r="AK25" s="317">
        <f t="shared" si="24"/>
        <v>6250</v>
      </c>
      <c r="AL25" s="317">
        <f t="shared" si="24"/>
        <v>6250</v>
      </c>
      <c r="AM25" s="317">
        <f t="shared" si="24"/>
        <v>6250</v>
      </c>
      <c r="AN25" s="317">
        <f t="shared" si="24"/>
        <v>6250</v>
      </c>
      <c r="AO25" s="317">
        <f t="shared" si="24"/>
        <v>6250</v>
      </c>
      <c r="AP25" s="317">
        <f t="shared" si="24"/>
        <v>6250</v>
      </c>
      <c r="AQ25" s="317">
        <f t="shared" si="24"/>
        <v>6250</v>
      </c>
      <c r="AR25" s="317">
        <f t="shared" si="24"/>
        <v>6250</v>
      </c>
      <c r="AS25" s="317">
        <f t="shared" si="24"/>
        <v>6250</v>
      </c>
      <c r="AT25" s="317">
        <f t="shared" si="24"/>
        <v>6250</v>
      </c>
    </row>
    <row r="26" spans="1:46" ht="15.75" hidden="1" customHeight="1" outlineLevel="1" x14ac:dyDescent="0.25">
      <c r="A26" s="310">
        <v>2</v>
      </c>
      <c r="B26" s="311"/>
      <c r="C26" s="311"/>
      <c r="D26" s="311" t="s">
        <v>532</v>
      </c>
      <c r="E26" s="311" t="s">
        <v>214</v>
      </c>
      <c r="F26" s="311" t="s">
        <v>17</v>
      </c>
      <c r="G26" s="312">
        <v>75000</v>
      </c>
      <c r="H26" s="312">
        <f t="shared" si="1"/>
        <v>6250</v>
      </c>
      <c r="I26" s="314">
        <v>46692</v>
      </c>
      <c r="J26" s="310"/>
      <c r="K26" s="316"/>
      <c r="L26" s="317"/>
      <c r="M26" s="317"/>
      <c r="N26" s="317"/>
      <c r="O26" s="317"/>
      <c r="P26" s="317"/>
      <c r="Q26" s="317">
        <f t="shared" ref="Q26:T26" si="25">IF(Q$2&gt;=$I26,$H26,0)</f>
        <v>0</v>
      </c>
      <c r="R26" s="317">
        <f t="shared" si="25"/>
        <v>0</v>
      </c>
      <c r="S26" s="317">
        <f t="shared" si="25"/>
        <v>0</v>
      </c>
      <c r="T26" s="317">
        <f t="shared" si="25"/>
        <v>0</v>
      </c>
      <c r="U26" s="317"/>
      <c r="V26" s="317"/>
      <c r="W26" s="316">
        <f t="shared" ref="W26:AT26" si="26">IF(W$2&gt;=$I26,$H26,0)</f>
        <v>0</v>
      </c>
      <c r="X26" s="317">
        <f t="shared" si="26"/>
        <v>0</v>
      </c>
      <c r="Y26" s="317">
        <f t="shared" si="26"/>
        <v>0</v>
      </c>
      <c r="Z26" s="317">
        <f t="shared" si="26"/>
        <v>0</v>
      </c>
      <c r="AA26" s="317">
        <f t="shared" si="26"/>
        <v>0</v>
      </c>
      <c r="AB26" s="317">
        <f t="shared" si="26"/>
        <v>0</v>
      </c>
      <c r="AC26" s="317">
        <f t="shared" si="26"/>
        <v>0</v>
      </c>
      <c r="AD26" s="317">
        <f t="shared" si="26"/>
        <v>0</v>
      </c>
      <c r="AE26" s="317">
        <f t="shared" si="26"/>
        <v>0</v>
      </c>
      <c r="AF26" s="317">
        <f t="shared" si="26"/>
        <v>0</v>
      </c>
      <c r="AG26" s="317">
        <f t="shared" si="26"/>
        <v>0</v>
      </c>
      <c r="AH26" s="317">
        <f t="shared" si="26"/>
        <v>0</v>
      </c>
      <c r="AI26" s="316">
        <f t="shared" si="26"/>
        <v>0</v>
      </c>
      <c r="AJ26" s="317">
        <f t="shared" si="26"/>
        <v>0</v>
      </c>
      <c r="AK26" s="317">
        <f t="shared" si="26"/>
        <v>0</v>
      </c>
      <c r="AL26" s="317">
        <f t="shared" si="26"/>
        <v>0</v>
      </c>
      <c r="AM26" s="317">
        <f t="shared" si="26"/>
        <v>0</v>
      </c>
      <c r="AN26" s="317">
        <f t="shared" si="26"/>
        <v>0</v>
      </c>
      <c r="AO26" s="317">
        <f t="shared" si="26"/>
        <v>0</v>
      </c>
      <c r="AP26" s="317">
        <f t="shared" si="26"/>
        <v>0</v>
      </c>
      <c r="AQ26" s="317">
        <f t="shared" si="26"/>
        <v>0</v>
      </c>
      <c r="AR26" s="317">
        <f t="shared" si="26"/>
        <v>0</v>
      </c>
      <c r="AS26" s="317">
        <f t="shared" si="26"/>
        <v>6250</v>
      </c>
      <c r="AT26" s="317">
        <f t="shared" si="26"/>
        <v>6250</v>
      </c>
    </row>
    <row r="27" spans="1:46" ht="15.75" hidden="1" customHeight="1" outlineLevel="1" x14ac:dyDescent="0.25">
      <c r="A27" s="310">
        <v>3</v>
      </c>
      <c r="B27" s="311"/>
      <c r="C27" s="311"/>
      <c r="D27" s="311" t="s">
        <v>533</v>
      </c>
      <c r="E27" s="311" t="s">
        <v>214</v>
      </c>
      <c r="F27" s="311" t="s">
        <v>214</v>
      </c>
      <c r="G27" s="320">
        <v>125000</v>
      </c>
      <c r="H27" s="312">
        <f t="shared" si="1"/>
        <v>10416.666666666666</v>
      </c>
      <c r="I27" s="314">
        <v>45992</v>
      </c>
      <c r="J27" s="310"/>
      <c r="K27" s="316"/>
      <c r="L27" s="317"/>
      <c r="M27" s="317"/>
      <c r="N27" s="317"/>
      <c r="O27" s="317"/>
      <c r="P27" s="317"/>
      <c r="Q27" s="317">
        <f t="shared" ref="Q27:T27" si="27">IF(Q$2&gt;=$I27,$H27,0)</f>
        <v>0</v>
      </c>
      <c r="R27" s="317">
        <f t="shared" si="27"/>
        <v>0</v>
      </c>
      <c r="S27" s="317">
        <f t="shared" si="27"/>
        <v>0</v>
      </c>
      <c r="T27" s="317">
        <f t="shared" si="27"/>
        <v>0</v>
      </c>
      <c r="U27" s="317"/>
      <c r="V27" s="317"/>
      <c r="W27" s="316">
        <f t="shared" ref="W27:AT27" si="28">IF(W$2&gt;=$I27,$H27,0)</f>
        <v>10416.666666666666</v>
      </c>
      <c r="X27" s="317">
        <f t="shared" si="28"/>
        <v>10416.666666666666</v>
      </c>
      <c r="Y27" s="317">
        <f t="shared" si="28"/>
        <v>10416.666666666666</v>
      </c>
      <c r="Z27" s="317">
        <f t="shared" si="28"/>
        <v>10416.666666666666</v>
      </c>
      <c r="AA27" s="317">
        <f t="shared" si="28"/>
        <v>10416.666666666666</v>
      </c>
      <c r="AB27" s="317">
        <f t="shared" si="28"/>
        <v>10416.666666666666</v>
      </c>
      <c r="AC27" s="317">
        <f t="shared" si="28"/>
        <v>10416.666666666666</v>
      </c>
      <c r="AD27" s="317">
        <f t="shared" si="28"/>
        <v>10416.666666666666</v>
      </c>
      <c r="AE27" s="317">
        <f t="shared" si="28"/>
        <v>10416.666666666666</v>
      </c>
      <c r="AF27" s="317">
        <f t="shared" si="28"/>
        <v>10416.666666666666</v>
      </c>
      <c r="AG27" s="317">
        <f t="shared" si="28"/>
        <v>10416.666666666666</v>
      </c>
      <c r="AH27" s="317">
        <f t="shared" si="28"/>
        <v>10416.666666666666</v>
      </c>
      <c r="AI27" s="316">
        <f t="shared" si="28"/>
        <v>10416.666666666666</v>
      </c>
      <c r="AJ27" s="317">
        <f t="shared" si="28"/>
        <v>10416.666666666666</v>
      </c>
      <c r="AK27" s="317">
        <f t="shared" si="28"/>
        <v>10416.666666666666</v>
      </c>
      <c r="AL27" s="317">
        <f t="shared" si="28"/>
        <v>10416.666666666666</v>
      </c>
      <c r="AM27" s="317">
        <f t="shared" si="28"/>
        <v>10416.666666666666</v>
      </c>
      <c r="AN27" s="317">
        <f t="shared" si="28"/>
        <v>10416.666666666666</v>
      </c>
      <c r="AO27" s="317">
        <f t="shared" si="28"/>
        <v>10416.666666666666</v>
      </c>
      <c r="AP27" s="317">
        <f t="shared" si="28"/>
        <v>10416.666666666666</v>
      </c>
      <c r="AQ27" s="317">
        <f t="shared" si="28"/>
        <v>10416.666666666666</v>
      </c>
      <c r="AR27" s="317">
        <f t="shared" si="28"/>
        <v>10416.666666666666</v>
      </c>
      <c r="AS27" s="317">
        <f t="shared" si="28"/>
        <v>10416.666666666666</v>
      </c>
      <c r="AT27" s="317">
        <f t="shared" si="28"/>
        <v>10416.666666666666</v>
      </c>
    </row>
    <row r="28" spans="1:46" ht="15.75" hidden="1" customHeight="1" outlineLevel="1" x14ac:dyDescent="0.25">
      <c r="A28" s="310">
        <v>4</v>
      </c>
      <c r="B28" s="311"/>
      <c r="C28" s="311"/>
      <c r="D28" s="311" t="s">
        <v>533</v>
      </c>
      <c r="E28" s="311" t="s">
        <v>214</v>
      </c>
      <c r="F28" s="311" t="s">
        <v>214</v>
      </c>
      <c r="G28" s="320">
        <v>125000</v>
      </c>
      <c r="H28" s="312">
        <f t="shared" si="1"/>
        <v>10416.666666666666</v>
      </c>
      <c r="I28" s="314">
        <v>46174</v>
      </c>
      <c r="J28" s="310"/>
      <c r="K28" s="316"/>
      <c r="L28" s="317"/>
      <c r="M28" s="317"/>
      <c r="N28" s="317"/>
      <c r="O28" s="317"/>
      <c r="P28" s="317"/>
      <c r="Q28" s="317">
        <f t="shared" ref="Q28:T28" si="29">IF(Q$2&gt;=$I28,$H28,0)</f>
        <v>0</v>
      </c>
      <c r="R28" s="317">
        <f t="shared" si="29"/>
        <v>0</v>
      </c>
      <c r="S28" s="317">
        <f t="shared" si="29"/>
        <v>0</v>
      </c>
      <c r="T28" s="317">
        <f t="shared" si="29"/>
        <v>0</v>
      </c>
      <c r="U28" s="317"/>
      <c r="V28" s="317"/>
      <c r="W28" s="316">
        <f t="shared" ref="W28:AT28" si="30">IF(W$2&gt;=$I28,$H28,0)</f>
        <v>0</v>
      </c>
      <c r="X28" s="317">
        <f t="shared" si="30"/>
        <v>0</v>
      </c>
      <c r="Y28" s="317">
        <f t="shared" si="30"/>
        <v>0</v>
      </c>
      <c r="Z28" s="317">
        <f t="shared" si="30"/>
        <v>0</v>
      </c>
      <c r="AA28" s="317">
        <f t="shared" si="30"/>
        <v>0</v>
      </c>
      <c r="AB28" s="317">
        <f t="shared" si="30"/>
        <v>10416.666666666666</v>
      </c>
      <c r="AC28" s="317">
        <f t="shared" si="30"/>
        <v>10416.666666666666</v>
      </c>
      <c r="AD28" s="317">
        <f t="shared" si="30"/>
        <v>10416.666666666666</v>
      </c>
      <c r="AE28" s="317">
        <f t="shared" si="30"/>
        <v>10416.666666666666</v>
      </c>
      <c r="AF28" s="317">
        <f t="shared" si="30"/>
        <v>10416.666666666666</v>
      </c>
      <c r="AG28" s="317">
        <f t="shared" si="30"/>
        <v>10416.666666666666</v>
      </c>
      <c r="AH28" s="317">
        <f t="shared" si="30"/>
        <v>10416.666666666666</v>
      </c>
      <c r="AI28" s="316">
        <f t="shared" si="30"/>
        <v>10416.666666666666</v>
      </c>
      <c r="AJ28" s="317">
        <f t="shared" si="30"/>
        <v>10416.666666666666</v>
      </c>
      <c r="AK28" s="317">
        <f t="shared" si="30"/>
        <v>10416.666666666666</v>
      </c>
      <c r="AL28" s="317">
        <f t="shared" si="30"/>
        <v>10416.666666666666</v>
      </c>
      <c r="AM28" s="317">
        <f t="shared" si="30"/>
        <v>10416.666666666666</v>
      </c>
      <c r="AN28" s="317">
        <f t="shared" si="30"/>
        <v>10416.666666666666</v>
      </c>
      <c r="AO28" s="317">
        <f t="shared" si="30"/>
        <v>10416.666666666666</v>
      </c>
      <c r="AP28" s="317">
        <f t="shared" si="30"/>
        <v>10416.666666666666</v>
      </c>
      <c r="AQ28" s="317">
        <f t="shared" si="30"/>
        <v>10416.666666666666</v>
      </c>
      <c r="AR28" s="317">
        <f t="shared" si="30"/>
        <v>10416.666666666666</v>
      </c>
      <c r="AS28" s="317">
        <f t="shared" si="30"/>
        <v>10416.666666666666</v>
      </c>
      <c r="AT28" s="317">
        <f t="shared" si="30"/>
        <v>10416.666666666666</v>
      </c>
    </row>
    <row r="29" spans="1:46" ht="15.75" hidden="1" customHeight="1" outlineLevel="1" x14ac:dyDescent="0.25">
      <c r="A29" s="310">
        <v>5</v>
      </c>
      <c r="B29" s="311"/>
      <c r="C29" s="311"/>
      <c r="D29" s="311" t="s">
        <v>533</v>
      </c>
      <c r="E29" s="311" t="s">
        <v>214</v>
      </c>
      <c r="F29" s="311" t="s">
        <v>214</v>
      </c>
      <c r="G29" s="320">
        <v>125000</v>
      </c>
      <c r="H29" s="312">
        <f t="shared" si="1"/>
        <v>10416.666666666666</v>
      </c>
      <c r="I29" s="314">
        <v>46266</v>
      </c>
      <c r="J29" s="310"/>
      <c r="K29" s="316"/>
      <c r="L29" s="317"/>
      <c r="M29" s="317"/>
      <c r="N29" s="317"/>
      <c r="O29" s="317"/>
      <c r="P29" s="317"/>
      <c r="Q29" s="317">
        <f t="shared" ref="Q29:T29" si="31">IF(Q$2&gt;=$I29,$H29,0)</f>
        <v>0</v>
      </c>
      <c r="R29" s="317">
        <f t="shared" si="31"/>
        <v>0</v>
      </c>
      <c r="S29" s="317">
        <f t="shared" si="31"/>
        <v>0</v>
      </c>
      <c r="T29" s="317">
        <f t="shared" si="31"/>
        <v>0</v>
      </c>
      <c r="U29" s="317"/>
      <c r="V29" s="317"/>
      <c r="W29" s="316">
        <f t="shared" ref="W29:AT29" si="32">IF(W$2&gt;=$I29,$H29,0)</f>
        <v>0</v>
      </c>
      <c r="X29" s="317">
        <f t="shared" si="32"/>
        <v>0</v>
      </c>
      <c r="Y29" s="317">
        <f t="shared" si="32"/>
        <v>0</v>
      </c>
      <c r="Z29" s="317">
        <f t="shared" si="32"/>
        <v>0</v>
      </c>
      <c r="AA29" s="317">
        <f t="shared" si="32"/>
        <v>0</v>
      </c>
      <c r="AB29" s="317">
        <f t="shared" si="32"/>
        <v>0</v>
      </c>
      <c r="AC29" s="317">
        <f t="shared" si="32"/>
        <v>0</v>
      </c>
      <c r="AD29" s="317">
        <f t="shared" si="32"/>
        <v>0</v>
      </c>
      <c r="AE29" s="317">
        <f t="shared" si="32"/>
        <v>10416.666666666666</v>
      </c>
      <c r="AF29" s="317">
        <f t="shared" si="32"/>
        <v>10416.666666666666</v>
      </c>
      <c r="AG29" s="317">
        <f t="shared" si="32"/>
        <v>10416.666666666666</v>
      </c>
      <c r="AH29" s="317">
        <f t="shared" si="32"/>
        <v>10416.666666666666</v>
      </c>
      <c r="AI29" s="316">
        <f t="shared" si="32"/>
        <v>10416.666666666666</v>
      </c>
      <c r="AJ29" s="317">
        <f t="shared" si="32"/>
        <v>10416.666666666666</v>
      </c>
      <c r="AK29" s="317">
        <f t="shared" si="32"/>
        <v>10416.666666666666</v>
      </c>
      <c r="AL29" s="317">
        <f t="shared" si="32"/>
        <v>10416.666666666666</v>
      </c>
      <c r="AM29" s="317">
        <f t="shared" si="32"/>
        <v>10416.666666666666</v>
      </c>
      <c r="AN29" s="317">
        <f t="shared" si="32"/>
        <v>10416.666666666666</v>
      </c>
      <c r="AO29" s="317">
        <f t="shared" si="32"/>
        <v>10416.666666666666</v>
      </c>
      <c r="AP29" s="317">
        <f t="shared" si="32"/>
        <v>10416.666666666666</v>
      </c>
      <c r="AQ29" s="317">
        <f t="shared" si="32"/>
        <v>10416.666666666666</v>
      </c>
      <c r="AR29" s="317">
        <f t="shared" si="32"/>
        <v>10416.666666666666</v>
      </c>
      <c r="AS29" s="317">
        <f t="shared" si="32"/>
        <v>10416.666666666666</v>
      </c>
      <c r="AT29" s="317">
        <f t="shared" si="32"/>
        <v>10416.666666666666</v>
      </c>
    </row>
    <row r="30" spans="1:46" ht="15.75" hidden="1" customHeight="1" outlineLevel="1" x14ac:dyDescent="0.25">
      <c r="A30" s="310">
        <v>6</v>
      </c>
      <c r="B30" s="311"/>
      <c r="C30" s="311"/>
      <c r="D30" s="311" t="s">
        <v>533</v>
      </c>
      <c r="E30" s="311" t="s">
        <v>214</v>
      </c>
      <c r="F30" s="311" t="s">
        <v>214</v>
      </c>
      <c r="G30" s="320">
        <v>125000</v>
      </c>
      <c r="H30" s="312">
        <f t="shared" si="1"/>
        <v>10416.666666666666</v>
      </c>
      <c r="I30" s="314">
        <v>46419</v>
      </c>
      <c r="J30" s="310"/>
      <c r="K30" s="316"/>
      <c r="L30" s="317"/>
      <c r="M30" s="317"/>
      <c r="N30" s="317"/>
      <c r="O30" s="317"/>
      <c r="P30" s="317"/>
      <c r="Q30" s="317">
        <f t="shared" ref="Q30:T30" si="33">IF(Q$2&gt;=$I30,$H30,0)</f>
        <v>0</v>
      </c>
      <c r="R30" s="317">
        <f t="shared" si="33"/>
        <v>0</v>
      </c>
      <c r="S30" s="317">
        <f t="shared" si="33"/>
        <v>0</v>
      </c>
      <c r="T30" s="317">
        <f t="shared" si="33"/>
        <v>0</v>
      </c>
      <c r="U30" s="317"/>
      <c r="V30" s="317"/>
      <c r="W30" s="316">
        <f t="shared" ref="W30:AT30" si="34">IF(W$2&gt;=$I30,$H30,0)</f>
        <v>0</v>
      </c>
      <c r="X30" s="317">
        <f t="shared" si="34"/>
        <v>0</v>
      </c>
      <c r="Y30" s="317">
        <f t="shared" si="34"/>
        <v>0</v>
      </c>
      <c r="Z30" s="317">
        <f t="shared" si="34"/>
        <v>0</v>
      </c>
      <c r="AA30" s="317">
        <f t="shared" si="34"/>
        <v>0</v>
      </c>
      <c r="AB30" s="317">
        <f t="shared" si="34"/>
        <v>0</v>
      </c>
      <c r="AC30" s="317">
        <f t="shared" si="34"/>
        <v>0</v>
      </c>
      <c r="AD30" s="317">
        <f t="shared" si="34"/>
        <v>0</v>
      </c>
      <c r="AE30" s="317">
        <f t="shared" si="34"/>
        <v>0</v>
      </c>
      <c r="AF30" s="317">
        <f t="shared" si="34"/>
        <v>0</v>
      </c>
      <c r="AG30" s="317">
        <f t="shared" si="34"/>
        <v>0</v>
      </c>
      <c r="AH30" s="317">
        <f t="shared" si="34"/>
        <v>0</v>
      </c>
      <c r="AI30" s="316">
        <f t="shared" si="34"/>
        <v>0</v>
      </c>
      <c r="AJ30" s="317">
        <f t="shared" si="34"/>
        <v>10416.666666666666</v>
      </c>
      <c r="AK30" s="317">
        <f t="shared" si="34"/>
        <v>10416.666666666666</v>
      </c>
      <c r="AL30" s="317">
        <f t="shared" si="34"/>
        <v>10416.666666666666</v>
      </c>
      <c r="AM30" s="317">
        <f t="shared" si="34"/>
        <v>10416.666666666666</v>
      </c>
      <c r="AN30" s="317">
        <f t="shared" si="34"/>
        <v>10416.666666666666</v>
      </c>
      <c r="AO30" s="317">
        <f t="shared" si="34"/>
        <v>10416.666666666666</v>
      </c>
      <c r="AP30" s="317">
        <f t="shared" si="34"/>
        <v>10416.666666666666</v>
      </c>
      <c r="AQ30" s="317">
        <f t="shared" si="34"/>
        <v>10416.666666666666</v>
      </c>
      <c r="AR30" s="317">
        <f t="shared" si="34"/>
        <v>10416.666666666666</v>
      </c>
      <c r="AS30" s="317">
        <f t="shared" si="34"/>
        <v>10416.666666666666</v>
      </c>
      <c r="AT30" s="317">
        <f t="shared" si="34"/>
        <v>10416.666666666666</v>
      </c>
    </row>
    <row r="31" spans="1:46" ht="15.75" hidden="1" customHeight="1" outlineLevel="1" x14ac:dyDescent="0.25">
      <c r="A31" s="310">
        <v>7</v>
      </c>
      <c r="B31" s="311"/>
      <c r="C31" s="311"/>
      <c r="D31" s="311" t="s">
        <v>534</v>
      </c>
      <c r="E31" s="311" t="s">
        <v>214</v>
      </c>
      <c r="F31" s="311" t="s">
        <v>214</v>
      </c>
      <c r="G31" s="312">
        <v>90000</v>
      </c>
      <c r="H31" s="312">
        <f t="shared" si="1"/>
        <v>7500</v>
      </c>
      <c r="I31" s="314">
        <v>45962</v>
      </c>
      <c r="J31" s="310"/>
      <c r="K31" s="316"/>
      <c r="L31" s="317"/>
      <c r="M31" s="317"/>
      <c r="N31" s="317"/>
      <c r="O31" s="317"/>
      <c r="P31" s="317"/>
      <c r="Q31" s="317">
        <f t="shared" ref="Q31:T31" si="35">IF(Q$2&gt;=$I31,$H31,0)</f>
        <v>0</v>
      </c>
      <c r="R31" s="317">
        <f t="shared" si="35"/>
        <v>0</v>
      </c>
      <c r="S31" s="317">
        <f t="shared" si="35"/>
        <v>0</v>
      </c>
      <c r="T31" s="317">
        <f t="shared" si="35"/>
        <v>0</v>
      </c>
      <c r="U31" s="317"/>
      <c r="V31" s="317"/>
      <c r="W31" s="316">
        <f t="shared" ref="W31:AT31" si="36">IF(W$2&gt;=$I31,$H31,0)</f>
        <v>7500</v>
      </c>
      <c r="X31" s="317">
        <f t="shared" si="36"/>
        <v>7500</v>
      </c>
      <c r="Y31" s="317">
        <f t="shared" si="36"/>
        <v>7500</v>
      </c>
      <c r="Z31" s="317">
        <f t="shared" si="36"/>
        <v>7500</v>
      </c>
      <c r="AA31" s="317">
        <f t="shared" si="36"/>
        <v>7500</v>
      </c>
      <c r="AB31" s="317">
        <f t="shared" si="36"/>
        <v>7500</v>
      </c>
      <c r="AC31" s="317">
        <f t="shared" si="36"/>
        <v>7500</v>
      </c>
      <c r="AD31" s="317">
        <f t="shared" si="36"/>
        <v>7500</v>
      </c>
      <c r="AE31" s="317">
        <f t="shared" si="36"/>
        <v>7500</v>
      </c>
      <c r="AF31" s="317">
        <f t="shared" si="36"/>
        <v>7500</v>
      </c>
      <c r="AG31" s="317">
        <f t="shared" si="36"/>
        <v>7500</v>
      </c>
      <c r="AH31" s="317">
        <f t="shared" si="36"/>
        <v>7500</v>
      </c>
      <c r="AI31" s="316">
        <f t="shared" si="36"/>
        <v>7500</v>
      </c>
      <c r="AJ31" s="317">
        <f t="shared" si="36"/>
        <v>7500</v>
      </c>
      <c r="AK31" s="317">
        <f t="shared" si="36"/>
        <v>7500</v>
      </c>
      <c r="AL31" s="317">
        <f t="shared" si="36"/>
        <v>7500</v>
      </c>
      <c r="AM31" s="317">
        <f t="shared" si="36"/>
        <v>7500</v>
      </c>
      <c r="AN31" s="317">
        <f t="shared" si="36"/>
        <v>7500</v>
      </c>
      <c r="AO31" s="317">
        <f t="shared" si="36"/>
        <v>7500</v>
      </c>
      <c r="AP31" s="317">
        <f t="shared" si="36"/>
        <v>7500</v>
      </c>
      <c r="AQ31" s="317">
        <f t="shared" si="36"/>
        <v>7500</v>
      </c>
      <c r="AR31" s="317">
        <f t="shared" si="36"/>
        <v>7500</v>
      </c>
      <c r="AS31" s="317">
        <f t="shared" si="36"/>
        <v>7500</v>
      </c>
      <c r="AT31" s="317">
        <f t="shared" si="36"/>
        <v>7500</v>
      </c>
    </row>
    <row r="32" spans="1:46" ht="15.75" hidden="1" customHeight="1" outlineLevel="1" x14ac:dyDescent="0.25">
      <c r="A32" s="310">
        <v>8</v>
      </c>
      <c r="B32" s="311"/>
      <c r="C32" s="311"/>
      <c r="D32" s="311" t="s">
        <v>534</v>
      </c>
      <c r="E32" s="311" t="s">
        <v>214</v>
      </c>
      <c r="F32" s="311" t="s">
        <v>214</v>
      </c>
      <c r="G32" s="312">
        <v>90000</v>
      </c>
      <c r="H32" s="312">
        <f t="shared" si="1"/>
        <v>7500</v>
      </c>
      <c r="I32" s="314">
        <v>46143</v>
      </c>
      <c r="J32" s="310"/>
      <c r="K32" s="316"/>
      <c r="L32" s="317"/>
      <c r="M32" s="317"/>
      <c r="N32" s="317"/>
      <c r="O32" s="317"/>
      <c r="P32" s="317"/>
      <c r="Q32" s="317">
        <f t="shared" ref="Q32:T32" si="37">IF(Q$2&gt;=$I32,$H32,0)</f>
        <v>0</v>
      </c>
      <c r="R32" s="317">
        <f t="shared" si="37"/>
        <v>0</v>
      </c>
      <c r="S32" s="317">
        <f t="shared" si="37"/>
        <v>0</v>
      </c>
      <c r="T32" s="317">
        <f t="shared" si="37"/>
        <v>0</v>
      </c>
      <c r="U32" s="317"/>
      <c r="V32" s="317"/>
      <c r="W32" s="316">
        <f t="shared" ref="W32:AT32" si="38">IF(W$2&gt;=$I32,$H32,0)</f>
        <v>0</v>
      </c>
      <c r="X32" s="317">
        <f t="shared" si="38"/>
        <v>0</v>
      </c>
      <c r="Y32" s="317">
        <f t="shared" si="38"/>
        <v>0</v>
      </c>
      <c r="Z32" s="317">
        <f t="shared" si="38"/>
        <v>0</v>
      </c>
      <c r="AA32" s="317">
        <f t="shared" si="38"/>
        <v>7500</v>
      </c>
      <c r="AB32" s="317">
        <f t="shared" si="38"/>
        <v>7500</v>
      </c>
      <c r="AC32" s="317">
        <f t="shared" si="38"/>
        <v>7500</v>
      </c>
      <c r="AD32" s="317">
        <f t="shared" si="38"/>
        <v>7500</v>
      </c>
      <c r="AE32" s="317">
        <f t="shared" si="38"/>
        <v>7500</v>
      </c>
      <c r="AF32" s="317">
        <f t="shared" si="38"/>
        <v>7500</v>
      </c>
      <c r="AG32" s="317">
        <f t="shared" si="38"/>
        <v>7500</v>
      </c>
      <c r="AH32" s="317">
        <f t="shared" si="38"/>
        <v>7500</v>
      </c>
      <c r="AI32" s="316">
        <f t="shared" si="38"/>
        <v>7500</v>
      </c>
      <c r="AJ32" s="317">
        <f t="shared" si="38"/>
        <v>7500</v>
      </c>
      <c r="AK32" s="317">
        <f t="shared" si="38"/>
        <v>7500</v>
      </c>
      <c r="AL32" s="317">
        <f t="shared" si="38"/>
        <v>7500</v>
      </c>
      <c r="AM32" s="317">
        <f t="shared" si="38"/>
        <v>7500</v>
      </c>
      <c r="AN32" s="317">
        <f t="shared" si="38"/>
        <v>7500</v>
      </c>
      <c r="AO32" s="317">
        <f t="shared" si="38"/>
        <v>7500</v>
      </c>
      <c r="AP32" s="317">
        <f t="shared" si="38"/>
        <v>7500</v>
      </c>
      <c r="AQ32" s="317">
        <f t="shared" si="38"/>
        <v>7500</v>
      </c>
      <c r="AR32" s="317">
        <f t="shared" si="38"/>
        <v>7500</v>
      </c>
      <c r="AS32" s="317">
        <f t="shared" si="38"/>
        <v>7500</v>
      </c>
      <c r="AT32" s="317">
        <f t="shared" si="38"/>
        <v>7500</v>
      </c>
    </row>
    <row r="33" spans="1:46" ht="15.75" hidden="1" customHeight="1" outlineLevel="1" x14ac:dyDescent="0.25">
      <c r="A33" s="310">
        <v>9</v>
      </c>
      <c r="B33" s="311"/>
      <c r="C33" s="311"/>
      <c r="D33" s="311" t="s">
        <v>534</v>
      </c>
      <c r="E33" s="311" t="s">
        <v>214</v>
      </c>
      <c r="F33" s="311" t="s">
        <v>214</v>
      </c>
      <c r="G33" s="312">
        <v>90000</v>
      </c>
      <c r="H33" s="312">
        <f t="shared" si="1"/>
        <v>7500</v>
      </c>
      <c r="I33" s="314">
        <v>46235</v>
      </c>
      <c r="J33" s="310"/>
      <c r="K33" s="316"/>
      <c r="L33" s="317"/>
      <c r="M33" s="317"/>
      <c r="N33" s="317"/>
      <c r="O33" s="317"/>
      <c r="P33" s="317"/>
      <c r="Q33" s="317">
        <f t="shared" ref="Q33:AT33" si="39">IF(Q$2&gt;=$I33,$H33,0)</f>
        <v>0</v>
      </c>
      <c r="R33" s="317">
        <f t="shared" si="39"/>
        <v>0</v>
      </c>
      <c r="S33" s="317">
        <f t="shared" si="39"/>
        <v>0</v>
      </c>
      <c r="T33" s="317">
        <f t="shared" si="39"/>
        <v>0</v>
      </c>
      <c r="U33" s="317">
        <f t="shared" si="39"/>
        <v>0</v>
      </c>
      <c r="V33" s="317">
        <f t="shared" si="39"/>
        <v>0</v>
      </c>
      <c r="W33" s="316">
        <f t="shared" si="39"/>
        <v>0</v>
      </c>
      <c r="X33" s="317">
        <f t="shared" si="39"/>
        <v>0</v>
      </c>
      <c r="Y33" s="317">
        <f t="shared" si="39"/>
        <v>0</v>
      </c>
      <c r="Z33" s="317">
        <f t="shared" si="39"/>
        <v>0</v>
      </c>
      <c r="AA33" s="317">
        <f t="shared" si="39"/>
        <v>0</v>
      </c>
      <c r="AB33" s="317">
        <f t="shared" si="39"/>
        <v>0</v>
      </c>
      <c r="AC33" s="317">
        <f t="shared" si="39"/>
        <v>0</v>
      </c>
      <c r="AD33" s="317">
        <f t="shared" si="39"/>
        <v>7500</v>
      </c>
      <c r="AE33" s="317">
        <f t="shared" si="39"/>
        <v>7500</v>
      </c>
      <c r="AF33" s="317">
        <f t="shared" si="39"/>
        <v>7500</v>
      </c>
      <c r="AG33" s="317">
        <f t="shared" si="39"/>
        <v>7500</v>
      </c>
      <c r="AH33" s="317">
        <f t="shared" si="39"/>
        <v>7500</v>
      </c>
      <c r="AI33" s="316">
        <f t="shared" si="39"/>
        <v>7500</v>
      </c>
      <c r="AJ33" s="317">
        <f t="shared" si="39"/>
        <v>7500</v>
      </c>
      <c r="AK33" s="317">
        <f t="shared" si="39"/>
        <v>7500</v>
      </c>
      <c r="AL33" s="317">
        <f t="shared" si="39"/>
        <v>7500</v>
      </c>
      <c r="AM33" s="317">
        <f t="shared" si="39"/>
        <v>7500</v>
      </c>
      <c r="AN33" s="317">
        <f t="shared" si="39"/>
        <v>7500</v>
      </c>
      <c r="AO33" s="317">
        <f t="shared" si="39"/>
        <v>7500</v>
      </c>
      <c r="AP33" s="317">
        <f t="shared" si="39"/>
        <v>7500</v>
      </c>
      <c r="AQ33" s="317">
        <f t="shared" si="39"/>
        <v>7500</v>
      </c>
      <c r="AR33" s="317">
        <f t="shared" si="39"/>
        <v>7500</v>
      </c>
      <c r="AS33" s="317">
        <f t="shared" si="39"/>
        <v>7500</v>
      </c>
      <c r="AT33" s="317">
        <f t="shared" si="39"/>
        <v>7500</v>
      </c>
    </row>
    <row r="34" spans="1:46" ht="15.75" hidden="1" customHeight="1" outlineLevel="1" x14ac:dyDescent="0.25">
      <c r="A34" s="310">
        <v>10</v>
      </c>
      <c r="B34" s="311"/>
      <c r="C34" s="311"/>
      <c r="D34" s="311" t="s">
        <v>534</v>
      </c>
      <c r="E34" s="311" t="s">
        <v>214</v>
      </c>
      <c r="F34" s="311" t="s">
        <v>214</v>
      </c>
      <c r="G34" s="312">
        <v>90000</v>
      </c>
      <c r="H34" s="312">
        <f t="shared" si="1"/>
        <v>7500</v>
      </c>
      <c r="I34" s="314">
        <v>46388</v>
      </c>
      <c r="J34" s="310"/>
      <c r="K34" s="316"/>
      <c r="L34" s="317"/>
      <c r="M34" s="317"/>
      <c r="N34" s="317"/>
      <c r="O34" s="317"/>
      <c r="P34" s="317"/>
      <c r="Q34" s="317">
        <f t="shared" ref="Q34:AT34" si="40">IF(Q$2&gt;=$I34,$H34,0)</f>
        <v>0</v>
      </c>
      <c r="R34" s="317">
        <f t="shared" si="40"/>
        <v>0</v>
      </c>
      <c r="S34" s="317">
        <f t="shared" si="40"/>
        <v>0</v>
      </c>
      <c r="T34" s="317">
        <f t="shared" si="40"/>
        <v>0</v>
      </c>
      <c r="U34" s="317">
        <f t="shared" si="40"/>
        <v>0</v>
      </c>
      <c r="V34" s="317">
        <f t="shared" si="40"/>
        <v>0</v>
      </c>
      <c r="W34" s="316">
        <f t="shared" si="40"/>
        <v>0</v>
      </c>
      <c r="X34" s="317">
        <f t="shared" si="40"/>
        <v>0</v>
      </c>
      <c r="Y34" s="317">
        <f t="shared" si="40"/>
        <v>0</v>
      </c>
      <c r="Z34" s="317">
        <f t="shared" si="40"/>
        <v>0</v>
      </c>
      <c r="AA34" s="317">
        <f t="shared" si="40"/>
        <v>0</v>
      </c>
      <c r="AB34" s="317">
        <f t="shared" si="40"/>
        <v>0</v>
      </c>
      <c r="AC34" s="317">
        <f t="shared" si="40"/>
        <v>0</v>
      </c>
      <c r="AD34" s="317">
        <f t="shared" si="40"/>
        <v>0</v>
      </c>
      <c r="AE34" s="317">
        <f t="shared" si="40"/>
        <v>0</v>
      </c>
      <c r="AF34" s="317">
        <f t="shared" si="40"/>
        <v>0</v>
      </c>
      <c r="AG34" s="317">
        <f t="shared" si="40"/>
        <v>0</v>
      </c>
      <c r="AH34" s="317">
        <f t="shared" si="40"/>
        <v>0</v>
      </c>
      <c r="AI34" s="316">
        <f t="shared" si="40"/>
        <v>7500</v>
      </c>
      <c r="AJ34" s="317">
        <f t="shared" si="40"/>
        <v>7500</v>
      </c>
      <c r="AK34" s="317">
        <f t="shared" si="40"/>
        <v>7500</v>
      </c>
      <c r="AL34" s="317">
        <f t="shared" si="40"/>
        <v>7500</v>
      </c>
      <c r="AM34" s="317">
        <f t="shared" si="40"/>
        <v>7500</v>
      </c>
      <c r="AN34" s="317">
        <f t="shared" si="40"/>
        <v>7500</v>
      </c>
      <c r="AO34" s="317">
        <f t="shared" si="40"/>
        <v>7500</v>
      </c>
      <c r="AP34" s="317">
        <f t="shared" si="40"/>
        <v>7500</v>
      </c>
      <c r="AQ34" s="317">
        <f t="shared" si="40"/>
        <v>7500</v>
      </c>
      <c r="AR34" s="317">
        <f t="shared" si="40"/>
        <v>7500</v>
      </c>
      <c r="AS34" s="317">
        <f t="shared" si="40"/>
        <v>7500</v>
      </c>
      <c r="AT34" s="317">
        <f t="shared" si="40"/>
        <v>7500</v>
      </c>
    </row>
    <row r="35" spans="1:46" ht="15.75" hidden="1" customHeight="1" outlineLevel="1" x14ac:dyDescent="0.25">
      <c r="A35" s="310">
        <v>11</v>
      </c>
      <c r="B35" s="311"/>
      <c r="C35" s="311"/>
      <c r="D35" s="311" t="s">
        <v>535</v>
      </c>
      <c r="E35" s="311" t="s">
        <v>214</v>
      </c>
      <c r="F35" s="311" t="s">
        <v>214</v>
      </c>
      <c r="G35" s="312">
        <v>75000</v>
      </c>
      <c r="H35" s="312">
        <f t="shared" si="1"/>
        <v>6250</v>
      </c>
      <c r="I35" s="314">
        <v>46813</v>
      </c>
      <c r="J35" s="310"/>
      <c r="K35" s="316"/>
      <c r="L35" s="317"/>
      <c r="M35" s="317"/>
      <c r="N35" s="317"/>
      <c r="O35" s="317"/>
      <c r="P35" s="317"/>
      <c r="Q35" s="317">
        <f t="shared" ref="Q35:AT35" si="41">IF(Q$2&gt;=$I35,$H35,0)</f>
        <v>0</v>
      </c>
      <c r="R35" s="317">
        <f t="shared" si="41"/>
        <v>0</v>
      </c>
      <c r="S35" s="317">
        <f t="shared" si="41"/>
        <v>0</v>
      </c>
      <c r="T35" s="317">
        <f t="shared" si="41"/>
        <v>0</v>
      </c>
      <c r="U35" s="317">
        <f t="shared" si="41"/>
        <v>0</v>
      </c>
      <c r="V35" s="317">
        <f t="shared" si="41"/>
        <v>0</v>
      </c>
      <c r="W35" s="316">
        <f t="shared" si="41"/>
        <v>0</v>
      </c>
      <c r="X35" s="317">
        <f t="shared" si="41"/>
        <v>0</v>
      </c>
      <c r="Y35" s="317">
        <f t="shared" si="41"/>
        <v>0</v>
      </c>
      <c r="Z35" s="317">
        <f t="shared" si="41"/>
        <v>0</v>
      </c>
      <c r="AA35" s="317">
        <f t="shared" si="41"/>
        <v>0</v>
      </c>
      <c r="AB35" s="317">
        <f t="shared" si="41"/>
        <v>0</v>
      </c>
      <c r="AC35" s="317">
        <f t="shared" si="41"/>
        <v>0</v>
      </c>
      <c r="AD35" s="317">
        <f t="shared" si="41"/>
        <v>0</v>
      </c>
      <c r="AE35" s="317">
        <f t="shared" si="41"/>
        <v>0</v>
      </c>
      <c r="AF35" s="317">
        <f t="shared" si="41"/>
        <v>0</v>
      </c>
      <c r="AG35" s="317">
        <f t="shared" si="41"/>
        <v>0</v>
      </c>
      <c r="AH35" s="317">
        <f t="shared" si="41"/>
        <v>0</v>
      </c>
      <c r="AI35" s="316">
        <f t="shared" si="41"/>
        <v>0</v>
      </c>
      <c r="AJ35" s="317">
        <f t="shared" si="41"/>
        <v>0</v>
      </c>
      <c r="AK35" s="317">
        <f t="shared" si="41"/>
        <v>0</v>
      </c>
      <c r="AL35" s="317">
        <f t="shared" si="41"/>
        <v>0</v>
      </c>
      <c r="AM35" s="317">
        <f t="shared" si="41"/>
        <v>0</v>
      </c>
      <c r="AN35" s="317">
        <f t="shared" si="41"/>
        <v>0</v>
      </c>
      <c r="AO35" s="317">
        <f t="shared" si="41"/>
        <v>0</v>
      </c>
      <c r="AP35" s="317">
        <f t="shared" si="41"/>
        <v>0</v>
      </c>
      <c r="AQ35" s="317">
        <f t="shared" si="41"/>
        <v>0</v>
      </c>
      <c r="AR35" s="317">
        <f t="shared" si="41"/>
        <v>0</v>
      </c>
      <c r="AS35" s="317">
        <f t="shared" si="41"/>
        <v>0</v>
      </c>
      <c r="AT35" s="317">
        <f t="shared" si="41"/>
        <v>0</v>
      </c>
    </row>
    <row r="36" spans="1:46" ht="15.75" hidden="1" customHeight="1" outlineLevel="1" x14ac:dyDescent="0.25">
      <c r="A36" s="310">
        <v>12</v>
      </c>
      <c r="B36" s="311"/>
      <c r="C36" s="311"/>
      <c r="D36" s="311" t="s">
        <v>535</v>
      </c>
      <c r="E36" s="311" t="s">
        <v>214</v>
      </c>
      <c r="F36" s="311" t="s">
        <v>214</v>
      </c>
      <c r="G36" s="312">
        <v>75000</v>
      </c>
      <c r="H36" s="312">
        <f t="shared" si="1"/>
        <v>6250</v>
      </c>
      <c r="I36" s="314">
        <v>46813</v>
      </c>
      <c r="J36" s="310"/>
      <c r="K36" s="316"/>
      <c r="L36" s="317"/>
      <c r="M36" s="317"/>
      <c r="N36" s="317"/>
      <c r="O36" s="317"/>
      <c r="P36" s="317"/>
      <c r="Q36" s="317">
        <f t="shared" ref="Q36:AT36" si="42">IF(Q$2&gt;=$I36,$H36,0)</f>
        <v>0</v>
      </c>
      <c r="R36" s="317">
        <f t="shared" si="42"/>
        <v>0</v>
      </c>
      <c r="S36" s="317">
        <f t="shared" si="42"/>
        <v>0</v>
      </c>
      <c r="T36" s="317">
        <f t="shared" si="42"/>
        <v>0</v>
      </c>
      <c r="U36" s="317">
        <f t="shared" si="42"/>
        <v>0</v>
      </c>
      <c r="V36" s="317">
        <f t="shared" si="42"/>
        <v>0</v>
      </c>
      <c r="W36" s="316">
        <f t="shared" si="42"/>
        <v>0</v>
      </c>
      <c r="X36" s="317">
        <f t="shared" si="42"/>
        <v>0</v>
      </c>
      <c r="Y36" s="317">
        <f t="shared" si="42"/>
        <v>0</v>
      </c>
      <c r="Z36" s="317">
        <f t="shared" si="42"/>
        <v>0</v>
      </c>
      <c r="AA36" s="317">
        <f t="shared" si="42"/>
        <v>0</v>
      </c>
      <c r="AB36" s="317">
        <f t="shared" si="42"/>
        <v>0</v>
      </c>
      <c r="AC36" s="317">
        <f t="shared" si="42"/>
        <v>0</v>
      </c>
      <c r="AD36" s="317">
        <f t="shared" si="42"/>
        <v>0</v>
      </c>
      <c r="AE36" s="317">
        <f t="shared" si="42"/>
        <v>0</v>
      </c>
      <c r="AF36" s="317">
        <f t="shared" si="42"/>
        <v>0</v>
      </c>
      <c r="AG36" s="317">
        <f t="shared" si="42"/>
        <v>0</v>
      </c>
      <c r="AH36" s="317">
        <f t="shared" si="42"/>
        <v>0</v>
      </c>
      <c r="AI36" s="316">
        <f t="shared" si="42"/>
        <v>0</v>
      </c>
      <c r="AJ36" s="317">
        <f t="shared" si="42"/>
        <v>0</v>
      </c>
      <c r="AK36" s="317">
        <f t="shared" si="42"/>
        <v>0</v>
      </c>
      <c r="AL36" s="317">
        <f t="shared" si="42"/>
        <v>0</v>
      </c>
      <c r="AM36" s="317">
        <f t="shared" si="42"/>
        <v>0</v>
      </c>
      <c r="AN36" s="317">
        <f t="shared" si="42"/>
        <v>0</v>
      </c>
      <c r="AO36" s="317">
        <f t="shared" si="42"/>
        <v>0</v>
      </c>
      <c r="AP36" s="317">
        <f t="shared" si="42"/>
        <v>0</v>
      </c>
      <c r="AQ36" s="317">
        <f t="shared" si="42"/>
        <v>0</v>
      </c>
      <c r="AR36" s="317">
        <f t="shared" si="42"/>
        <v>0</v>
      </c>
      <c r="AS36" s="317">
        <f t="shared" si="42"/>
        <v>0</v>
      </c>
      <c r="AT36" s="317">
        <f t="shared" si="42"/>
        <v>0</v>
      </c>
    </row>
    <row r="37" spans="1:46" ht="15.75" hidden="1" customHeight="1" outlineLevel="1" x14ac:dyDescent="0.25">
      <c r="A37" s="310">
        <v>13</v>
      </c>
      <c r="B37" s="311"/>
      <c r="C37" s="311"/>
      <c r="D37" s="311" t="s">
        <v>535</v>
      </c>
      <c r="E37" s="311" t="s">
        <v>214</v>
      </c>
      <c r="F37" s="311" t="s">
        <v>214</v>
      </c>
      <c r="G37" s="312">
        <v>75000</v>
      </c>
      <c r="H37" s="312">
        <f t="shared" si="1"/>
        <v>6250</v>
      </c>
      <c r="I37" s="314">
        <v>46813</v>
      </c>
      <c r="J37" s="310"/>
      <c r="K37" s="316"/>
      <c r="L37" s="317"/>
      <c r="M37" s="317"/>
      <c r="N37" s="317"/>
      <c r="O37" s="317"/>
      <c r="P37" s="317"/>
      <c r="Q37" s="317">
        <f t="shared" ref="Q37:AT37" si="43">IF(Q$2&gt;=$I37,$H37,0)</f>
        <v>0</v>
      </c>
      <c r="R37" s="317">
        <f t="shared" si="43"/>
        <v>0</v>
      </c>
      <c r="S37" s="317">
        <f t="shared" si="43"/>
        <v>0</v>
      </c>
      <c r="T37" s="317">
        <f t="shared" si="43"/>
        <v>0</v>
      </c>
      <c r="U37" s="317">
        <f t="shared" si="43"/>
        <v>0</v>
      </c>
      <c r="V37" s="317">
        <f t="shared" si="43"/>
        <v>0</v>
      </c>
      <c r="W37" s="316">
        <f t="shared" si="43"/>
        <v>0</v>
      </c>
      <c r="X37" s="317">
        <f t="shared" si="43"/>
        <v>0</v>
      </c>
      <c r="Y37" s="317">
        <f t="shared" si="43"/>
        <v>0</v>
      </c>
      <c r="Z37" s="317">
        <f t="shared" si="43"/>
        <v>0</v>
      </c>
      <c r="AA37" s="317">
        <f t="shared" si="43"/>
        <v>0</v>
      </c>
      <c r="AB37" s="317">
        <f t="shared" si="43"/>
        <v>0</v>
      </c>
      <c r="AC37" s="317">
        <f t="shared" si="43"/>
        <v>0</v>
      </c>
      <c r="AD37" s="317">
        <f t="shared" si="43"/>
        <v>0</v>
      </c>
      <c r="AE37" s="317">
        <f t="shared" si="43"/>
        <v>0</v>
      </c>
      <c r="AF37" s="317">
        <f t="shared" si="43"/>
        <v>0</v>
      </c>
      <c r="AG37" s="317">
        <f t="shared" si="43"/>
        <v>0</v>
      </c>
      <c r="AH37" s="317">
        <f t="shared" si="43"/>
        <v>0</v>
      </c>
      <c r="AI37" s="316">
        <f t="shared" si="43"/>
        <v>0</v>
      </c>
      <c r="AJ37" s="317">
        <f t="shared" si="43"/>
        <v>0</v>
      </c>
      <c r="AK37" s="317">
        <f t="shared" si="43"/>
        <v>0</v>
      </c>
      <c r="AL37" s="317">
        <f t="shared" si="43"/>
        <v>0</v>
      </c>
      <c r="AM37" s="317">
        <f t="shared" si="43"/>
        <v>0</v>
      </c>
      <c r="AN37" s="317">
        <f t="shared" si="43"/>
        <v>0</v>
      </c>
      <c r="AO37" s="317">
        <f t="shared" si="43"/>
        <v>0</v>
      </c>
      <c r="AP37" s="317">
        <f t="shared" si="43"/>
        <v>0</v>
      </c>
      <c r="AQ37" s="317">
        <f t="shared" si="43"/>
        <v>0</v>
      </c>
      <c r="AR37" s="317">
        <f t="shared" si="43"/>
        <v>0</v>
      </c>
      <c r="AS37" s="317">
        <f t="shared" si="43"/>
        <v>0</v>
      </c>
      <c r="AT37" s="317">
        <f t="shared" si="43"/>
        <v>0</v>
      </c>
    </row>
    <row r="38" spans="1:46" ht="15.75" hidden="1" customHeight="1" outlineLevel="1" x14ac:dyDescent="0.25">
      <c r="A38" s="310">
        <v>14</v>
      </c>
      <c r="B38" s="311"/>
      <c r="C38" s="311"/>
      <c r="D38" s="311" t="s">
        <v>536</v>
      </c>
      <c r="E38" s="311" t="s">
        <v>214</v>
      </c>
      <c r="F38" s="311" t="s">
        <v>217</v>
      </c>
      <c r="G38" s="312">
        <v>70000</v>
      </c>
      <c r="H38" s="312">
        <f t="shared" si="1"/>
        <v>5833.333333333333</v>
      </c>
      <c r="I38" s="314"/>
      <c r="J38" s="321">
        <v>2</v>
      </c>
      <c r="K38" s="316"/>
      <c r="L38" s="317"/>
      <c r="M38" s="317"/>
      <c r="N38" s="317"/>
      <c r="O38" s="317"/>
      <c r="P38" s="317"/>
      <c r="Q38" s="317">
        <f>IF(Worksheet!M$306&gt;=$J38,Staffing!$H38,0)</f>
        <v>0</v>
      </c>
      <c r="R38" s="317">
        <f>IF(Worksheet!N$306&gt;=$J38,Staffing!$H38,0)</f>
        <v>0</v>
      </c>
      <c r="S38" s="317">
        <f>IF(Worksheet!O$306&gt;=$J38,Staffing!$H38,0)</f>
        <v>0</v>
      </c>
      <c r="T38" s="317">
        <f>IF(Worksheet!P$306&gt;=$J38,Staffing!$H38,0)</f>
        <v>0</v>
      </c>
      <c r="U38" s="317">
        <f>IF(Worksheet!Q$306&gt;=$J38,Staffing!$H38,0)</f>
        <v>0</v>
      </c>
      <c r="V38" s="317">
        <f>IF(Worksheet!R$306&gt;=$J38,Staffing!$H38,0)</f>
        <v>0</v>
      </c>
      <c r="W38" s="316">
        <f>IF(Worksheet!S$306&gt;=$J38,Staffing!$H38,0)</f>
        <v>0</v>
      </c>
      <c r="X38" s="317">
        <f>IF(Worksheet!T$306&gt;=$J38,Staffing!$H38,0)</f>
        <v>0</v>
      </c>
      <c r="Y38" s="317">
        <f>IF(Worksheet!U$306&gt;=$J38,Staffing!$H38,0)</f>
        <v>0</v>
      </c>
      <c r="Z38" s="317">
        <f>IF(Worksheet!V$306&gt;=$J38,Staffing!$H38,0)</f>
        <v>0</v>
      </c>
      <c r="AA38" s="317">
        <f>IF(Worksheet!W$306&gt;=$J38,Staffing!$H38,0)</f>
        <v>0</v>
      </c>
      <c r="AB38" s="317">
        <f>IF(Worksheet!X$306&gt;=$J38,Staffing!$H38,0)</f>
        <v>0</v>
      </c>
      <c r="AC38" s="317">
        <f>IF(Worksheet!Y$306&gt;=$J38,Staffing!$H38,0)</f>
        <v>0</v>
      </c>
      <c r="AD38" s="317">
        <f>IF(Worksheet!Z$306&gt;=$J38,Staffing!$H38,0)</f>
        <v>0</v>
      </c>
      <c r="AE38" s="317">
        <f>IF(Worksheet!AA$306&gt;=$J38,Staffing!$H38,0)</f>
        <v>0</v>
      </c>
      <c r="AF38" s="317">
        <f>IF(Worksheet!AB$306&gt;=$J38,Staffing!$H38,0)</f>
        <v>0</v>
      </c>
      <c r="AG38" s="317">
        <f>IF(Worksheet!AC$306&gt;=$J38,Staffing!$H38,0)</f>
        <v>0</v>
      </c>
      <c r="AH38" s="317">
        <f>IF(Worksheet!AD$306&gt;=$J38,Staffing!$H38,0)</f>
        <v>0</v>
      </c>
      <c r="AI38" s="316">
        <f>IF(Worksheet!AE$306&gt;=$J38,Staffing!$H38,0)</f>
        <v>5833.333333333333</v>
      </c>
      <c r="AJ38" s="317">
        <f>IF(Worksheet!AF$306&gt;=$J38,Staffing!$H38,0)</f>
        <v>5833.333333333333</v>
      </c>
      <c r="AK38" s="317">
        <f>IF(Worksheet!AG$306&gt;=$J38,Staffing!$H38,0)</f>
        <v>5833.333333333333</v>
      </c>
      <c r="AL38" s="317">
        <f>IF(Worksheet!AH$306&gt;=$J38,Staffing!$H38,0)</f>
        <v>5833.333333333333</v>
      </c>
      <c r="AM38" s="317">
        <f>IF(Worksheet!AI$306&gt;=$J38,Staffing!$H38,0)</f>
        <v>5833.333333333333</v>
      </c>
      <c r="AN38" s="317">
        <f>IF(Worksheet!AJ$306&gt;=$J38,Staffing!$H38,0)</f>
        <v>5833.333333333333</v>
      </c>
      <c r="AO38" s="317">
        <f>IF(Worksheet!AK$306&gt;=$J38,Staffing!$H38,0)</f>
        <v>5833.333333333333</v>
      </c>
      <c r="AP38" s="317">
        <f>IF(Worksheet!AL$306&gt;=$J38,Staffing!$H38,0)</f>
        <v>5833.333333333333</v>
      </c>
      <c r="AQ38" s="317">
        <f>IF(Worksheet!AM$306&gt;=$J38,Staffing!$H38,0)</f>
        <v>5833.333333333333</v>
      </c>
      <c r="AR38" s="317">
        <f>IF(Worksheet!AN$306&gt;=$J38,Staffing!$H38,0)</f>
        <v>5833.333333333333</v>
      </c>
      <c r="AS38" s="317">
        <f>IF(Worksheet!AO$306&gt;=$J38,Staffing!$H38,0)</f>
        <v>5833.333333333333</v>
      </c>
      <c r="AT38" s="317">
        <f>IF(Worksheet!AP$306&gt;=$J38,Staffing!$H38,0)</f>
        <v>5833.333333333333</v>
      </c>
    </row>
    <row r="39" spans="1:46" ht="15.75" hidden="1" customHeight="1" outlineLevel="1" x14ac:dyDescent="0.25">
      <c r="A39" s="310">
        <v>15</v>
      </c>
      <c r="B39" s="311"/>
      <c r="C39" s="311"/>
      <c r="D39" s="311" t="s">
        <v>536</v>
      </c>
      <c r="E39" s="311" t="s">
        <v>214</v>
      </c>
      <c r="F39" s="311" t="s">
        <v>217</v>
      </c>
      <c r="G39" s="312">
        <v>70000</v>
      </c>
      <c r="H39" s="312">
        <f t="shared" si="1"/>
        <v>5833.333333333333</v>
      </c>
      <c r="I39" s="314"/>
      <c r="J39" s="321">
        <v>3</v>
      </c>
      <c r="K39" s="316"/>
      <c r="L39" s="317"/>
      <c r="M39" s="317"/>
      <c r="N39" s="317"/>
      <c r="O39" s="317"/>
      <c r="P39" s="317"/>
      <c r="Q39" s="317">
        <f>IF(Worksheet!M$306&gt;=$J39,Staffing!$H39,0)</f>
        <v>0</v>
      </c>
      <c r="R39" s="317">
        <f>IF(Worksheet!N$306&gt;=$J39,Staffing!$H39,0)</f>
        <v>0</v>
      </c>
      <c r="S39" s="317">
        <f>IF(Worksheet!O$306&gt;=$J39,Staffing!$H39,0)</f>
        <v>0</v>
      </c>
      <c r="T39" s="317">
        <f>IF(Worksheet!P$306&gt;=$J39,Staffing!$H39,0)</f>
        <v>0</v>
      </c>
      <c r="U39" s="317">
        <f>IF(Worksheet!Q$306&gt;=$J39,Staffing!$H39,0)</f>
        <v>0</v>
      </c>
      <c r="V39" s="317">
        <f>IF(Worksheet!R$306&gt;=$J39,Staffing!$H39,0)</f>
        <v>0</v>
      </c>
      <c r="W39" s="316">
        <f>IF(Worksheet!S$306&gt;=$J39,Staffing!$H39,0)</f>
        <v>0</v>
      </c>
      <c r="X39" s="317">
        <f>IF(Worksheet!T$306&gt;=$J39,Staffing!$H39,0)</f>
        <v>0</v>
      </c>
      <c r="Y39" s="317">
        <f>IF(Worksheet!U$306&gt;=$J39,Staffing!$H39,0)</f>
        <v>0</v>
      </c>
      <c r="Z39" s="317">
        <f>IF(Worksheet!V$306&gt;=$J39,Staffing!$H39,0)</f>
        <v>0</v>
      </c>
      <c r="AA39" s="317">
        <f>IF(Worksheet!W$306&gt;=$J39,Staffing!$H39,0)</f>
        <v>0</v>
      </c>
      <c r="AB39" s="317">
        <f>IF(Worksheet!X$306&gt;=$J39,Staffing!$H39,0)</f>
        <v>0</v>
      </c>
      <c r="AC39" s="317">
        <f>IF(Worksheet!Y$306&gt;=$J39,Staffing!$H39,0)</f>
        <v>0</v>
      </c>
      <c r="AD39" s="317">
        <f>IF(Worksheet!Z$306&gt;=$J39,Staffing!$H39,0)</f>
        <v>0</v>
      </c>
      <c r="AE39" s="317">
        <f>IF(Worksheet!AA$306&gt;=$J39,Staffing!$H39,0)</f>
        <v>0</v>
      </c>
      <c r="AF39" s="317">
        <f>IF(Worksheet!AB$306&gt;=$J39,Staffing!$H39,0)</f>
        <v>0</v>
      </c>
      <c r="AG39" s="317">
        <f>IF(Worksheet!AC$306&gt;=$J39,Staffing!$H39,0)</f>
        <v>0</v>
      </c>
      <c r="AH39" s="317">
        <f>IF(Worksheet!AD$306&gt;=$J39,Staffing!$H39,0)</f>
        <v>0</v>
      </c>
      <c r="AI39" s="316">
        <f>IF(Worksheet!AE$306&gt;=$J39,Staffing!$H39,0)</f>
        <v>0</v>
      </c>
      <c r="AJ39" s="317">
        <f>IF(Worksheet!AF$306&gt;=$J39,Staffing!$H39,0)</f>
        <v>0</v>
      </c>
      <c r="AK39" s="317">
        <f>IF(Worksheet!AG$306&gt;=$J39,Staffing!$H39,0)</f>
        <v>0</v>
      </c>
      <c r="AL39" s="317">
        <f>IF(Worksheet!AH$306&gt;=$J39,Staffing!$H39,0)</f>
        <v>0</v>
      </c>
      <c r="AM39" s="317">
        <f>IF(Worksheet!AI$306&gt;=$J39,Staffing!$H39,0)</f>
        <v>0</v>
      </c>
      <c r="AN39" s="317">
        <f>IF(Worksheet!AJ$306&gt;=$J39,Staffing!$H39,0)</f>
        <v>0</v>
      </c>
      <c r="AO39" s="317">
        <f>IF(Worksheet!AK$306&gt;=$J39,Staffing!$H39,0)</f>
        <v>0</v>
      </c>
      <c r="AP39" s="317">
        <f>IF(Worksheet!AL$306&gt;=$J39,Staffing!$H39,0)</f>
        <v>0</v>
      </c>
      <c r="AQ39" s="317">
        <f>IF(Worksheet!AM$306&gt;=$J39,Staffing!$H39,0)</f>
        <v>0</v>
      </c>
      <c r="AR39" s="317">
        <f>IF(Worksheet!AN$306&gt;=$J39,Staffing!$H39,0)</f>
        <v>0</v>
      </c>
      <c r="AS39" s="317">
        <f>IF(Worksheet!AO$306&gt;=$J39,Staffing!$H39,0)</f>
        <v>0</v>
      </c>
      <c r="AT39" s="317">
        <f>IF(Worksheet!AP$306&gt;=$J39,Staffing!$H39,0)</f>
        <v>0</v>
      </c>
    </row>
    <row r="40" spans="1:46" ht="15.75" hidden="1" customHeight="1" outlineLevel="1" x14ac:dyDescent="0.25">
      <c r="A40" s="310">
        <v>16</v>
      </c>
      <c r="B40" s="311"/>
      <c r="C40" s="311"/>
      <c r="D40" s="311" t="s">
        <v>536</v>
      </c>
      <c r="E40" s="311" t="s">
        <v>214</v>
      </c>
      <c r="F40" s="311" t="s">
        <v>217</v>
      </c>
      <c r="G40" s="312">
        <v>70000</v>
      </c>
      <c r="H40" s="312">
        <f t="shared" si="1"/>
        <v>5833.333333333333</v>
      </c>
      <c r="I40" s="314"/>
      <c r="J40" s="321">
        <v>4</v>
      </c>
      <c r="K40" s="316"/>
      <c r="L40" s="317"/>
      <c r="M40" s="317"/>
      <c r="N40" s="317"/>
      <c r="O40" s="317"/>
      <c r="P40" s="317"/>
      <c r="Q40" s="317">
        <f>IF(Worksheet!M$306&gt;=$J40,Staffing!$H40,0)</f>
        <v>0</v>
      </c>
      <c r="R40" s="317">
        <f>IF(Worksheet!N$306&gt;=$J40,Staffing!$H40,0)</f>
        <v>0</v>
      </c>
      <c r="S40" s="317">
        <f>IF(Worksheet!O$306&gt;=$J40,Staffing!$H40,0)</f>
        <v>0</v>
      </c>
      <c r="T40" s="317">
        <f>IF(Worksheet!P$306&gt;=$J40,Staffing!$H40,0)</f>
        <v>0</v>
      </c>
      <c r="U40" s="317">
        <f>IF(Worksheet!Q$306&gt;=$J40,Staffing!$H40,0)</f>
        <v>0</v>
      </c>
      <c r="V40" s="317">
        <f>IF(Worksheet!R$306&gt;=$J40,Staffing!$H40,0)</f>
        <v>0</v>
      </c>
      <c r="W40" s="316">
        <f>IF(Worksheet!S$306&gt;=$J40,Staffing!$H40,0)</f>
        <v>0</v>
      </c>
      <c r="X40" s="317">
        <f>IF(Worksheet!T$306&gt;=$J40,Staffing!$H40,0)</f>
        <v>0</v>
      </c>
      <c r="Y40" s="317">
        <f>IF(Worksheet!U$306&gt;=$J40,Staffing!$H40,0)</f>
        <v>0</v>
      </c>
      <c r="Z40" s="317">
        <f>IF(Worksheet!V$306&gt;=$J40,Staffing!$H40,0)</f>
        <v>0</v>
      </c>
      <c r="AA40" s="317">
        <f>IF(Worksheet!W$306&gt;=$J40,Staffing!$H40,0)</f>
        <v>0</v>
      </c>
      <c r="AB40" s="317">
        <f>IF(Worksheet!X$306&gt;=$J40,Staffing!$H40,0)</f>
        <v>0</v>
      </c>
      <c r="AC40" s="317">
        <f>IF(Worksheet!Y$306&gt;=$J40,Staffing!$H40,0)</f>
        <v>0</v>
      </c>
      <c r="AD40" s="317">
        <f>IF(Worksheet!Z$306&gt;=$J40,Staffing!$H40,0)</f>
        <v>0</v>
      </c>
      <c r="AE40" s="317">
        <f>IF(Worksheet!AA$306&gt;=$J40,Staffing!$H40,0)</f>
        <v>0</v>
      </c>
      <c r="AF40" s="317">
        <f>IF(Worksheet!AB$306&gt;=$J40,Staffing!$H40,0)</f>
        <v>0</v>
      </c>
      <c r="AG40" s="317">
        <f>IF(Worksheet!AC$306&gt;=$J40,Staffing!$H40,0)</f>
        <v>0</v>
      </c>
      <c r="AH40" s="317">
        <f>IF(Worksheet!AD$306&gt;=$J40,Staffing!$H40,0)</f>
        <v>0</v>
      </c>
      <c r="AI40" s="316">
        <f>IF(Worksheet!AE$306&gt;=$J40,Staffing!$H40,0)</f>
        <v>0</v>
      </c>
      <c r="AJ40" s="317">
        <f>IF(Worksheet!AF$306&gt;=$J40,Staffing!$H40,0)</f>
        <v>0</v>
      </c>
      <c r="AK40" s="317">
        <f>IF(Worksheet!AG$306&gt;=$J40,Staffing!$H40,0)</f>
        <v>0</v>
      </c>
      <c r="AL40" s="317">
        <f>IF(Worksheet!AH$306&gt;=$J40,Staffing!$H40,0)</f>
        <v>0</v>
      </c>
      <c r="AM40" s="317">
        <f>IF(Worksheet!AI$306&gt;=$J40,Staffing!$H40,0)</f>
        <v>0</v>
      </c>
      <c r="AN40" s="317">
        <f>IF(Worksheet!AJ$306&gt;=$J40,Staffing!$H40,0)</f>
        <v>0</v>
      </c>
      <c r="AO40" s="317">
        <f>IF(Worksheet!AK$306&gt;=$J40,Staffing!$H40,0)</f>
        <v>0</v>
      </c>
      <c r="AP40" s="317">
        <f>IF(Worksheet!AL$306&gt;=$J40,Staffing!$H40,0)</f>
        <v>0</v>
      </c>
      <c r="AQ40" s="317">
        <f>IF(Worksheet!AM$306&gt;=$J40,Staffing!$H40,0)</f>
        <v>0</v>
      </c>
      <c r="AR40" s="317">
        <f>IF(Worksheet!AN$306&gt;=$J40,Staffing!$H40,0)</f>
        <v>0</v>
      </c>
      <c r="AS40" s="317">
        <f>IF(Worksheet!AO$306&gt;=$J40,Staffing!$H40,0)</f>
        <v>0</v>
      </c>
      <c r="AT40" s="317">
        <f>IF(Worksheet!AP$306&gt;=$J40,Staffing!$H40,0)</f>
        <v>0</v>
      </c>
    </row>
    <row r="41" spans="1:46" ht="15.75" hidden="1" customHeight="1" outlineLevel="1" x14ac:dyDescent="0.25">
      <c r="A41" s="310">
        <v>17</v>
      </c>
      <c r="B41" s="311"/>
      <c r="C41" s="311"/>
      <c r="D41" s="311" t="s">
        <v>537</v>
      </c>
      <c r="E41" s="311" t="s">
        <v>214</v>
      </c>
      <c r="F41" s="311" t="s">
        <v>217</v>
      </c>
      <c r="G41" s="312">
        <v>55000</v>
      </c>
      <c r="H41" s="312">
        <f t="shared" si="1"/>
        <v>4583.333333333333</v>
      </c>
      <c r="I41" s="314"/>
      <c r="J41" s="321">
        <v>2</v>
      </c>
      <c r="K41" s="316"/>
      <c r="L41" s="317"/>
      <c r="M41" s="317"/>
      <c r="N41" s="317"/>
      <c r="O41" s="317"/>
      <c r="P41" s="317"/>
      <c r="Q41" s="317">
        <f>IF(Worksheet!M$305&gt;=$J41,Staffing!$H41,0)</f>
        <v>0</v>
      </c>
      <c r="R41" s="317">
        <f>IF(Worksheet!N$305&gt;=$J41,Staffing!$H41,0)</f>
        <v>0</v>
      </c>
      <c r="S41" s="317">
        <f>IF(Worksheet!O$305&gt;=$J41,Staffing!$H41,0)</f>
        <v>0</v>
      </c>
      <c r="T41" s="317">
        <f>IF(Worksheet!P$305&gt;=$J41,Staffing!$H41,0)</f>
        <v>0</v>
      </c>
      <c r="U41" s="317">
        <f>IF(Worksheet!Q$305&gt;=$J41,Staffing!$H41,0)</f>
        <v>0</v>
      </c>
      <c r="V41" s="317"/>
      <c r="W41" s="316">
        <f>IF(Worksheet!S$305&gt;=$J41,Staffing!$H41,0)</f>
        <v>4583.333333333333</v>
      </c>
      <c r="X41" s="317">
        <f>IF(Worksheet!T$305&gt;=$J41,Staffing!$H41,0)</f>
        <v>4583.333333333333</v>
      </c>
      <c r="Y41" s="317">
        <f>IF(Worksheet!U$305&gt;=$J41,Staffing!$H41,0)</f>
        <v>4583.333333333333</v>
      </c>
      <c r="Z41" s="317">
        <f>IF(Worksheet!V$305&gt;=$J41,Staffing!$H41,0)</f>
        <v>4583.333333333333</v>
      </c>
      <c r="AA41" s="317">
        <f>IF(Worksheet!W$305&gt;=$J41,Staffing!$H41,0)</f>
        <v>4583.333333333333</v>
      </c>
      <c r="AB41" s="317">
        <f>IF(Worksheet!X$305&gt;=$J41,Staffing!$H41,0)</f>
        <v>4583.333333333333</v>
      </c>
      <c r="AC41" s="317">
        <f>IF(Worksheet!Y$305&gt;=$J41,Staffing!$H41,0)</f>
        <v>4583.333333333333</v>
      </c>
      <c r="AD41" s="317">
        <f>IF(Worksheet!Z$305&gt;=$J41,Staffing!$H41,0)</f>
        <v>4583.333333333333</v>
      </c>
      <c r="AE41" s="317">
        <f>IF(Worksheet!AA$305&gt;=$J41,Staffing!$H41,0)</f>
        <v>4583.333333333333</v>
      </c>
      <c r="AF41" s="317">
        <f>IF(Worksheet!AB$305&gt;=$J41,Staffing!$H41,0)</f>
        <v>4583.333333333333</v>
      </c>
      <c r="AG41" s="317">
        <f>IF(Worksheet!AC$305&gt;=$J41,Staffing!$H41,0)</f>
        <v>4583.333333333333</v>
      </c>
      <c r="AH41" s="317">
        <f>IF(Worksheet!AD$305&gt;=$J41,Staffing!$H41,0)</f>
        <v>4583.333333333333</v>
      </c>
      <c r="AI41" s="316">
        <f>IF(Worksheet!AE$305&gt;=$J41,Staffing!$H41,0)</f>
        <v>4583.333333333333</v>
      </c>
      <c r="AJ41" s="317">
        <f>IF(Worksheet!AF$305&gt;=$J41,Staffing!$H41,0)</f>
        <v>4583.333333333333</v>
      </c>
      <c r="AK41" s="317">
        <f>IF(Worksheet!AG$305&gt;=$J41,Staffing!$H41,0)</f>
        <v>4583.333333333333</v>
      </c>
      <c r="AL41" s="317">
        <f>IF(Worksheet!AH$305&gt;=$J41,Staffing!$H41,0)</f>
        <v>4583.333333333333</v>
      </c>
      <c r="AM41" s="317">
        <f>IF(Worksheet!AI$305&gt;=$J41,Staffing!$H41,0)</f>
        <v>4583.333333333333</v>
      </c>
      <c r="AN41" s="317">
        <f>IF(Worksheet!AJ$305&gt;=$J41,Staffing!$H41,0)</f>
        <v>4583.333333333333</v>
      </c>
      <c r="AO41" s="317">
        <f>IF(Worksheet!AK$305&gt;=$J41,Staffing!$H41,0)</f>
        <v>4583.333333333333</v>
      </c>
      <c r="AP41" s="317">
        <f>IF(Worksheet!AL$305&gt;=$J41,Staffing!$H41,0)</f>
        <v>4583.333333333333</v>
      </c>
      <c r="AQ41" s="317">
        <f>IF(Worksheet!AM$305&gt;=$J41,Staffing!$H41,0)</f>
        <v>4583.333333333333</v>
      </c>
      <c r="AR41" s="317">
        <f>IF(Worksheet!AN$305&gt;=$J41,Staffing!$H41,0)</f>
        <v>4583.333333333333</v>
      </c>
      <c r="AS41" s="317">
        <f>IF(Worksheet!AO$305&gt;=$J41,Staffing!$H41,0)</f>
        <v>4583.333333333333</v>
      </c>
      <c r="AT41" s="317">
        <f>IF(Worksheet!AP$305&gt;=$J41,Staffing!$H41,0)</f>
        <v>4583.333333333333</v>
      </c>
    </row>
    <row r="42" spans="1:46" ht="15.75" hidden="1" customHeight="1" outlineLevel="1" x14ac:dyDescent="0.25">
      <c r="A42" s="310">
        <v>18</v>
      </c>
      <c r="B42" s="311"/>
      <c r="C42" s="311"/>
      <c r="D42" s="311" t="s">
        <v>537</v>
      </c>
      <c r="E42" s="311" t="s">
        <v>214</v>
      </c>
      <c r="F42" s="311" t="s">
        <v>217</v>
      </c>
      <c r="G42" s="312">
        <v>55000</v>
      </c>
      <c r="H42" s="312">
        <f t="shared" si="1"/>
        <v>4583.333333333333</v>
      </c>
      <c r="I42" s="314"/>
      <c r="J42" s="321">
        <v>3</v>
      </c>
      <c r="K42" s="316"/>
      <c r="L42" s="317"/>
      <c r="M42" s="317"/>
      <c r="N42" s="317"/>
      <c r="O42" s="317"/>
      <c r="P42" s="317"/>
      <c r="Q42" s="317">
        <f>IF(Worksheet!M$306&gt;=$J42,Staffing!$H42,0)</f>
        <v>0</v>
      </c>
      <c r="R42" s="317">
        <f>IF(Worksheet!N$306&gt;=$J42,Staffing!$H42,0)</f>
        <v>0</v>
      </c>
      <c r="S42" s="317">
        <f>IF(Worksheet!O$306&gt;=$J42,Staffing!$H42,0)</f>
        <v>0</v>
      </c>
      <c r="T42" s="317">
        <f>IF(Worksheet!P$306&gt;=$J42,Staffing!$H42,0)</f>
        <v>0</v>
      </c>
      <c r="U42" s="317">
        <f>IF(Worksheet!Q$305&gt;=$J42,Staffing!$H42,0)</f>
        <v>0</v>
      </c>
      <c r="V42" s="317">
        <f>IF(Worksheet!R$305&gt;=$J42,Staffing!$H42,0)</f>
        <v>0</v>
      </c>
      <c r="W42" s="316">
        <f>IF(Worksheet!S$305&gt;=$J42,Staffing!$H42,0)</f>
        <v>0</v>
      </c>
      <c r="X42" s="317">
        <f>IF(Worksheet!T$305&gt;=$J42,Staffing!$H42,0)</f>
        <v>4583.333333333333</v>
      </c>
      <c r="Y42" s="317">
        <f>IF(Worksheet!U$305&gt;=$J42,Staffing!$H42,0)</f>
        <v>4583.333333333333</v>
      </c>
      <c r="Z42" s="317">
        <f>IF(Worksheet!V$305&gt;=$J42,Staffing!$H42,0)</f>
        <v>4583.333333333333</v>
      </c>
      <c r="AA42" s="317">
        <f>IF(Worksheet!W$305&gt;=$J42,Staffing!$H42,0)</f>
        <v>4583.333333333333</v>
      </c>
      <c r="AB42" s="317">
        <f>IF(Worksheet!X$305&gt;=$J42,Staffing!$H42,0)</f>
        <v>4583.333333333333</v>
      </c>
      <c r="AC42" s="317">
        <f>IF(Worksheet!Y$305&gt;=$J42,Staffing!$H42,0)</f>
        <v>4583.333333333333</v>
      </c>
      <c r="AD42" s="317">
        <f>IF(Worksheet!Z$305&gt;=$J42,Staffing!$H42,0)</f>
        <v>4583.333333333333</v>
      </c>
      <c r="AE42" s="317">
        <f>IF(Worksheet!AA$305&gt;=$J42,Staffing!$H42,0)</f>
        <v>4583.333333333333</v>
      </c>
      <c r="AF42" s="317">
        <f>IF(Worksheet!AB$305&gt;=$J42,Staffing!$H42,0)</f>
        <v>4583.333333333333</v>
      </c>
      <c r="AG42" s="317">
        <f>IF(Worksheet!AC$305&gt;=$J42,Staffing!$H42,0)</f>
        <v>4583.333333333333</v>
      </c>
      <c r="AH42" s="317">
        <f>IF(Worksheet!AD$305&gt;=$J42,Staffing!$H42,0)</f>
        <v>4583.333333333333</v>
      </c>
      <c r="AI42" s="316">
        <f>IF(Worksheet!AE$305&gt;=$J42,Staffing!$H42,0)</f>
        <v>4583.333333333333</v>
      </c>
      <c r="AJ42" s="317">
        <f>IF(Worksheet!AF$305&gt;=$J42,Staffing!$H42,0)</f>
        <v>4583.333333333333</v>
      </c>
      <c r="AK42" s="317">
        <f>IF(Worksheet!AG$305&gt;=$J42,Staffing!$H42,0)</f>
        <v>4583.333333333333</v>
      </c>
      <c r="AL42" s="317">
        <f>IF(Worksheet!AH$305&gt;=$J42,Staffing!$H42,0)</f>
        <v>4583.333333333333</v>
      </c>
      <c r="AM42" s="317">
        <f>IF(Worksheet!AI$305&gt;=$J42,Staffing!$H42,0)</f>
        <v>4583.333333333333</v>
      </c>
      <c r="AN42" s="317">
        <f>IF(Worksheet!AJ$305&gt;=$J42,Staffing!$H42,0)</f>
        <v>4583.333333333333</v>
      </c>
      <c r="AO42" s="317">
        <f>IF(Worksheet!AK$305&gt;=$J42,Staffing!$H42,0)</f>
        <v>4583.333333333333</v>
      </c>
      <c r="AP42" s="317">
        <f>IF(Worksheet!AL$305&gt;=$J42,Staffing!$H42,0)</f>
        <v>4583.333333333333</v>
      </c>
      <c r="AQ42" s="317">
        <f>IF(Worksheet!AM$305&gt;=$J42,Staffing!$H42,0)</f>
        <v>4583.333333333333</v>
      </c>
      <c r="AR42" s="317">
        <f>IF(Worksheet!AN$305&gt;=$J42,Staffing!$H42,0)</f>
        <v>4583.333333333333</v>
      </c>
      <c r="AS42" s="317">
        <f>IF(Worksheet!AO$305&gt;=$J42,Staffing!$H42,0)</f>
        <v>4583.333333333333</v>
      </c>
      <c r="AT42" s="317">
        <f>IF(Worksheet!AP$305&gt;=$J42,Staffing!$H42,0)</f>
        <v>4583.333333333333</v>
      </c>
    </row>
    <row r="43" spans="1:46" ht="15.75" hidden="1" customHeight="1" outlineLevel="1" x14ac:dyDescent="0.25">
      <c r="A43" s="310">
        <v>19</v>
      </c>
      <c r="B43" s="311"/>
      <c r="C43" s="311"/>
      <c r="D43" s="311" t="s">
        <v>537</v>
      </c>
      <c r="E43" s="311" t="s">
        <v>214</v>
      </c>
      <c r="F43" s="311" t="s">
        <v>217</v>
      </c>
      <c r="G43" s="312">
        <v>55000</v>
      </c>
      <c r="H43" s="312">
        <f t="shared" si="1"/>
        <v>4583.333333333333</v>
      </c>
      <c r="I43" s="314"/>
      <c r="J43" s="321">
        <v>4</v>
      </c>
      <c r="K43" s="316"/>
      <c r="L43" s="317"/>
      <c r="M43" s="317"/>
      <c r="N43" s="317"/>
      <c r="O43" s="317"/>
      <c r="P43" s="317"/>
      <c r="Q43" s="317">
        <f>IF(Worksheet!M$305=4,Staffing!H$38,0)</f>
        <v>0</v>
      </c>
      <c r="R43" s="317">
        <f>IF(Worksheet!N$305=4,Staffing!I$38,0)</f>
        <v>0</v>
      </c>
      <c r="S43" s="317">
        <f>IF(Worksheet!O$305=4,Staffing!J$38,0)</f>
        <v>0</v>
      </c>
      <c r="T43" s="317">
        <f>IF(Worksheet!P$305=4,Staffing!K$38,0)</f>
        <v>0</v>
      </c>
      <c r="U43" s="317">
        <f>IF(Worksheet!Q$305&gt;=$J43,Staffing!$H43,0)</f>
        <v>0</v>
      </c>
      <c r="V43" s="317">
        <f>IF(Worksheet!R$305&gt;=$J43,Staffing!$H43,0)</f>
        <v>0</v>
      </c>
      <c r="W43" s="316">
        <f>IF(Worksheet!S$305&gt;=$J43,Staffing!$H43,0)</f>
        <v>0</v>
      </c>
      <c r="X43" s="317">
        <f>IF(Worksheet!T$305&gt;=$J43,Staffing!$H43,0)</f>
        <v>0</v>
      </c>
      <c r="Y43" s="317">
        <f>IF(Worksheet!U$305&gt;=$J43,Staffing!$H43,0)</f>
        <v>0</v>
      </c>
      <c r="Z43" s="317">
        <f>IF(Worksheet!V$305&gt;=$J43,Staffing!$H43,0)</f>
        <v>4583.333333333333</v>
      </c>
      <c r="AA43" s="317">
        <f>IF(Worksheet!W$305&gt;=$J43,Staffing!$H43,0)</f>
        <v>4583.333333333333</v>
      </c>
      <c r="AB43" s="317">
        <f>IF(Worksheet!X$305&gt;=$J43,Staffing!$H43,0)</f>
        <v>4583.333333333333</v>
      </c>
      <c r="AC43" s="317">
        <f>IF(Worksheet!Y$305&gt;=$J43,Staffing!$H43,0)</f>
        <v>4583.333333333333</v>
      </c>
      <c r="AD43" s="317">
        <f>IF(Worksheet!Z$305&gt;=$J43,Staffing!$H43,0)</f>
        <v>4583.333333333333</v>
      </c>
      <c r="AE43" s="317">
        <f>IF(Worksheet!AA$305&gt;=$J43,Staffing!$H43,0)</f>
        <v>4583.333333333333</v>
      </c>
      <c r="AF43" s="317">
        <f>IF(Worksheet!AB$305&gt;=$J43,Staffing!$H43,0)</f>
        <v>4583.333333333333</v>
      </c>
      <c r="AG43" s="317">
        <f>IF(Worksheet!AC$305&gt;=$J43,Staffing!$H43,0)</f>
        <v>4583.333333333333</v>
      </c>
      <c r="AH43" s="317">
        <f>IF(Worksheet!AD$305&gt;=$J43,Staffing!$H43,0)</f>
        <v>4583.333333333333</v>
      </c>
      <c r="AI43" s="316">
        <f>IF(Worksheet!AE$305&gt;=$J43,Staffing!$H43,0)</f>
        <v>4583.333333333333</v>
      </c>
      <c r="AJ43" s="317">
        <f>IF(Worksheet!AF$305&gt;=$J43,Staffing!$H43,0)</f>
        <v>4583.333333333333</v>
      </c>
      <c r="AK43" s="317">
        <f>IF(Worksheet!AG$305&gt;=$J43,Staffing!$H43,0)</f>
        <v>4583.333333333333</v>
      </c>
      <c r="AL43" s="317">
        <f>IF(Worksheet!AH$305&gt;=$J43,Staffing!$H43,0)</f>
        <v>4583.333333333333</v>
      </c>
      <c r="AM43" s="317">
        <f>IF(Worksheet!AI$305&gt;=$J43,Staffing!$H43,0)</f>
        <v>4583.333333333333</v>
      </c>
      <c r="AN43" s="317">
        <f>IF(Worksheet!AJ$305&gt;=$J43,Staffing!$H43,0)</f>
        <v>4583.333333333333</v>
      </c>
      <c r="AO43" s="317">
        <f>IF(Worksheet!AK$305&gt;=$J43,Staffing!$H43,0)</f>
        <v>4583.333333333333</v>
      </c>
      <c r="AP43" s="317">
        <f>IF(Worksheet!AL$305&gt;=$J43,Staffing!$H43,0)</f>
        <v>4583.333333333333</v>
      </c>
      <c r="AQ43" s="317">
        <f>IF(Worksheet!AM$305&gt;=$J43,Staffing!$H43,0)</f>
        <v>4583.333333333333</v>
      </c>
      <c r="AR43" s="317">
        <f>IF(Worksheet!AN$305&gt;=$J43,Staffing!$H43,0)</f>
        <v>4583.333333333333</v>
      </c>
      <c r="AS43" s="317">
        <f>IF(Worksheet!AO$305&gt;=$J43,Staffing!$H43,0)</f>
        <v>4583.333333333333</v>
      </c>
      <c r="AT43" s="317">
        <f>IF(Worksheet!AP$305&gt;=$J43,Staffing!$H43,0)</f>
        <v>4583.333333333333</v>
      </c>
    </row>
    <row r="44" spans="1:46" ht="15.75" hidden="1" customHeight="1" outlineLevel="1" x14ac:dyDescent="0.25">
      <c r="A44" s="310">
        <v>20</v>
      </c>
      <c r="B44" s="311"/>
      <c r="C44" s="311"/>
      <c r="D44" s="311" t="s">
        <v>537</v>
      </c>
      <c r="E44" s="311" t="s">
        <v>214</v>
      </c>
      <c r="F44" s="311" t="s">
        <v>217</v>
      </c>
      <c r="G44" s="312">
        <v>55000</v>
      </c>
      <c r="H44" s="312">
        <f t="shared" si="1"/>
        <v>4583.333333333333</v>
      </c>
      <c r="I44" s="314"/>
      <c r="J44" s="321">
        <v>5</v>
      </c>
      <c r="K44" s="316"/>
      <c r="L44" s="317"/>
      <c r="M44" s="317"/>
      <c r="N44" s="317"/>
      <c r="O44" s="317"/>
      <c r="P44" s="317"/>
      <c r="Q44" s="317">
        <f>IF(Worksheet!M$305=5,Staffing!H$38,0)</f>
        <v>0</v>
      </c>
      <c r="R44" s="317">
        <f>IF(Worksheet!N$305=5,Staffing!I$38,0)</f>
        <v>0</v>
      </c>
      <c r="S44" s="317">
        <f>IF(Worksheet!O$305=5,Staffing!J$38,0)</f>
        <v>0</v>
      </c>
      <c r="T44" s="317">
        <f>IF(Worksheet!P$305=5,Staffing!K$38,0)</f>
        <v>0</v>
      </c>
      <c r="U44" s="317">
        <f>IF(Worksheet!Q$305&gt;=$J44,Staffing!$H44,0)</f>
        <v>0</v>
      </c>
      <c r="V44" s="317">
        <f>IF(Worksheet!R$305&gt;=$J44,Staffing!$H44,0)</f>
        <v>0</v>
      </c>
      <c r="W44" s="316">
        <f>IF(Worksheet!S$305&gt;=$J44,Staffing!$H44,0)</f>
        <v>0</v>
      </c>
      <c r="X44" s="317">
        <f>IF(Worksheet!T$305&gt;=$J44,Staffing!$H44,0)</f>
        <v>0</v>
      </c>
      <c r="Y44" s="317">
        <f>IF(Worksheet!U$305&gt;=$J44,Staffing!$H44,0)</f>
        <v>0</v>
      </c>
      <c r="Z44" s="317">
        <f>IF(Worksheet!V$305&gt;=$J44,Staffing!$H44,0)</f>
        <v>0</v>
      </c>
      <c r="AA44" s="317">
        <f>IF(Worksheet!W$305&gt;=$J44,Staffing!$H44,0)</f>
        <v>0</v>
      </c>
      <c r="AB44" s="317">
        <f>IF(Worksheet!X$305&gt;=$J44,Staffing!$H44,0)</f>
        <v>0</v>
      </c>
      <c r="AC44" s="317">
        <f>IF(Worksheet!Y$305&gt;=$J44,Staffing!$H44,0)</f>
        <v>4583.333333333333</v>
      </c>
      <c r="AD44" s="317">
        <f>IF(Worksheet!Z$305&gt;=$J44,Staffing!$H44,0)</f>
        <v>4583.333333333333</v>
      </c>
      <c r="AE44" s="317">
        <f>IF(Worksheet!AA$305&gt;=$J44,Staffing!$H44,0)</f>
        <v>4583.333333333333</v>
      </c>
      <c r="AF44" s="317">
        <f>IF(Worksheet!AB$305&gt;=$J44,Staffing!$H44,0)</f>
        <v>4583.333333333333</v>
      </c>
      <c r="AG44" s="317">
        <f>IF(Worksheet!AC$305&gt;=$J44,Staffing!$H44,0)</f>
        <v>4583.333333333333</v>
      </c>
      <c r="AH44" s="317">
        <f>IF(Worksheet!AD$305&gt;=$J44,Staffing!$H44,0)</f>
        <v>4583.333333333333</v>
      </c>
      <c r="AI44" s="316">
        <f>IF(Worksheet!AE$305&gt;=$J44,Staffing!$H44,0)</f>
        <v>4583.333333333333</v>
      </c>
      <c r="AJ44" s="317">
        <f>IF(Worksheet!AF$305&gt;=$J44,Staffing!$H44,0)</f>
        <v>4583.333333333333</v>
      </c>
      <c r="AK44" s="317">
        <f>IF(Worksheet!AG$305&gt;=$J44,Staffing!$H44,0)</f>
        <v>4583.333333333333</v>
      </c>
      <c r="AL44" s="317">
        <f>IF(Worksheet!AH$305&gt;=$J44,Staffing!$H44,0)</f>
        <v>4583.333333333333</v>
      </c>
      <c r="AM44" s="317">
        <f>IF(Worksheet!AI$305&gt;=$J44,Staffing!$H44,0)</f>
        <v>4583.333333333333</v>
      </c>
      <c r="AN44" s="317">
        <f>IF(Worksheet!AJ$305&gt;=$J44,Staffing!$H44,0)</f>
        <v>4583.333333333333</v>
      </c>
      <c r="AO44" s="317">
        <f>IF(Worksheet!AK$305&gt;=$J44,Staffing!$H44,0)</f>
        <v>4583.333333333333</v>
      </c>
      <c r="AP44" s="317">
        <f>IF(Worksheet!AL$305&gt;=$J44,Staffing!$H44,0)</f>
        <v>4583.333333333333</v>
      </c>
      <c r="AQ44" s="317">
        <f>IF(Worksheet!AM$305&gt;=$J44,Staffing!$H44,0)</f>
        <v>4583.333333333333</v>
      </c>
      <c r="AR44" s="317">
        <f>IF(Worksheet!AN$305&gt;=$J44,Staffing!$H44,0)</f>
        <v>4583.333333333333</v>
      </c>
      <c r="AS44" s="317">
        <f>IF(Worksheet!AO$305&gt;=$J44,Staffing!$H44,0)</f>
        <v>4583.333333333333</v>
      </c>
      <c r="AT44" s="317">
        <f>IF(Worksheet!AP$305&gt;=$J44,Staffing!$H44,0)</f>
        <v>4583.333333333333</v>
      </c>
    </row>
    <row r="45" spans="1:46" ht="15.75" hidden="1" customHeight="1" outlineLevel="1" x14ac:dyDescent="0.25">
      <c r="A45" s="310">
        <v>21</v>
      </c>
      <c r="B45" s="311"/>
      <c r="C45" s="311"/>
      <c r="D45" s="311" t="s">
        <v>537</v>
      </c>
      <c r="E45" s="311" t="s">
        <v>214</v>
      </c>
      <c r="F45" s="311" t="s">
        <v>217</v>
      </c>
      <c r="G45" s="312">
        <v>55000</v>
      </c>
      <c r="H45" s="312">
        <f t="shared" si="1"/>
        <v>4583.333333333333</v>
      </c>
      <c r="I45" s="314"/>
      <c r="J45" s="321">
        <v>6</v>
      </c>
      <c r="K45" s="316"/>
      <c r="L45" s="317"/>
      <c r="M45" s="317"/>
      <c r="N45" s="317"/>
      <c r="O45" s="317"/>
      <c r="P45" s="317"/>
      <c r="Q45" s="317">
        <f>IF(Worksheet!M$305=6,Staffing!H$38,0)</f>
        <v>0</v>
      </c>
      <c r="R45" s="317">
        <f>IF(Worksheet!N$305=6,Staffing!I$38,0)</f>
        <v>0</v>
      </c>
      <c r="S45" s="317">
        <f>IF(Worksheet!O$305=6,Staffing!J$38,0)</f>
        <v>0</v>
      </c>
      <c r="T45" s="317">
        <f>IF(Worksheet!P$305=6,Staffing!K$38,0)</f>
        <v>0</v>
      </c>
      <c r="U45" s="317">
        <f>IF(Worksheet!Q$305&gt;=$J45,Staffing!$H45,0)</f>
        <v>0</v>
      </c>
      <c r="V45" s="317">
        <f>IF(Worksheet!R$305&gt;=$J45,Staffing!$H45,0)</f>
        <v>0</v>
      </c>
      <c r="W45" s="316">
        <f>IF(Worksheet!S$305&gt;=$J45,Staffing!$H45,0)</f>
        <v>0</v>
      </c>
      <c r="X45" s="317">
        <f>IF(Worksheet!T$305&gt;=$J45,Staffing!$H45,0)</f>
        <v>0</v>
      </c>
      <c r="Y45" s="317">
        <f>IF(Worksheet!U$305&gt;=$J45,Staffing!$H45,0)</f>
        <v>0</v>
      </c>
      <c r="Z45" s="317">
        <f>IF(Worksheet!V$305&gt;=$J45,Staffing!$H45,0)</f>
        <v>0</v>
      </c>
      <c r="AA45" s="317">
        <f>IF(Worksheet!W$305&gt;=$J45,Staffing!$H45,0)</f>
        <v>0</v>
      </c>
      <c r="AB45" s="317">
        <f>IF(Worksheet!X$305&gt;=$J45,Staffing!$H45,0)</f>
        <v>0</v>
      </c>
      <c r="AC45" s="317">
        <f>IF(Worksheet!Y$305&gt;=$J45,Staffing!$H45,0)</f>
        <v>0</v>
      </c>
      <c r="AD45" s="317">
        <f>IF(Worksheet!Z$305&gt;=$J45,Staffing!$H45,0)</f>
        <v>0</v>
      </c>
      <c r="AE45" s="317">
        <f>IF(Worksheet!AA$305&gt;=$J45,Staffing!$H45,0)</f>
        <v>4583.333333333333</v>
      </c>
      <c r="AF45" s="317">
        <f>IF(Worksheet!AB$305&gt;=$J45,Staffing!$H45,0)</f>
        <v>4583.333333333333</v>
      </c>
      <c r="AG45" s="317">
        <f>IF(Worksheet!AC$305&gt;=$J45,Staffing!$H45,0)</f>
        <v>4583.333333333333</v>
      </c>
      <c r="AH45" s="317">
        <f>IF(Worksheet!AD$305&gt;=$J45,Staffing!$H45,0)</f>
        <v>4583.333333333333</v>
      </c>
      <c r="AI45" s="316">
        <f>IF(Worksheet!AE$305&gt;=$J45,Staffing!$H45,0)</f>
        <v>4583.333333333333</v>
      </c>
      <c r="AJ45" s="317">
        <f>IF(Worksheet!AF$305&gt;=$J45,Staffing!$H45,0)</f>
        <v>4583.333333333333</v>
      </c>
      <c r="AK45" s="317">
        <f>IF(Worksheet!AG$305&gt;=$J45,Staffing!$H45,0)</f>
        <v>4583.333333333333</v>
      </c>
      <c r="AL45" s="317">
        <f>IF(Worksheet!AH$305&gt;=$J45,Staffing!$H45,0)</f>
        <v>4583.333333333333</v>
      </c>
      <c r="AM45" s="317">
        <f>IF(Worksheet!AI$305&gt;=$J45,Staffing!$H45,0)</f>
        <v>4583.333333333333</v>
      </c>
      <c r="AN45" s="317">
        <f>IF(Worksheet!AJ$305&gt;=$J45,Staffing!$H45,0)</f>
        <v>4583.333333333333</v>
      </c>
      <c r="AO45" s="317">
        <f>IF(Worksheet!AK$305&gt;=$J45,Staffing!$H45,0)</f>
        <v>4583.333333333333</v>
      </c>
      <c r="AP45" s="317">
        <f>IF(Worksheet!AL$305&gt;=$J45,Staffing!$H45,0)</f>
        <v>4583.333333333333</v>
      </c>
      <c r="AQ45" s="317">
        <f>IF(Worksheet!AM$305&gt;=$J45,Staffing!$H45,0)</f>
        <v>4583.333333333333</v>
      </c>
      <c r="AR45" s="317">
        <f>IF(Worksheet!AN$305&gt;=$J45,Staffing!$H45,0)</f>
        <v>4583.333333333333</v>
      </c>
      <c r="AS45" s="317">
        <f>IF(Worksheet!AO$305&gt;=$J45,Staffing!$H45,0)</f>
        <v>4583.333333333333</v>
      </c>
      <c r="AT45" s="317">
        <f>IF(Worksheet!AP$305&gt;=$J45,Staffing!$H45,0)</f>
        <v>4583.333333333333</v>
      </c>
    </row>
    <row r="46" spans="1:46" ht="15.75" hidden="1" customHeight="1" outlineLevel="1" x14ac:dyDescent="0.25">
      <c r="A46" s="310">
        <v>22</v>
      </c>
      <c r="B46" s="311"/>
      <c r="C46" s="311"/>
      <c r="D46" s="311" t="s">
        <v>537</v>
      </c>
      <c r="E46" s="311" t="s">
        <v>214</v>
      </c>
      <c r="F46" s="311" t="s">
        <v>217</v>
      </c>
      <c r="G46" s="312">
        <v>55000</v>
      </c>
      <c r="H46" s="312">
        <f t="shared" si="1"/>
        <v>4583.333333333333</v>
      </c>
      <c r="I46" s="314"/>
      <c r="J46" s="321">
        <v>7</v>
      </c>
      <c r="K46" s="316"/>
      <c r="L46" s="317"/>
      <c r="M46" s="317"/>
      <c r="N46" s="317"/>
      <c r="O46" s="317"/>
      <c r="P46" s="317"/>
      <c r="Q46" s="317">
        <f>IF(Worksheet!M$305=7,Staffing!H$38,0)</f>
        <v>0</v>
      </c>
      <c r="R46" s="317">
        <f>IF(Worksheet!N$305=7,Staffing!I$38,0)</f>
        <v>0</v>
      </c>
      <c r="S46" s="317">
        <f>IF(Worksheet!O$305=7,Staffing!J$38,0)</f>
        <v>0</v>
      </c>
      <c r="T46" s="317">
        <f>IF(Worksheet!P$305=7,Staffing!K$38,0)</f>
        <v>0</v>
      </c>
      <c r="U46" s="317">
        <f>IF(Worksheet!Q$305&gt;=$J46,Staffing!$H46,0)</f>
        <v>0</v>
      </c>
      <c r="V46" s="317">
        <f>IF(Worksheet!R$305&gt;=$J46,Staffing!$H46,0)</f>
        <v>0</v>
      </c>
      <c r="W46" s="316">
        <f>IF(Worksheet!S$305&gt;=$J46,Staffing!$H46,0)</f>
        <v>0</v>
      </c>
      <c r="X46" s="317">
        <f>IF(Worksheet!T$305&gt;=$J46,Staffing!$H46,0)</f>
        <v>0</v>
      </c>
      <c r="Y46" s="317">
        <f>IF(Worksheet!U$305&gt;=$J46,Staffing!$H46,0)</f>
        <v>0</v>
      </c>
      <c r="Z46" s="317">
        <f>IF(Worksheet!V$305&gt;=$J46,Staffing!$H46,0)</f>
        <v>0</v>
      </c>
      <c r="AA46" s="317">
        <f>IF(Worksheet!W$305&gt;=$J46,Staffing!$H46,0)</f>
        <v>0</v>
      </c>
      <c r="AB46" s="317">
        <f>IF(Worksheet!X$305&gt;=$J46,Staffing!$H46,0)</f>
        <v>0</v>
      </c>
      <c r="AC46" s="317">
        <f>IF(Worksheet!Y$305&gt;=$J46,Staffing!$H46,0)</f>
        <v>0</v>
      </c>
      <c r="AD46" s="317">
        <f>IF(Worksheet!Z$305&gt;=$J46,Staffing!$H46,0)</f>
        <v>0</v>
      </c>
      <c r="AE46" s="317">
        <f>IF(Worksheet!AA$305&gt;=$J46,Staffing!$H46,0)</f>
        <v>0</v>
      </c>
      <c r="AF46" s="317">
        <f>IF(Worksheet!AB$305&gt;=$J46,Staffing!$H46,0)</f>
        <v>0</v>
      </c>
      <c r="AG46" s="317">
        <f>IF(Worksheet!AC$305&gt;=$J46,Staffing!$H46,0)</f>
        <v>0</v>
      </c>
      <c r="AH46" s="317">
        <f>IF(Worksheet!AD$305&gt;=$J46,Staffing!$H46,0)</f>
        <v>0</v>
      </c>
      <c r="AI46" s="316">
        <f>IF(Worksheet!AE$305&gt;=$J46,Staffing!$H46,0)</f>
        <v>4583.333333333333</v>
      </c>
      <c r="AJ46" s="317">
        <f>IF(Worksheet!AF$305&gt;=$J46,Staffing!$H46,0)</f>
        <v>4583.333333333333</v>
      </c>
      <c r="AK46" s="317">
        <f>IF(Worksheet!AG$305&gt;=$J46,Staffing!$H46,0)</f>
        <v>4583.333333333333</v>
      </c>
      <c r="AL46" s="317">
        <f>IF(Worksheet!AH$305&gt;=$J46,Staffing!$H46,0)</f>
        <v>4583.333333333333</v>
      </c>
      <c r="AM46" s="317">
        <f>IF(Worksheet!AI$305&gt;=$J46,Staffing!$H46,0)</f>
        <v>4583.333333333333</v>
      </c>
      <c r="AN46" s="317">
        <f>IF(Worksheet!AJ$305&gt;=$J46,Staffing!$H46,0)</f>
        <v>4583.333333333333</v>
      </c>
      <c r="AO46" s="317">
        <f>IF(Worksheet!AK$305&gt;=$J46,Staffing!$H46,0)</f>
        <v>4583.333333333333</v>
      </c>
      <c r="AP46" s="317">
        <f>IF(Worksheet!AL$305&gt;=$J46,Staffing!$H46,0)</f>
        <v>4583.333333333333</v>
      </c>
      <c r="AQ46" s="317">
        <f>IF(Worksheet!AM$305&gt;=$J46,Staffing!$H46,0)</f>
        <v>4583.333333333333</v>
      </c>
      <c r="AR46" s="317">
        <f>IF(Worksheet!AN$305&gt;=$J46,Staffing!$H46,0)</f>
        <v>4583.333333333333</v>
      </c>
      <c r="AS46" s="317">
        <f>IF(Worksheet!AO$305&gt;=$J46,Staffing!$H46,0)</f>
        <v>4583.333333333333</v>
      </c>
      <c r="AT46" s="317">
        <f>IF(Worksheet!AP$305&gt;=$J46,Staffing!$H46,0)</f>
        <v>4583.333333333333</v>
      </c>
    </row>
    <row r="47" spans="1:46" ht="15.75" hidden="1" customHeight="1" outlineLevel="1" x14ac:dyDescent="0.25">
      <c r="A47" s="310">
        <v>23</v>
      </c>
      <c r="B47" s="311"/>
      <c r="C47" s="311"/>
      <c r="D47" s="311" t="s">
        <v>537</v>
      </c>
      <c r="E47" s="311" t="s">
        <v>214</v>
      </c>
      <c r="F47" s="311" t="s">
        <v>217</v>
      </c>
      <c r="G47" s="312">
        <v>55000</v>
      </c>
      <c r="H47" s="312">
        <f t="shared" si="1"/>
        <v>4583.333333333333</v>
      </c>
      <c r="I47" s="314"/>
      <c r="J47" s="321">
        <v>8</v>
      </c>
      <c r="K47" s="316"/>
      <c r="L47" s="317"/>
      <c r="M47" s="317"/>
      <c r="N47" s="317"/>
      <c r="O47" s="317"/>
      <c r="P47" s="317"/>
      <c r="Q47" s="317">
        <f>IF(Worksheet!M$305=8,Staffing!H$38,0)</f>
        <v>0</v>
      </c>
      <c r="R47" s="317">
        <f>IF(Worksheet!N$305=8,Staffing!I$38,0)</f>
        <v>0</v>
      </c>
      <c r="S47" s="317">
        <f>IF(Worksheet!O$305=8,Staffing!J$38,0)</f>
        <v>0</v>
      </c>
      <c r="T47" s="317">
        <f>IF(Worksheet!P$305=8,Staffing!K$38,0)</f>
        <v>0</v>
      </c>
      <c r="U47" s="317">
        <f>IF(Worksheet!Q$305&gt;=$J47,Staffing!$H47,0)</f>
        <v>0</v>
      </c>
      <c r="V47" s="317">
        <f>IF(Worksheet!R$305&gt;=$J47,Staffing!$H47,0)</f>
        <v>0</v>
      </c>
      <c r="W47" s="316">
        <f>IF(Worksheet!S$305&gt;=$J47,Staffing!$H47,0)</f>
        <v>0</v>
      </c>
      <c r="X47" s="317">
        <f>IF(Worksheet!T$305&gt;=$J47,Staffing!$H47,0)</f>
        <v>0</v>
      </c>
      <c r="Y47" s="317">
        <f>IF(Worksheet!U$305&gt;=$J47,Staffing!$H47,0)</f>
        <v>0</v>
      </c>
      <c r="Z47" s="317">
        <f>IF(Worksheet!V$305&gt;=$J47,Staffing!$H47,0)</f>
        <v>0</v>
      </c>
      <c r="AA47" s="317">
        <f>IF(Worksheet!W$305&gt;=$J47,Staffing!$H47,0)</f>
        <v>0</v>
      </c>
      <c r="AB47" s="317">
        <f>IF(Worksheet!X$305&gt;=$J47,Staffing!$H47,0)</f>
        <v>0</v>
      </c>
      <c r="AC47" s="317">
        <f>IF(Worksheet!Y$305&gt;=$J47,Staffing!$H47,0)</f>
        <v>0</v>
      </c>
      <c r="AD47" s="317">
        <f>IF(Worksheet!Z$305&gt;=$J47,Staffing!$H47,0)</f>
        <v>0</v>
      </c>
      <c r="AE47" s="317">
        <f>IF(Worksheet!AA$305&gt;=$J47,Staffing!$H47,0)</f>
        <v>0</v>
      </c>
      <c r="AF47" s="317">
        <f>IF(Worksheet!AB$305&gt;=$J47,Staffing!$H47,0)</f>
        <v>0</v>
      </c>
      <c r="AG47" s="317">
        <f>IF(Worksheet!AC$305&gt;=$J47,Staffing!$H47,0)</f>
        <v>0</v>
      </c>
      <c r="AH47" s="317">
        <f>IF(Worksheet!AD$305&gt;=$J47,Staffing!$H47,0)</f>
        <v>0</v>
      </c>
      <c r="AI47" s="316">
        <f>IF(Worksheet!AE$305&gt;=$J47,Staffing!$H47,0)</f>
        <v>0</v>
      </c>
      <c r="AJ47" s="317">
        <f>IF(Worksheet!AF$305&gt;=$J47,Staffing!$H47,0)</f>
        <v>0</v>
      </c>
      <c r="AK47" s="317">
        <f>IF(Worksheet!AG$305&gt;=$J47,Staffing!$H47,0)</f>
        <v>0</v>
      </c>
      <c r="AL47" s="317">
        <f>IF(Worksheet!AH$305&gt;=$J47,Staffing!$H47,0)</f>
        <v>0</v>
      </c>
      <c r="AM47" s="317">
        <f>IF(Worksheet!AI$305&gt;=$J47,Staffing!$H47,0)</f>
        <v>4583.333333333333</v>
      </c>
      <c r="AN47" s="317">
        <f>IF(Worksheet!AJ$305&gt;=$J47,Staffing!$H47,0)</f>
        <v>4583.333333333333</v>
      </c>
      <c r="AO47" s="317">
        <f>IF(Worksheet!AK$305&gt;=$J47,Staffing!$H47,0)</f>
        <v>4583.333333333333</v>
      </c>
      <c r="AP47" s="317">
        <f>IF(Worksheet!AL$305&gt;=$J47,Staffing!$H47,0)</f>
        <v>4583.333333333333</v>
      </c>
      <c r="AQ47" s="317">
        <f>IF(Worksheet!AM$305&gt;=$J47,Staffing!$H47,0)</f>
        <v>4583.333333333333</v>
      </c>
      <c r="AR47" s="317">
        <f>IF(Worksheet!AN$305&gt;=$J47,Staffing!$H47,0)</f>
        <v>4583.333333333333</v>
      </c>
      <c r="AS47" s="317">
        <f>IF(Worksheet!AO$305&gt;=$J47,Staffing!$H47,0)</f>
        <v>4583.333333333333</v>
      </c>
      <c r="AT47" s="317">
        <f>IF(Worksheet!AP$305&gt;=$J47,Staffing!$H47,0)</f>
        <v>4583.333333333333</v>
      </c>
    </row>
    <row r="48" spans="1:46" ht="15.75" hidden="1" customHeight="1" outlineLevel="1" x14ac:dyDescent="0.25">
      <c r="A48" s="310">
        <v>24</v>
      </c>
      <c r="B48" s="311"/>
      <c r="C48" s="311"/>
      <c r="D48" s="311" t="s">
        <v>537</v>
      </c>
      <c r="E48" s="311" t="s">
        <v>214</v>
      </c>
      <c r="F48" s="311" t="s">
        <v>217</v>
      </c>
      <c r="G48" s="312">
        <v>55000</v>
      </c>
      <c r="H48" s="312">
        <f t="shared" si="1"/>
        <v>4583.333333333333</v>
      </c>
      <c r="I48" s="314"/>
      <c r="J48" s="321">
        <v>9</v>
      </c>
      <c r="K48" s="316"/>
      <c r="L48" s="317"/>
      <c r="M48" s="317"/>
      <c r="N48" s="317"/>
      <c r="O48" s="317"/>
      <c r="P48" s="317"/>
      <c r="Q48" s="317">
        <f>IF(Worksheet!M$305=9,Staffing!H$38,0)</f>
        <v>0</v>
      </c>
      <c r="R48" s="317">
        <f>IF(Worksheet!N$305=9,Staffing!I$38,0)</f>
        <v>0</v>
      </c>
      <c r="S48" s="317">
        <f>IF(Worksheet!O$305=9,Staffing!J$38,0)</f>
        <v>0</v>
      </c>
      <c r="T48" s="317">
        <f>IF(Worksheet!P$305=9,Staffing!K$38,0)</f>
        <v>0</v>
      </c>
      <c r="U48" s="317">
        <f>IF(Worksheet!Q$305&gt;=$J48,Staffing!$H48,0)</f>
        <v>0</v>
      </c>
      <c r="V48" s="317">
        <f>IF(Worksheet!R$305&gt;=$J48,Staffing!$H48,0)</f>
        <v>0</v>
      </c>
      <c r="W48" s="316">
        <f>IF(Worksheet!S$305&gt;=$J48,Staffing!$H48,0)</f>
        <v>0</v>
      </c>
      <c r="X48" s="317">
        <f>IF(Worksheet!T$305&gt;=$J48,Staffing!$H48,0)</f>
        <v>0</v>
      </c>
      <c r="Y48" s="317">
        <f>IF(Worksheet!U$305&gt;=$J48,Staffing!$H48,0)</f>
        <v>0</v>
      </c>
      <c r="Z48" s="317">
        <f>IF(Worksheet!V$305&gt;=$J48,Staffing!$H48,0)</f>
        <v>0</v>
      </c>
      <c r="AA48" s="317">
        <f>IF(Worksheet!W$305&gt;=$J48,Staffing!$H48,0)</f>
        <v>0</v>
      </c>
      <c r="AB48" s="317">
        <f>IF(Worksheet!X$305&gt;=$J48,Staffing!$H48,0)</f>
        <v>0</v>
      </c>
      <c r="AC48" s="317">
        <f>IF(Worksheet!Y$305&gt;=$J48,Staffing!$H48,0)</f>
        <v>0</v>
      </c>
      <c r="AD48" s="317">
        <f>IF(Worksheet!Z$305&gt;=$J48,Staffing!$H48,0)</f>
        <v>0</v>
      </c>
      <c r="AE48" s="317">
        <f>IF(Worksheet!AA$305&gt;=$J48,Staffing!$H48,0)</f>
        <v>0</v>
      </c>
      <c r="AF48" s="317">
        <f>IF(Worksheet!AB$305&gt;=$J48,Staffing!$H48,0)</f>
        <v>0</v>
      </c>
      <c r="AG48" s="317">
        <f>IF(Worksheet!AC$305&gt;=$J48,Staffing!$H48,0)</f>
        <v>0</v>
      </c>
      <c r="AH48" s="317">
        <f>IF(Worksheet!AD$305&gt;=$J48,Staffing!$H48,0)</f>
        <v>0</v>
      </c>
      <c r="AI48" s="316">
        <f>IF(Worksheet!AE$305&gt;=$J48,Staffing!$H48,0)</f>
        <v>0</v>
      </c>
      <c r="AJ48" s="317">
        <f>IF(Worksheet!AF$305&gt;=$J48,Staffing!$H48,0)</f>
        <v>0</v>
      </c>
      <c r="AK48" s="317">
        <f>IF(Worksheet!AG$305&gt;=$J48,Staffing!$H48,0)</f>
        <v>0</v>
      </c>
      <c r="AL48" s="317">
        <f>IF(Worksheet!AH$305&gt;=$J48,Staffing!$H48,0)</f>
        <v>0</v>
      </c>
      <c r="AM48" s="317">
        <f>IF(Worksheet!AI$305&gt;=$J48,Staffing!$H48,0)</f>
        <v>0</v>
      </c>
      <c r="AN48" s="317">
        <f>IF(Worksheet!AJ$305&gt;=$J48,Staffing!$H48,0)</f>
        <v>0</v>
      </c>
      <c r="AO48" s="317">
        <f>IF(Worksheet!AK$305&gt;=$J48,Staffing!$H48,0)</f>
        <v>0</v>
      </c>
      <c r="AP48" s="317">
        <f>IF(Worksheet!AL$305&gt;=$J48,Staffing!$H48,0)</f>
        <v>0</v>
      </c>
      <c r="AQ48" s="317">
        <f>IF(Worksheet!AM$305&gt;=$J48,Staffing!$H48,0)</f>
        <v>0</v>
      </c>
      <c r="AR48" s="317">
        <f>IF(Worksheet!AN$305&gt;=$J48,Staffing!$H48,0)</f>
        <v>0</v>
      </c>
      <c r="AS48" s="317">
        <f>IF(Worksheet!AO$305&gt;=$J48,Staffing!$H48,0)</f>
        <v>4583.333333333333</v>
      </c>
      <c r="AT48" s="317">
        <f>IF(Worksheet!AP$305&gt;=$J48,Staffing!$H48,0)</f>
        <v>4583.333333333333</v>
      </c>
    </row>
    <row r="49" spans="1:46" ht="15.75" hidden="1" customHeight="1" outlineLevel="1" x14ac:dyDescent="0.25">
      <c r="A49" s="310">
        <v>25</v>
      </c>
      <c r="B49" s="311"/>
      <c r="C49" s="311"/>
      <c r="D49" s="311" t="s">
        <v>537</v>
      </c>
      <c r="E49" s="311" t="s">
        <v>214</v>
      </c>
      <c r="F49" s="311" t="s">
        <v>217</v>
      </c>
      <c r="G49" s="312">
        <v>55000</v>
      </c>
      <c r="H49" s="312">
        <f t="shared" si="1"/>
        <v>4583.333333333333</v>
      </c>
      <c r="I49" s="314"/>
      <c r="J49" s="321">
        <v>10</v>
      </c>
      <c r="K49" s="316"/>
      <c r="L49" s="317"/>
      <c r="M49" s="317"/>
      <c r="N49" s="317"/>
      <c r="O49" s="317"/>
      <c r="P49" s="317"/>
      <c r="Q49" s="317">
        <f>IF(Worksheet!M$305=10,Staffing!H$38,0)</f>
        <v>0</v>
      </c>
      <c r="R49" s="317">
        <f>IF(Worksheet!N$305=10,Staffing!I$38,0)</f>
        <v>0</v>
      </c>
      <c r="S49" s="317">
        <f>IF(Worksheet!O$305=10,Staffing!J$38,0)</f>
        <v>0</v>
      </c>
      <c r="T49" s="317">
        <f>IF(Worksheet!P$305=10,Staffing!K$38,0)</f>
        <v>0</v>
      </c>
      <c r="U49" s="317">
        <f>IF(Worksheet!Q$305&gt;=$J49,Staffing!$H49,0)</f>
        <v>0</v>
      </c>
      <c r="V49" s="317">
        <f>IF(Worksheet!R$305&gt;=$J49,Staffing!$H49,0)</f>
        <v>0</v>
      </c>
      <c r="W49" s="316">
        <f>IF(Worksheet!S$305&gt;=$J49,Staffing!$H49,0)</f>
        <v>0</v>
      </c>
      <c r="X49" s="317">
        <f>IF(Worksheet!T$305&gt;=$J49,Staffing!$H49,0)</f>
        <v>0</v>
      </c>
      <c r="Y49" s="317">
        <f>IF(Worksheet!U$305&gt;=$J49,Staffing!$H49,0)</f>
        <v>0</v>
      </c>
      <c r="Z49" s="317">
        <f>IF(Worksheet!V$305&gt;=$J49,Staffing!$H49,0)</f>
        <v>0</v>
      </c>
      <c r="AA49" s="317">
        <f>IF(Worksheet!W$305&gt;=$J49,Staffing!$H49,0)</f>
        <v>0</v>
      </c>
      <c r="AB49" s="317">
        <f>IF(Worksheet!X$305&gt;=$J49,Staffing!$H49,0)</f>
        <v>0</v>
      </c>
      <c r="AC49" s="317">
        <f>IF(Worksheet!Y$305&gt;=$J49,Staffing!$H49,0)</f>
        <v>0</v>
      </c>
      <c r="AD49" s="317">
        <f>IF(Worksheet!Z$305&gt;=$J49,Staffing!$H49,0)</f>
        <v>0</v>
      </c>
      <c r="AE49" s="317">
        <f>IF(Worksheet!AA$305&gt;=$J49,Staffing!$H49,0)</f>
        <v>0</v>
      </c>
      <c r="AF49" s="317">
        <f>IF(Worksheet!AB$305&gt;=$J49,Staffing!$H49,0)</f>
        <v>0</v>
      </c>
      <c r="AG49" s="317">
        <f>IF(Worksheet!AC$305&gt;=$J49,Staffing!$H49,0)</f>
        <v>0</v>
      </c>
      <c r="AH49" s="317">
        <f>IF(Worksheet!AD$305&gt;=$J49,Staffing!$H49,0)</f>
        <v>0</v>
      </c>
      <c r="AI49" s="316">
        <f>IF(Worksheet!AE$305&gt;=$J49,Staffing!$H49,0)</f>
        <v>0</v>
      </c>
      <c r="AJ49" s="317">
        <f>IF(Worksheet!AF$305&gt;=$J49,Staffing!$H49,0)</f>
        <v>0</v>
      </c>
      <c r="AK49" s="317">
        <f>IF(Worksheet!AG$305&gt;=$J49,Staffing!$H49,0)</f>
        <v>0</v>
      </c>
      <c r="AL49" s="317">
        <f>IF(Worksheet!AH$305&gt;=$J49,Staffing!$H49,0)</f>
        <v>0</v>
      </c>
      <c r="AM49" s="317">
        <f>IF(Worksheet!AI$305&gt;=$J49,Staffing!$H49,0)</f>
        <v>0</v>
      </c>
      <c r="AN49" s="317">
        <f>IF(Worksheet!AJ$305&gt;=$J49,Staffing!$H49,0)</f>
        <v>0</v>
      </c>
      <c r="AO49" s="317">
        <f>IF(Worksheet!AK$305&gt;=$J49,Staffing!$H49,0)</f>
        <v>0</v>
      </c>
      <c r="AP49" s="317">
        <f>IF(Worksheet!AL$305&gt;=$J49,Staffing!$H49,0)</f>
        <v>0</v>
      </c>
      <c r="AQ49" s="317">
        <f>IF(Worksheet!AM$305&gt;=$J49,Staffing!$H49,0)</f>
        <v>0</v>
      </c>
      <c r="AR49" s="317">
        <f>IF(Worksheet!AN$305&gt;=$J49,Staffing!$H49,0)</f>
        <v>0</v>
      </c>
      <c r="AS49" s="317">
        <f>IF(Worksheet!AO$305&gt;=$J49,Staffing!$H49,0)</f>
        <v>0</v>
      </c>
      <c r="AT49" s="317">
        <f>IF(Worksheet!AP$305&gt;=$J49,Staffing!$H49,0)</f>
        <v>0</v>
      </c>
    </row>
    <row r="50" spans="1:46" ht="15.75" hidden="1" customHeight="1" outlineLevel="1" x14ac:dyDescent="0.25">
      <c r="A50" s="310">
        <v>1</v>
      </c>
      <c r="B50" s="311"/>
      <c r="C50" s="311"/>
      <c r="D50" s="311" t="s">
        <v>538</v>
      </c>
      <c r="E50" s="311" t="s">
        <v>531</v>
      </c>
      <c r="F50" s="311" t="s">
        <v>25</v>
      </c>
      <c r="G50" s="312">
        <v>150000</v>
      </c>
      <c r="H50" s="312">
        <f t="shared" si="1"/>
        <v>12500</v>
      </c>
      <c r="I50" s="314">
        <v>46023</v>
      </c>
      <c r="J50" s="310"/>
      <c r="K50" s="316"/>
      <c r="L50" s="317"/>
      <c r="M50" s="317"/>
      <c r="N50" s="317"/>
      <c r="O50" s="317"/>
      <c r="P50" s="317"/>
      <c r="Q50" s="317">
        <f t="shared" ref="Q50:AT50" si="44">IF(Q$2&gt;=$I50,$H50,0)</f>
        <v>0</v>
      </c>
      <c r="R50" s="317">
        <f t="shared" si="44"/>
        <v>0</v>
      </c>
      <c r="S50" s="317">
        <f t="shared" si="44"/>
        <v>0</v>
      </c>
      <c r="T50" s="317">
        <f t="shared" si="44"/>
        <v>0</v>
      </c>
      <c r="U50" s="317">
        <f t="shared" si="44"/>
        <v>0</v>
      </c>
      <c r="V50" s="317">
        <f t="shared" si="44"/>
        <v>0</v>
      </c>
      <c r="W50" s="316">
        <f t="shared" si="44"/>
        <v>12500</v>
      </c>
      <c r="X50" s="317">
        <f t="shared" si="44"/>
        <v>12500</v>
      </c>
      <c r="Y50" s="317">
        <f t="shared" si="44"/>
        <v>12500</v>
      </c>
      <c r="Z50" s="317">
        <f t="shared" si="44"/>
        <v>12500</v>
      </c>
      <c r="AA50" s="317">
        <f t="shared" si="44"/>
        <v>12500</v>
      </c>
      <c r="AB50" s="317">
        <f t="shared" si="44"/>
        <v>12500</v>
      </c>
      <c r="AC50" s="317">
        <f t="shared" si="44"/>
        <v>12500</v>
      </c>
      <c r="AD50" s="317">
        <f t="shared" si="44"/>
        <v>12500</v>
      </c>
      <c r="AE50" s="317">
        <f t="shared" si="44"/>
        <v>12500</v>
      </c>
      <c r="AF50" s="317">
        <f t="shared" si="44"/>
        <v>12500</v>
      </c>
      <c r="AG50" s="317">
        <f t="shared" si="44"/>
        <v>12500</v>
      </c>
      <c r="AH50" s="317">
        <f t="shared" si="44"/>
        <v>12500</v>
      </c>
      <c r="AI50" s="316">
        <f t="shared" si="44"/>
        <v>12500</v>
      </c>
      <c r="AJ50" s="317">
        <f t="shared" si="44"/>
        <v>12500</v>
      </c>
      <c r="AK50" s="317">
        <f t="shared" si="44"/>
        <v>12500</v>
      </c>
      <c r="AL50" s="317">
        <f t="shared" si="44"/>
        <v>12500</v>
      </c>
      <c r="AM50" s="317">
        <f t="shared" si="44"/>
        <v>12500</v>
      </c>
      <c r="AN50" s="317">
        <f t="shared" si="44"/>
        <v>12500</v>
      </c>
      <c r="AO50" s="317">
        <f t="shared" si="44"/>
        <v>12500</v>
      </c>
      <c r="AP50" s="317">
        <f t="shared" si="44"/>
        <v>12500</v>
      </c>
      <c r="AQ50" s="317">
        <f t="shared" si="44"/>
        <v>12500</v>
      </c>
      <c r="AR50" s="317">
        <f t="shared" si="44"/>
        <v>12500</v>
      </c>
      <c r="AS50" s="317">
        <f t="shared" si="44"/>
        <v>12500</v>
      </c>
      <c r="AT50" s="317">
        <f t="shared" si="44"/>
        <v>12500</v>
      </c>
    </row>
    <row r="51" spans="1:46" ht="15.75" hidden="1" customHeight="1" outlineLevel="1" x14ac:dyDescent="0.25">
      <c r="A51" s="310">
        <v>2</v>
      </c>
      <c r="B51" s="311"/>
      <c r="C51" s="311"/>
      <c r="D51" s="311" t="s">
        <v>538</v>
      </c>
      <c r="E51" s="311" t="s">
        <v>531</v>
      </c>
      <c r="F51" s="311" t="s">
        <v>25</v>
      </c>
      <c r="G51" s="312">
        <v>150000</v>
      </c>
      <c r="H51" s="312">
        <f t="shared" si="1"/>
        <v>12500</v>
      </c>
      <c r="I51" s="314">
        <v>46054</v>
      </c>
      <c r="J51" s="310"/>
      <c r="K51" s="316"/>
      <c r="L51" s="317"/>
      <c r="M51" s="317"/>
      <c r="N51" s="317"/>
      <c r="O51" s="317"/>
      <c r="P51" s="317"/>
      <c r="Q51" s="317">
        <f t="shared" ref="Q51:AT51" si="45">IF(Q$2&gt;=$I51,$H51,0)</f>
        <v>0</v>
      </c>
      <c r="R51" s="317">
        <f t="shared" si="45"/>
        <v>0</v>
      </c>
      <c r="S51" s="317">
        <f t="shared" si="45"/>
        <v>0</v>
      </c>
      <c r="T51" s="317">
        <f t="shared" si="45"/>
        <v>0</v>
      </c>
      <c r="U51" s="317">
        <f t="shared" si="45"/>
        <v>0</v>
      </c>
      <c r="V51" s="317">
        <f t="shared" si="45"/>
        <v>0</v>
      </c>
      <c r="W51" s="316">
        <f t="shared" si="45"/>
        <v>0</v>
      </c>
      <c r="X51" s="317">
        <f t="shared" si="45"/>
        <v>12500</v>
      </c>
      <c r="Y51" s="317">
        <f t="shared" si="45"/>
        <v>12500</v>
      </c>
      <c r="Z51" s="317">
        <f t="shared" si="45"/>
        <v>12500</v>
      </c>
      <c r="AA51" s="317">
        <f t="shared" si="45"/>
        <v>12500</v>
      </c>
      <c r="AB51" s="317">
        <f t="shared" si="45"/>
        <v>12500</v>
      </c>
      <c r="AC51" s="317">
        <f t="shared" si="45"/>
        <v>12500</v>
      </c>
      <c r="AD51" s="317">
        <f t="shared" si="45"/>
        <v>12500</v>
      </c>
      <c r="AE51" s="317">
        <f t="shared" si="45"/>
        <v>12500</v>
      </c>
      <c r="AF51" s="317">
        <f t="shared" si="45"/>
        <v>12500</v>
      </c>
      <c r="AG51" s="317">
        <f t="shared" si="45"/>
        <v>12500</v>
      </c>
      <c r="AH51" s="317">
        <f t="shared" si="45"/>
        <v>12500</v>
      </c>
      <c r="AI51" s="316">
        <f t="shared" si="45"/>
        <v>12500</v>
      </c>
      <c r="AJ51" s="317">
        <f t="shared" si="45"/>
        <v>12500</v>
      </c>
      <c r="AK51" s="317">
        <f t="shared" si="45"/>
        <v>12500</v>
      </c>
      <c r="AL51" s="317">
        <f t="shared" si="45"/>
        <v>12500</v>
      </c>
      <c r="AM51" s="317">
        <f t="shared" si="45"/>
        <v>12500</v>
      </c>
      <c r="AN51" s="317">
        <f t="shared" si="45"/>
        <v>12500</v>
      </c>
      <c r="AO51" s="317">
        <f t="shared" si="45"/>
        <v>12500</v>
      </c>
      <c r="AP51" s="317">
        <f t="shared" si="45"/>
        <v>12500</v>
      </c>
      <c r="AQ51" s="317">
        <f t="shared" si="45"/>
        <v>12500</v>
      </c>
      <c r="AR51" s="317">
        <f t="shared" si="45"/>
        <v>12500</v>
      </c>
      <c r="AS51" s="317">
        <f t="shared" si="45"/>
        <v>12500</v>
      </c>
      <c r="AT51" s="317">
        <f t="shared" si="45"/>
        <v>12500</v>
      </c>
    </row>
    <row r="52" spans="1:46" ht="15.75" hidden="1" customHeight="1" outlineLevel="1" x14ac:dyDescent="0.25">
      <c r="A52" s="310">
        <v>3</v>
      </c>
      <c r="B52" s="311"/>
      <c r="C52" s="311"/>
      <c r="D52" s="311" t="s">
        <v>539</v>
      </c>
      <c r="E52" s="311" t="s">
        <v>531</v>
      </c>
      <c r="F52" s="311" t="s">
        <v>25</v>
      </c>
      <c r="G52" s="312">
        <v>150000</v>
      </c>
      <c r="H52" s="312">
        <f t="shared" si="1"/>
        <v>12500</v>
      </c>
      <c r="I52" s="314">
        <v>46082</v>
      </c>
      <c r="J52" s="310"/>
      <c r="K52" s="316"/>
      <c r="L52" s="317"/>
      <c r="M52" s="317"/>
      <c r="N52" s="317"/>
      <c r="O52" s="317"/>
      <c r="P52" s="317"/>
      <c r="Q52" s="317">
        <f t="shared" ref="Q52:AT52" si="46">IF(Q$2&gt;=$I52,$H52,0)</f>
        <v>0</v>
      </c>
      <c r="R52" s="317">
        <f t="shared" si="46"/>
        <v>0</v>
      </c>
      <c r="S52" s="317">
        <f t="shared" si="46"/>
        <v>0</v>
      </c>
      <c r="T52" s="317">
        <f t="shared" si="46"/>
        <v>0</v>
      </c>
      <c r="U52" s="317">
        <f t="shared" si="46"/>
        <v>0</v>
      </c>
      <c r="V52" s="317">
        <f t="shared" si="46"/>
        <v>0</v>
      </c>
      <c r="W52" s="316">
        <f t="shared" si="46"/>
        <v>0</v>
      </c>
      <c r="X52" s="317">
        <f t="shared" si="46"/>
        <v>0</v>
      </c>
      <c r="Y52" s="317">
        <f t="shared" si="46"/>
        <v>12500</v>
      </c>
      <c r="Z52" s="317">
        <f t="shared" si="46"/>
        <v>12500</v>
      </c>
      <c r="AA52" s="317">
        <f t="shared" si="46"/>
        <v>12500</v>
      </c>
      <c r="AB52" s="317">
        <f t="shared" si="46"/>
        <v>12500</v>
      </c>
      <c r="AC52" s="317">
        <f t="shared" si="46"/>
        <v>12500</v>
      </c>
      <c r="AD52" s="317">
        <f t="shared" si="46"/>
        <v>12500</v>
      </c>
      <c r="AE52" s="317">
        <f t="shared" si="46"/>
        <v>12500</v>
      </c>
      <c r="AF52" s="317">
        <f t="shared" si="46"/>
        <v>12500</v>
      </c>
      <c r="AG52" s="317">
        <f t="shared" si="46"/>
        <v>12500</v>
      </c>
      <c r="AH52" s="317">
        <f t="shared" si="46"/>
        <v>12500</v>
      </c>
      <c r="AI52" s="316">
        <f t="shared" si="46"/>
        <v>12500</v>
      </c>
      <c r="AJ52" s="317">
        <f t="shared" si="46"/>
        <v>12500</v>
      </c>
      <c r="AK52" s="317">
        <f t="shared" si="46"/>
        <v>12500</v>
      </c>
      <c r="AL52" s="317">
        <f t="shared" si="46"/>
        <v>12500</v>
      </c>
      <c r="AM52" s="317">
        <f t="shared" si="46"/>
        <v>12500</v>
      </c>
      <c r="AN52" s="317">
        <f t="shared" si="46"/>
        <v>12500</v>
      </c>
      <c r="AO52" s="317">
        <f t="shared" si="46"/>
        <v>12500</v>
      </c>
      <c r="AP52" s="317">
        <f t="shared" si="46"/>
        <v>12500</v>
      </c>
      <c r="AQ52" s="317">
        <f t="shared" si="46"/>
        <v>12500</v>
      </c>
      <c r="AR52" s="317">
        <f t="shared" si="46"/>
        <v>12500</v>
      </c>
      <c r="AS52" s="317">
        <f t="shared" si="46"/>
        <v>12500</v>
      </c>
      <c r="AT52" s="317">
        <f t="shared" si="46"/>
        <v>12500</v>
      </c>
    </row>
    <row r="53" spans="1:46" ht="15.75" hidden="1" customHeight="1" outlineLevel="1" x14ac:dyDescent="0.25">
      <c r="A53" s="310">
        <v>4</v>
      </c>
      <c r="B53" s="311"/>
      <c r="C53" s="311"/>
      <c r="D53" s="311" t="s">
        <v>153</v>
      </c>
      <c r="E53" s="311" t="s">
        <v>531</v>
      </c>
      <c r="F53" s="311" t="s">
        <v>25</v>
      </c>
      <c r="G53" s="312">
        <v>115000</v>
      </c>
      <c r="H53" s="312">
        <f t="shared" si="1"/>
        <v>9583.3333333333339</v>
      </c>
      <c r="I53" s="314">
        <v>46235</v>
      </c>
      <c r="J53" s="310"/>
      <c r="K53" s="316"/>
      <c r="L53" s="317"/>
      <c r="M53" s="317"/>
      <c r="N53" s="317"/>
      <c r="O53" s="317"/>
      <c r="P53" s="317"/>
      <c r="Q53" s="317">
        <f t="shared" ref="Q53:AT53" si="47">IF(Q$2&gt;=$I53,$H53,0)</f>
        <v>0</v>
      </c>
      <c r="R53" s="317">
        <f t="shared" si="47"/>
        <v>0</v>
      </c>
      <c r="S53" s="317">
        <f t="shared" si="47"/>
        <v>0</v>
      </c>
      <c r="T53" s="317">
        <f t="shared" si="47"/>
        <v>0</v>
      </c>
      <c r="U53" s="317">
        <f t="shared" si="47"/>
        <v>0</v>
      </c>
      <c r="V53" s="317">
        <f t="shared" si="47"/>
        <v>0</v>
      </c>
      <c r="W53" s="316">
        <f t="shared" si="47"/>
        <v>0</v>
      </c>
      <c r="X53" s="317">
        <f t="shared" si="47"/>
        <v>0</v>
      </c>
      <c r="Y53" s="317">
        <f t="shared" si="47"/>
        <v>0</v>
      </c>
      <c r="Z53" s="317">
        <f t="shared" si="47"/>
        <v>0</v>
      </c>
      <c r="AA53" s="317">
        <f t="shared" si="47"/>
        <v>0</v>
      </c>
      <c r="AB53" s="317">
        <f t="shared" si="47"/>
        <v>0</v>
      </c>
      <c r="AC53" s="317">
        <f t="shared" si="47"/>
        <v>0</v>
      </c>
      <c r="AD53" s="317">
        <f t="shared" si="47"/>
        <v>9583.3333333333339</v>
      </c>
      <c r="AE53" s="317">
        <f t="shared" si="47"/>
        <v>9583.3333333333339</v>
      </c>
      <c r="AF53" s="317">
        <f t="shared" si="47"/>
        <v>9583.3333333333339</v>
      </c>
      <c r="AG53" s="317">
        <f t="shared" si="47"/>
        <v>9583.3333333333339</v>
      </c>
      <c r="AH53" s="317">
        <f t="shared" si="47"/>
        <v>9583.3333333333339</v>
      </c>
      <c r="AI53" s="316">
        <f t="shared" si="47"/>
        <v>9583.3333333333339</v>
      </c>
      <c r="AJ53" s="317">
        <f t="shared" si="47"/>
        <v>9583.3333333333339</v>
      </c>
      <c r="AK53" s="317">
        <f t="shared" si="47"/>
        <v>9583.3333333333339</v>
      </c>
      <c r="AL53" s="317">
        <f t="shared" si="47"/>
        <v>9583.3333333333339</v>
      </c>
      <c r="AM53" s="317">
        <f t="shared" si="47"/>
        <v>9583.3333333333339</v>
      </c>
      <c r="AN53" s="317">
        <f t="shared" si="47"/>
        <v>9583.3333333333339</v>
      </c>
      <c r="AO53" s="317">
        <f t="shared" si="47"/>
        <v>9583.3333333333339</v>
      </c>
      <c r="AP53" s="317">
        <f t="shared" si="47"/>
        <v>9583.3333333333339</v>
      </c>
      <c r="AQ53" s="317">
        <f t="shared" si="47"/>
        <v>9583.3333333333339</v>
      </c>
      <c r="AR53" s="317">
        <f t="shared" si="47"/>
        <v>9583.3333333333339</v>
      </c>
      <c r="AS53" s="317">
        <f t="shared" si="47"/>
        <v>9583.3333333333339</v>
      </c>
      <c r="AT53" s="317">
        <f t="shared" si="47"/>
        <v>9583.3333333333339</v>
      </c>
    </row>
    <row r="54" spans="1:46" ht="15.75" hidden="1" customHeight="1" outlineLevel="1" x14ac:dyDescent="0.25">
      <c r="A54" s="310">
        <v>5</v>
      </c>
      <c r="B54" s="311"/>
      <c r="C54" s="311"/>
      <c r="D54" s="311" t="s">
        <v>153</v>
      </c>
      <c r="E54" s="311" t="s">
        <v>531</v>
      </c>
      <c r="F54" s="311" t="s">
        <v>25</v>
      </c>
      <c r="G54" s="312">
        <v>115000</v>
      </c>
      <c r="H54" s="312">
        <f t="shared" si="1"/>
        <v>9583.3333333333339</v>
      </c>
      <c r="I54" s="314">
        <v>46661</v>
      </c>
      <c r="J54" s="310"/>
      <c r="K54" s="316"/>
      <c r="L54" s="317"/>
      <c r="M54" s="317"/>
      <c r="N54" s="317"/>
      <c r="O54" s="317"/>
      <c r="P54" s="317"/>
      <c r="Q54" s="317">
        <f t="shared" ref="Q54:AT54" si="48">IF(Q$2&gt;=$I54,$H54,0)</f>
        <v>0</v>
      </c>
      <c r="R54" s="317">
        <f t="shared" si="48"/>
        <v>0</v>
      </c>
      <c r="S54" s="317">
        <f t="shared" si="48"/>
        <v>0</v>
      </c>
      <c r="T54" s="317">
        <f t="shared" si="48"/>
        <v>0</v>
      </c>
      <c r="U54" s="317">
        <f t="shared" si="48"/>
        <v>0</v>
      </c>
      <c r="V54" s="317">
        <f t="shared" si="48"/>
        <v>0</v>
      </c>
      <c r="W54" s="316">
        <f t="shared" si="48"/>
        <v>0</v>
      </c>
      <c r="X54" s="317">
        <f t="shared" si="48"/>
        <v>0</v>
      </c>
      <c r="Y54" s="317">
        <f t="shared" si="48"/>
        <v>0</v>
      </c>
      <c r="Z54" s="317">
        <f t="shared" si="48"/>
        <v>0</v>
      </c>
      <c r="AA54" s="317">
        <f t="shared" si="48"/>
        <v>0</v>
      </c>
      <c r="AB54" s="317">
        <f t="shared" si="48"/>
        <v>0</v>
      </c>
      <c r="AC54" s="317">
        <f t="shared" si="48"/>
        <v>0</v>
      </c>
      <c r="AD54" s="317">
        <f t="shared" si="48"/>
        <v>0</v>
      </c>
      <c r="AE54" s="317">
        <f t="shared" si="48"/>
        <v>0</v>
      </c>
      <c r="AF54" s="317">
        <f t="shared" si="48"/>
        <v>0</v>
      </c>
      <c r="AG54" s="317">
        <f t="shared" si="48"/>
        <v>0</v>
      </c>
      <c r="AH54" s="317">
        <f t="shared" si="48"/>
        <v>0</v>
      </c>
      <c r="AI54" s="316">
        <f t="shared" si="48"/>
        <v>0</v>
      </c>
      <c r="AJ54" s="317">
        <f t="shared" si="48"/>
        <v>0</v>
      </c>
      <c r="AK54" s="317">
        <f t="shared" si="48"/>
        <v>0</v>
      </c>
      <c r="AL54" s="317">
        <f t="shared" si="48"/>
        <v>0</v>
      </c>
      <c r="AM54" s="317">
        <f t="shared" si="48"/>
        <v>0</v>
      </c>
      <c r="AN54" s="317">
        <f t="shared" si="48"/>
        <v>0</v>
      </c>
      <c r="AO54" s="317">
        <f t="shared" si="48"/>
        <v>0</v>
      </c>
      <c r="AP54" s="317">
        <f t="shared" si="48"/>
        <v>0</v>
      </c>
      <c r="AQ54" s="317">
        <f t="shared" si="48"/>
        <v>0</v>
      </c>
      <c r="AR54" s="317">
        <f t="shared" si="48"/>
        <v>9583.3333333333339</v>
      </c>
      <c r="AS54" s="317">
        <f t="shared" si="48"/>
        <v>9583.3333333333339</v>
      </c>
      <c r="AT54" s="317">
        <f t="shared" si="48"/>
        <v>9583.3333333333339</v>
      </c>
    </row>
    <row r="55" spans="1:46" ht="15.75" hidden="1" customHeight="1" outlineLevel="1" x14ac:dyDescent="0.25">
      <c r="A55" s="310">
        <v>1</v>
      </c>
      <c r="B55" s="311"/>
      <c r="C55" s="311"/>
      <c r="D55" s="311" t="s">
        <v>540</v>
      </c>
      <c r="E55" s="311" t="s">
        <v>216</v>
      </c>
      <c r="F55" s="311" t="s">
        <v>17</v>
      </c>
      <c r="G55" s="312">
        <v>125000</v>
      </c>
      <c r="H55" s="312">
        <f t="shared" si="1"/>
        <v>10416.666666666666</v>
      </c>
      <c r="I55" s="322">
        <f>Worksheet!$C$13-151</f>
        <v>46023</v>
      </c>
      <c r="J55" s="310"/>
      <c r="K55" s="316"/>
      <c r="L55" s="317"/>
      <c r="M55" s="317"/>
      <c r="N55" s="317"/>
      <c r="O55" s="317"/>
      <c r="P55" s="317"/>
      <c r="Q55" s="317">
        <f t="shared" ref="Q55:AT55" si="49">IF(Q$2&gt;=$I55,$H55,0)</f>
        <v>0</v>
      </c>
      <c r="R55" s="317">
        <f t="shared" si="49"/>
        <v>0</v>
      </c>
      <c r="S55" s="317">
        <f t="shared" si="49"/>
        <v>0</v>
      </c>
      <c r="T55" s="317">
        <f t="shared" si="49"/>
        <v>0</v>
      </c>
      <c r="U55" s="317">
        <f t="shared" si="49"/>
        <v>0</v>
      </c>
      <c r="V55" s="317">
        <f t="shared" si="49"/>
        <v>0</v>
      </c>
      <c r="W55" s="316">
        <f t="shared" si="49"/>
        <v>10416.666666666666</v>
      </c>
      <c r="X55" s="317">
        <f t="shared" si="49"/>
        <v>10416.666666666666</v>
      </c>
      <c r="Y55" s="317">
        <f t="shared" si="49"/>
        <v>10416.666666666666</v>
      </c>
      <c r="Z55" s="317">
        <f t="shared" si="49"/>
        <v>10416.666666666666</v>
      </c>
      <c r="AA55" s="317">
        <f t="shared" si="49"/>
        <v>10416.666666666666</v>
      </c>
      <c r="AB55" s="317">
        <f t="shared" si="49"/>
        <v>10416.666666666666</v>
      </c>
      <c r="AC55" s="317">
        <f t="shared" si="49"/>
        <v>10416.666666666666</v>
      </c>
      <c r="AD55" s="317">
        <f t="shared" si="49"/>
        <v>10416.666666666666</v>
      </c>
      <c r="AE55" s="317">
        <f t="shared" si="49"/>
        <v>10416.666666666666</v>
      </c>
      <c r="AF55" s="317">
        <f t="shared" si="49"/>
        <v>10416.666666666666</v>
      </c>
      <c r="AG55" s="317">
        <f t="shared" si="49"/>
        <v>10416.666666666666</v>
      </c>
      <c r="AH55" s="317">
        <f t="shared" si="49"/>
        <v>10416.666666666666</v>
      </c>
      <c r="AI55" s="316">
        <f t="shared" si="49"/>
        <v>10416.666666666666</v>
      </c>
      <c r="AJ55" s="317">
        <f t="shared" si="49"/>
        <v>10416.666666666666</v>
      </c>
      <c r="AK55" s="317">
        <f t="shared" si="49"/>
        <v>10416.666666666666</v>
      </c>
      <c r="AL55" s="317">
        <f t="shared" si="49"/>
        <v>10416.666666666666</v>
      </c>
      <c r="AM55" s="317">
        <f t="shared" si="49"/>
        <v>10416.666666666666</v>
      </c>
      <c r="AN55" s="317">
        <f t="shared" si="49"/>
        <v>10416.666666666666</v>
      </c>
      <c r="AO55" s="317">
        <f t="shared" si="49"/>
        <v>10416.666666666666</v>
      </c>
      <c r="AP55" s="317">
        <f t="shared" si="49"/>
        <v>10416.666666666666</v>
      </c>
      <c r="AQ55" s="317">
        <f t="shared" si="49"/>
        <v>10416.666666666666</v>
      </c>
      <c r="AR55" s="317">
        <f t="shared" si="49"/>
        <v>10416.666666666666</v>
      </c>
      <c r="AS55" s="317">
        <f t="shared" si="49"/>
        <v>10416.666666666666</v>
      </c>
      <c r="AT55" s="317">
        <f t="shared" si="49"/>
        <v>10416.666666666666</v>
      </c>
    </row>
    <row r="56" spans="1:46" ht="15.75" hidden="1" customHeight="1" outlineLevel="1" x14ac:dyDescent="0.25">
      <c r="A56" s="310">
        <v>2</v>
      </c>
      <c r="B56" s="311"/>
      <c r="C56" s="311"/>
      <c r="D56" s="311" t="s">
        <v>540</v>
      </c>
      <c r="E56" s="311" t="s">
        <v>216</v>
      </c>
      <c r="F56" s="311" t="s">
        <v>17</v>
      </c>
      <c r="G56" s="312">
        <v>75000</v>
      </c>
      <c r="H56" s="312">
        <f t="shared" si="1"/>
        <v>6250</v>
      </c>
      <c r="I56" s="322">
        <f t="shared" ref="I56:I57" si="50">I55+91</f>
        <v>46114</v>
      </c>
      <c r="J56" s="310"/>
      <c r="K56" s="316"/>
      <c r="L56" s="317"/>
      <c r="M56" s="317"/>
      <c r="N56" s="317"/>
      <c r="O56" s="317"/>
      <c r="P56" s="317"/>
      <c r="Q56" s="317">
        <f t="shared" ref="Q56:AT56" si="51">IF(Q$2&gt;=$I56,$H56,0)</f>
        <v>0</v>
      </c>
      <c r="R56" s="317">
        <f t="shared" si="51"/>
        <v>0</v>
      </c>
      <c r="S56" s="317">
        <f t="shared" si="51"/>
        <v>0</v>
      </c>
      <c r="T56" s="317">
        <f t="shared" si="51"/>
        <v>0</v>
      </c>
      <c r="U56" s="317">
        <f t="shared" si="51"/>
        <v>0</v>
      </c>
      <c r="V56" s="317">
        <f t="shared" si="51"/>
        <v>0</v>
      </c>
      <c r="W56" s="316">
        <f t="shared" si="51"/>
        <v>0</v>
      </c>
      <c r="X56" s="317">
        <f t="shared" si="51"/>
        <v>0</v>
      </c>
      <c r="Y56" s="317">
        <f t="shared" si="51"/>
        <v>0</v>
      </c>
      <c r="Z56" s="317">
        <f t="shared" si="51"/>
        <v>0</v>
      </c>
      <c r="AA56" s="317">
        <f t="shared" si="51"/>
        <v>6250</v>
      </c>
      <c r="AB56" s="317">
        <f t="shared" si="51"/>
        <v>6250</v>
      </c>
      <c r="AC56" s="317">
        <f t="shared" si="51"/>
        <v>6250</v>
      </c>
      <c r="AD56" s="317">
        <f t="shared" si="51"/>
        <v>6250</v>
      </c>
      <c r="AE56" s="317">
        <f t="shared" si="51"/>
        <v>6250</v>
      </c>
      <c r="AF56" s="317">
        <f t="shared" si="51"/>
        <v>6250</v>
      </c>
      <c r="AG56" s="317">
        <f t="shared" si="51"/>
        <v>6250</v>
      </c>
      <c r="AH56" s="317">
        <f t="shared" si="51"/>
        <v>6250</v>
      </c>
      <c r="AI56" s="316">
        <f t="shared" si="51"/>
        <v>6250</v>
      </c>
      <c r="AJ56" s="317">
        <f t="shared" si="51"/>
        <v>6250</v>
      </c>
      <c r="AK56" s="317">
        <f t="shared" si="51"/>
        <v>6250</v>
      </c>
      <c r="AL56" s="317">
        <f t="shared" si="51"/>
        <v>6250</v>
      </c>
      <c r="AM56" s="317">
        <f t="shared" si="51"/>
        <v>6250</v>
      </c>
      <c r="AN56" s="317">
        <f t="shared" si="51"/>
        <v>6250</v>
      </c>
      <c r="AO56" s="317">
        <f t="shared" si="51"/>
        <v>6250</v>
      </c>
      <c r="AP56" s="317">
        <f t="shared" si="51"/>
        <v>6250</v>
      </c>
      <c r="AQ56" s="317">
        <f t="shared" si="51"/>
        <v>6250</v>
      </c>
      <c r="AR56" s="317">
        <f t="shared" si="51"/>
        <v>6250</v>
      </c>
      <c r="AS56" s="317">
        <f t="shared" si="51"/>
        <v>6250</v>
      </c>
      <c r="AT56" s="317">
        <f t="shared" si="51"/>
        <v>6250</v>
      </c>
    </row>
    <row r="57" spans="1:46" ht="15.75" hidden="1" customHeight="1" outlineLevel="1" x14ac:dyDescent="0.25">
      <c r="A57" s="310">
        <v>3</v>
      </c>
      <c r="B57" s="311"/>
      <c r="C57" s="311"/>
      <c r="D57" s="311" t="s">
        <v>540</v>
      </c>
      <c r="E57" s="311" t="s">
        <v>216</v>
      </c>
      <c r="F57" s="311" t="s">
        <v>17</v>
      </c>
      <c r="G57" s="312">
        <v>75000</v>
      </c>
      <c r="H57" s="312">
        <f t="shared" si="1"/>
        <v>6250</v>
      </c>
      <c r="I57" s="322">
        <f t="shared" si="50"/>
        <v>46205</v>
      </c>
      <c r="J57" s="310"/>
      <c r="K57" s="316"/>
      <c r="L57" s="317"/>
      <c r="M57" s="317"/>
      <c r="N57" s="317"/>
      <c r="O57" s="317"/>
      <c r="P57" s="317"/>
      <c r="Q57" s="317">
        <f t="shared" ref="Q57:AT57" si="52">IF(Q$2&gt;=$I57,$H57,0)</f>
        <v>0</v>
      </c>
      <c r="R57" s="317">
        <f t="shared" si="52"/>
        <v>0</v>
      </c>
      <c r="S57" s="317">
        <f t="shared" si="52"/>
        <v>0</v>
      </c>
      <c r="T57" s="317">
        <f t="shared" si="52"/>
        <v>0</v>
      </c>
      <c r="U57" s="317">
        <f t="shared" si="52"/>
        <v>0</v>
      </c>
      <c r="V57" s="317">
        <f t="shared" si="52"/>
        <v>0</v>
      </c>
      <c r="W57" s="316">
        <f t="shared" si="52"/>
        <v>0</v>
      </c>
      <c r="X57" s="317">
        <f t="shared" si="52"/>
        <v>0</v>
      </c>
      <c r="Y57" s="317">
        <f t="shared" si="52"/>
        <v>0</v>
      </c>
      <c r="Z57" s="317">
        <f t="shared" si="52"/>
        <v>0</v>
      </c>
      <c r="AA57" s="317">
        <f t="shared" si="52"/>
        <v>0</v>
      </c>
      <c r="AB57" s="317">
        <f t="shared" si="52"/>
        <v>0</v>
      </c>
      <c r="AC57" s="317">
        <f t="shared" si="52"/>
        <v>0</v>
      </c>
      <c r="AD57" s="317">
        <f t="shared" si="52"/>
        <v>6250</v>
      </c>
      <c r="AE57" s="317">
        <f t="shared" si="52"/>
        <v>6250</v>
      </c>
      <c r="AF57" s="317">
        <f t="shared" si="52"/>
        <v>6250</v>
      </c>
      <c r="AG57" s="317">
        <f t="shared" si="52"/>
        <v>6250</v>
      </c>
      <c r="AH57" s="317">
        <f t="shared" si="52"/>
        <v>6250</v>
      </c>
      <c r="AI57" s="316">
        <f t="shared" si="52"/>
        <v>6250</v>
      </c>
      <c r="AJ57" s="317">
        <f t="shared" si="52"/>
        <v>6250</v>
      </c>
      <c r="AK57" s="317">
        <f t="shared" si="52"/>
        <v>6250</v>
      </c>
      <c r="AL57" s="317">
        <f t="shared" si="52"/>
        <v>6250</v>
      </c>
      <c r="AM57" s="317">
        <f t="shared" si="52"/>
        <v>6250</v>
      </c>
      <c r="AN57" s="317">
        <f t="shared" si="52"/>
        <v>6250</v>
      </c>
      <c r="AO57" s="317">
        <f t="shared" si="52"/>
        <v>6250</v>
      </c>
      <c r="AP57" s="317">
        <f t="shared" si="52"/>
        <v>6250</v>
      </c>
      <c r="AQ57" s="317">
        <f t="shared" si="52"/>
        <v>6250</v>
      </c>
      <c r="AR57" s="317">
        <f t="shared" si="52"/>
        <v>6250</v>
      </c>
      <c r="AS57" s="317">
        <f t="shared" si="52"/>
        <v>6250</v>
      </c>
      <c r="AT57" s="317">
        <f t="shared" si="52"/>
        <v>6250</v>
      </c>
    </row>
    <row r="58" spans="1:46" ht="15.75" hidden="1" customHeight="1" outlineLevel="1" x14ac:dyDescent="0.25">
      <c r="A58" s="310">
        <v>4</v>
      </c>
      <c r="B58" s="311"/>
      <c r="C58" s="311"/>
      <c r="D58" s="311" t="s">
        <v>540</v>
      </c>
      <c r="E58" s="311" t="s">
        <v>216</v>
      </c>
      <c r="F58" s="311" t="s">
        <v>17</v>
      </c>
      <c r="G58" s="312">
        <v>75000</v>
      </c>
      <c r="H58" s="312">
        <f t="shared" si="1"/>
        <v>6250</v>
      </c>
      <c r="I58" s="322">
        <f>I57+183</f>
        <v>46388</v>
      </c>
      <c r="J58" s="310"/>
      <c r="K58" s="316"/>
      <c r="L58" s="317"/>
      <c r="M58" s="317"/>
      <c r="N58" s="317"/>
      <c r="O58" s="317"/>
      <c r="P58" s="317"/>
      <c r="Q58" s="317">
        <f t="shared" ref="Q58:AT58" si="53">IF(Q$2&gt;=$I58,$H58,0)</f>
        <v>0</v>
      </c>
      <c r="R58" s="317">
        <f t="shared" si="53"/>
        <v>0</v>
      </c>
      <c r="S58" s="317">
        <f t="shared" si="53"/>
        <v>0</v>
      </c>
      <c r="T58" s="317">
        <f t="shared" si="53"/>
        <v>0</v>
      </c>
      <c r="U58" s="317">
        <f t="shared" si="53"/>
        <v>0</v>
      </c>
      <c r="V58" s="317">
        <f t="shared" si="53"/>
        <v>0</v>
      </c>
      <c r="W58" s="316">
        <f t="shared" si="53"/>
        <v>0</v>
      </c>
      <c r="X58" s="317">
        <f t="shared" si="53"/>
        <v>0</v>
      </c>
      <c r="Y58" s="317">
        <f t="shared" si="53"/>
        <v>0</v>
      </c>
      <c r="Z58" s="317">
        <f t="shared" si="53"/>
        <v>0</v>
      </c>
      <c r="AA58" s="317">
        <f t="shared" si="53"/>
        <v>0</v>
      </c>
      <c r="AB58" s="317">
        <f t="shared" si="53"/>
        <v>0</v>
      </c>
      <c r="AC58" s="317">
        <f t="shared" si="53"/>
        <v>0</v>
      </c>
      <c r="AD58" s="317">
        <f t="shared" si="53"/>
        <v>0</v>
      </c>
      <c r="AE58" s="317">
        <f t="shared" si="53"/>
        <v>0</v>
      </c>
      <c r="AF58" s="317">
        <f t="shared" si="53"/>
        <v>0</v>
      </c>
      <c r="AG58" s="317">
        <f t="shared" si="53"/>
        <v>0</v>
      </c>
      <c r="AH58" s="317">
        <f t="shared" si="53"/>
        <v>0</v>
      </c>
      <c r="AI58" s="316">
        <f t="shared" si="53"/>
        <v>6250</v>
      </c>
      <c r="AJ58" s="317">
        <f t="shared" si="53"/>
        <v>6250</v>
      </c>
      <c r="AK58" s="317">
        <f t="shared" si="53"/>
        <v>6250</v>
      </c>
      <c r="AL58" s="317">
        <f t="shared" si="53"/>
        <v>6250</v>
      </c>
      <c r="AM58" s="317">
        <f t="shared" si="53"/>
        <v>6250</v>
      </c>
      <c r="AN58" s="317">
        <f t="shared" si="53"/>
        <v>6250</v>
      </c>
      <c r="AO58" s="317">
        <f t="shared" si="53"/>
        <v>6250</v>
      </c>
      <c r="AP58" s="317">
        <f t="shared" si="53"/>
        <v>6250</v>
      </c>
      <c r="AQ58" s="317">
        <f t="shared" si="53"/>
        <v>6250</v>
      </c>
      <c r="AR58" s="317">
        <f t="shared" si="53"/>
        <v>6250</v>
      </c>
      <c r="AS58" s="317">
        <f t="shared" si="53"/>
        <v>6250</v>
      </c>
      <c r="AT58" s="317">
        <f t="shared" si="53"/>
        <v>6250</v>
      </c>
    </row>
    <row r="59" spans="1:46" ht="15.75" hidden="1" customHeight="1" outlineLevel="1" x14ac:dyDescent="0.25">
      <c r="A59" s="310">
        <v>5</v>
      </c>
      <c r="B59" s="311"/>
      <c r="C59" s="311"/>
      <c r="D59" s="311" t="s">
        <v>540</v>
      </c>
      <c r="E59" s="311" t="s">
        <v>216</v>
      </c>
      <c r="F59" s="311" t="s">
        <v>17</v>
      </c>
      <c r="G59" s="312">
        <v>75000</v>
      </c>
      <c r="H59" s="312">
        <f t="shared" si="1"/>
        <v>6250</v>
      </c>
      <c r="I59" s="322">
        <f>I58+181</f>
        <v>46569</v>
      </c>
      <c r="J59" s="310"/>
      <c r="K59" s="316"/>
      <c r="L59" s="317"/>
      <c r="M59" s="317"/>
      <c r="N59" s="317"/>
      <c r="O59" s="317"/>
      <c r="P59" s="317"/>
      <c r="Q59" s="317">
        <f t="shared" ref="Q59:AT59" si="54">IF(Q$2&gt;=$I59,$H59,0)</f>
        <v>0</v>
      </c>
      <c r="R59" s="317">
        <f t="shared" si="54"/>
        <v>0</v>
      </c>
      <c r="S59" s="317">
        <f t="shared" si="54"/>
        <v>0</v>
      </c>
      <c r="T59" s="317">
        <f t="shared" si="54"/>
        <v>0</v>
      </c>
      <c r="U59" s="317">
        <f t="shared" si="54"/>
        <v>0</v>
      </c>
      <c r="V59" s="317">
        <f t="shared" si="54"/>
        <v>0</v>
      </c>
      <c r="W59" s="316">
        <f t="shared" si="54"/>
        <v>0</v>
      </c>
      <c r="X59" s="317">
        <f t="shared" si="54"/>
        <v>0</v>
      </c>
      <c r="Y59" s="317">
        <f t="shared" si="54"/>
        <v>0</v>
      </c>
      <c r="Z59" s="317">
        <f t="shared" si="54"/>
        <v>0</v>
      </c>
      <c r="AA59" s="317">
        <f t="shared" si="54"/>
        <v>0</v>
      </c>
      <c r="AB59" s="317">
        <f t="shared" si="54"/>
        <v>0</v>
      </c>
      <c r="AC59" s="317">
        <f t="shared" si="54"/>
        <v>0</v>
      </c>
      <c r="AD59" s="317">
        <f t="shared" si="54"/>
        <v>0</v>
      </c>
      <c r="AE59" s="317">
        <f t="shared" si="54"/>
        <v>0</v>
      </c>
      <c r="AF59" s="317">
        <f t="shared" si="54"/>
        <v>0</v>
      </c>
      <c r="AG59" s="317">
        <f t="shared" si="54"/>
        <v>0</v>
      </c>
      <c r="AH59" s="317">
        <f t="shared" si="54"/>
        <v>0</v>
      </c>
      <c r="AI59" s="316">
        <f t="shared" si="54"/>
        <v>0</v>
      </c>
      <c r="AJ59" s="317">
        <f t="shared" si="54"/>
        <v>0</v>
      </c>
      <c r="AK59" s="317">
        <f t="shared" si="54"/>
        <v>0</v>
      </c>
      <c r="AL59" s="317">
        <f t="shared" si="54"/>
        <v>0</v>
      </c>
      <c r="AM59" s="317">
        <f t="shared" si="54"/>
        <v>0</v>
      </c>
      <c r="AN59" s="317">
        <f t="shared" si="54"/>
        <v>0</v>
      </c>
      <c r="AO59" s="317">
        <f t="shared" si="54"/>
        <v>6250</v>
      </c>
      <c r="AP59" s="317">
        <f t="shared" si="54"/>
        <v>6250</v>
      </c>
      <c r="AQ59" s="317">
        <f t="shared" si="54"/>
        <v>6250</v>
      </c>
      <c r="AR59" s="317">
        <f t="shared" si="54"/>
        <v>6250</v>
      </c>
      <c r="AS59" s="317">
        <f t="shared" si="54"/>
        <v>6250</v>
      </c>
      <c r="AT59" s="317">
        <f t="shared" si="54"/>
        <v>6250</v>
      </c>
    </row>
    <row r="60" spans="1:46" ht="15.75" hidden="1" customHeight="1" outlineLevel="1" x14ac:dyDescent="0.25">
      <c r="A60" s="310">
        <v>6</v>
      </c>
      <c r="B60" s="311"/>
      <c r="C60" s="311"/>
      <c r="D60" s="311" t="s">
        <v>541</v>
      </c>
      <c r="E60" s="311" t="s">
        <v>216</v>
      </c>
      <c r="F60" s="311" t="s">
        <v>215</v>
      </c>
      <c r="G60" s="312">
        <v>175000</v>
      </c>
      <c r="H60" s="312">
        <f t="shared" si="1"/>
        <v>14583.333333333334</v>
      </c>
      <c r="I60" s="314">
        <v>45992</v>
      </c>
      <c r="J60" s="310"/>
      <c r="K60" s="316"/>
      <c r="L60" s="317"/>
      <c r="M60" s="317"/>
      <c r="N60" s="317"/>
      <c r="O60" s="317"/>
      <c r="P60" s="317"/>
      <c r="Q60" s="317">
        <f t="shared" ref="Q60:U60" si="55">IF(Q$2&gt;=$I60,$H60,0)</f>
        <v>0</v>
      </c>
      <c r="R60" s="317">
        <f t="shared" si="55"/>
        <v>0</v>
      </c>
      <c r="S60" s="317">
        <f t="shared" si="55"/>
        <v>0</v>
      </c>
      <c r="T60" s="317">
        <f t="shared" si="55"/>
        <v>0</v>
      </c>
      <c r="U60" s="317">
        <f t="shared" si="55"/>
        <v>0</v>
      </c>
      <c r="V60" s="317"/>
      <c r="W60" s="316">
        <f t="shared" ref="W60:AT60" si="56">IF(W$2&gt;=$I60,$H60,0)</f>
        <v>14583.333333333334</v>
      </c>
      <c r="X60" s="317">
        <f t="shared" si="56"/>
        <v>14583.333333333334</v>
      </c>
      <c r="Y60" s="317">
        <f t="shared" si="56"/>
        <v>14583.333333333334</v>
      </c>
      <c r="Z60" s="317">
        <f t="shared" si="56"/>
        <v>14583.333333333334</v>
      </c>
      <c r="AA60" s="317">
        <f t="shared" si="56"/>
        <v>14583.333333333334</v>
      </c>
      <c r="AB60" s="317">
        <f t="shared" si="56"/>
        <v>14583.333333333334</v>
      </c>
      <c r="AC60" s="317">
        <f t="shared" si="56"/>
        <v>14583.333333333334</v>
      </c>
      <c r="AD60" s="317">
        <f t="shared" si="56"/>
        <v>14583.333333333334</v>
      </c>
      <c r="AE60" s="317">
        <f t="shared" si="56"/>
        <v>14583.333333333334</v>
      </c>
      <c r="AF60" s="317">
        <f t="shared" si="56"/>
        <v>14583.333333333334</v>
      </c>
      <c r="AG60" s="317">
        <f t="shared" si="56"/>
        <v>14583.333333333334</v>
      </c>
      <c r="AH60" s="317">
        <f t="shared" si="56"/>
        <v>14583.333333333334</v>
      </c>
      <c r="AI60" s="316">
        <f t="shared" si="56"/>
        <v>14583.333333333334</v>
      </c>
      <c r="AJ60" s="317">
        <f t="shared" si="56"/>
        <v>14583.333333333334</v>
      </c>
      <c r="AK60" s="317">
        <f t="shared" si="56"/>
        <v>14583.333333333334</v>
      </c>
      <c r="AL60" s="317">
        <f t="shared" si="56"/>
        <v>14583.333333333334</v>
      </c>
      <c r="AM60" s="317">
        <f t="shared" si="56"/>
        <v>14583.333333333334</v>
      </c>
      <c r="AN60" s="317">
        <f t="shared" si="56"/>
        <v>14583.333333333334</v>
      </c>
      <c r="AO60" s="317">
        <f t="shared" si="56"/>
        <v>14583.333333333334</v>
      </c>
      <c r="AP60" s="317">
        <f t="shared" si="56"/>
        <v>14583.333333333334</v>
      </c>
      <c r="AQ60" s="317">
        <f t="shared" si="56"/>
        <v>14583.333333333334</v>
      </c>
      <c r="AR60" s="317">
        <f t="shared" si="56"/>
        <v>14583.333333333334</v>
      </c>
      <c r="AS60" s="317">
        <f t="shared" si="56"/>
        <v>14583.333333333334</v>
      </c>
      <c r="AT60" s="317">
        <f t="shared" si="56"/>
        <v>14583.333333333334</v>
      </c>
    </row>
    <row r="61" spans="1:46" ht="15.75" hidden="1" customHeight="1" outlineLevel="1" x14ac:dyDescent="0.25">
      <c r="A61" s="310">
        <v>7</v>
      </c>
      <c r="B61" s="311"/>
      <c r="C61" s="311"/>
      <c r="D61" s="311" t="s">
        <v>542</v>
      </c>
      <c r="E61" s="311" t="s">
        <v>216</v>
      </c>
      <c r="F61" s="311" t="s">
        <v>215</v>
      </c>
      <c r="G61" s="312">
        <v>125000</v>
      </c>
      <c r="H61" s="312">
        <f t="shared" si="1"/>
        <v>10416.666666666666</v>
      </c>
      <c r="I61" s="314">
        <v>46023</v>
      </c>
      <c r="J61" s="310"/>
      <c r="K61" s="316"/>
      <c r="L61" s="317"/>
      <c r="M61" s="317"/>
      <c r="N61" s="317"/>
      <c r="O61" s="317"/>
      <c r="P61" s="317"/>
      <c r="Q61" s="317">
        <f t="shared" ref="Q61:U61" si="57">IF(Q$2&gt;=$I61,$H61,0)</f>
        <v>0</v>
      </c>
      <c r="R61" s="317">
        <f t="shared" si="57"/>
        <v>0</v>
      </c>
      <c r="S61" s="317">
        <f t="shared" si="57"/>
        <v>0</v>
      </c>
      <c r="T61" s="317">
        <f t="shared" si="57"/>
        <v>0</v>
      </c>
      <c r="U61" s="317">
        <f t="shared" si="57"/>
        <v>0</v>
      </c>
      <c r="V61" s="317"/>
      <c r="W61" s="316">
        <f t="shared" ref="W61:AT61" si="58">IF(W$2&gt;=$I61,$H61,0)</f>
        <v>10416.666666666666</v>
      </c>
      <c r="X61" s="317">
        <f t="shared" si="58"/>
        <v>10416.666666666666</v>
      </c>
      <c r="Y61" s="317">
        <f t="shared" si="58"/>
        <v>10416.666666666666</v>
      </c>
      <c r="Z61" s="317">
        <f t="shared" si="58"/>
        <v>10416.666666666666</v>
      </c>
      <c r="AA61" s="317">
        <f t="shared" si="58"/>
        <v>10416.666666666666</v>
      </c>
      <c r="AB61" s="317">
        <f t="shared" si="58"/>
        <v>10416.666666666666</v>
      </c>
      <c r="AC61" s="317">
        <f t="shared" si="58"/>
        <v>10416.666666666666</v>
      </c>
      <c r="AD61" s="317">
        <f t="shared" si="58"/>
        <v>10416.666666666666</v>
      </c>
      <c r="AE61" s="317">
        <f t="shared" si="58"/>
        <v>10416.666666666666</v>
      </c>
      <c r="AF61" s="317">
        <f t="shared" si="58"/>
        <v>10416.666666666666</v>
      </c>
      <c r="AG61" s="317">
        <f t="shared" si="58"/>
        <v>10416.666666666666</v>
      </c>
      <c r="AH61" s="317">
        <f t="shared" si="58"/>
        <v>10416.666666666666</v>
      </c>
      <c r="AI61" s="316">
        <f t="shared" si="58"/>
        <v>10416.666666666666</v>
      </c>
      <c r="AJ61" s="317">
        <f t="shared" si="58"/>
        <v>10416.666666666666</v>
      </c>
      <c r="AK61" s="317">
        <f t="shared" si="58"/>
        <v>10416.666666666666</v>
      </c>
      <c r="AL61" s="317">
        <f t="shared" si="58"/>
        <v>10416.666666666666</v>
      </c>
      <c r="AM61" s="317">
        <f t="shared" si="58"/>
        <v>10416.666666666666</v>
      </c>
      <c r="AN61" s="317">
        <f t="shared" si="58"/>
        <v>10416.666666666666</v>
      </c>
      <c r="AO61" s="317">
        <f t="shared" si="58"/>
        <v>10416.666666666666</v>
      </c>
      <c r="AP61" s="317">
        <f t="shared" si="58"/>
        <v>10416.666666666666</v>
      </c>
      <c r="AQ61" s="317">
        <f t="shared" si="58"/>
        <v>10416.666666666666</v>
      </c>
      <c r="AR61" s="317">
        <f t="shared" si="58"/>
        <v>10416.666666666666</v>
      </c>
      <c r="AS61" s="317">
        <f t="shared" si="58"/>
        <v>10416.666666666666</v>
      </c>
      <c r="AT61" s="317">
        <f t="shared" si="58"/>
        <v>10416.666666666666</v>
      </c>
    </row>
    <row r="62" spans="1:46" ht="15.75" hidden="1" customHeight="1" outlineLevel="1" x14ac:dyDescent="0.25">
      <c r="A62" s="310">
        <v>8</v>
      </c>
      <c r="B62" s="311"/>
      <c r="C62" s="311"/>
      <c r="D62" s="311" t="s">
        <v>542</v>
      </c>
      <c r="E62" s="311" t="s">
        <v>216</v>
      </c>
      <c r="F62" s="311" t="s">
        <v>215</v>
      </c>
      <c r="G62" s="312">
        <v>125000</v>
      </c>
      <c r="H62" s="312">
        <f t="shared" si="1"/>
        <v>10416.666666666666</v>
      </c>
      <c r="I62" s="314">
        <v>46113</v>
      </c>
      <c r="J62" s="310"/>
      <c r="K62" s="316"/>
      <c r="L62" s="317"/>
      <c r="M62" s="317"/>
      <c r="N62" s="317"/>
      <c r="O62" s="317"/>
      <c r="P62" s="317"/>
      <c r="Q62" s="317">
        <f t="shared" ref="Q62:U62" si="59">IF(Q$2&gt;=$I62,$H62,0)</f>
        <v>0</v>
      </c>
      <c r="R62" s="317">
        <f t="shared" si="59"/>
        <v>0</v>
      </c>
      <c r="S62" s="317">
        <f t="shared" si="59"/>
        <v>0</v>
      </c>
      <c r="T62" s="317">
        <f t="shared" si="59"/>
        <v>0</v>
      </c>
      <c r="U62" s="317">
        <f t="shared" si="59"/>
        <v>0</v>
      </c>
      <c r="V62" s="317"/>
      <c r="W62" s="316">
        <f t="shared" ref="W62:AT62" si="60">IF(W$2&gt;=$I62,$H62,0)</f>
        <v>0</v>
      </c>
      <c r="X62" s="317">
        <f t="shared" si="60"/>
        <v>0</v>
      </c>
      <c r="Y62" s="317">
        <f t="shared" si="60"/>
        <v>0</v>
      </c>
      <c r="Z62" s="317">
        <f t="shared" si="60"/>
        <v>10416.666666666666</v>
      </c>
      <c r="AA62" s="317">
        <f t="shared" si="60"/>
        <v>10416.666666666666</v>
      </c>
      <c r="AB62" s="317">
        <f t="shared" si="60"/>
        <v>10416.666666666666</v>
      </c>
      <c r="AC62" s="317">
        <f t="shared" si="60"/>
        <v>10416.666666666666</v>
      </c>
      <c r="AD62" s="317">
        <f t="shared" si="60"/>
        <v>10416.666666666666</v>
      </c>
      <c r="AE62" s="317">
        <f t="shared" si="60"/>
        <v>10416.666666666666</v>
      </c>
      <c r="AF62" s="317">
        <f t="shared" si="60"/>
        <v>10416.666666666666</v>
      </c>
      <c r="AG62" s="317">
        <f t="shared" si="60"/>
        <v>10416.666666666666</v>
      </c>
      <c r="AH62" s="317">
        <f t="shared" si="60"/>
        <v>10416.666666666666</v>
      </c>
      <c r="AI62" s="316">
        <f t="shared" si="60"/>
        <v>10416.666666666666</v>
      </c>
      <c r="AJ62" s="317">
        <f t="shared" si="60"/>
        <v>10416.666666666666</v>
      </c>
      <c r="AK62" s="317">
        <f t="shared" si="60"/>
        <v>10416.666666666666</v>
      </c>
      <c r="AL62" s="317">
        <f t="shared" si="60"/>
        <v>10416.666666666666</v>
      </c>
      <c r="AM62" s="317">
        <f t="shared" si="60"/>
        <v>10416.666666666666</v>
      </c>
      <c r="AN62" s="317">
        <f t="shared" si="60"/>
        <v>10416.666666666666</v>
      </c>
      <c r="AO62" s="317">
        <f t="shared" si="60"/>
        <v>10416.666666666666</v>
      </c>
      <c r="AP62" s="317">
        <f t="shared" si="60"/>
        <v>10416.666666666666</v>
      </c>
      <c r="AQ62" s="317">
        <f t="shared" si="60"/>
        <v>10416.666666666666</v>
      </c>
      <c r="AR62" s="317">
        <f t="shared" si="60"/>
        <v>10416.666666666666</v>
      </c>
      <c r="AS62" s="317">
        <f t="shared" si="60"/>
        <v>10416.666666666666</v>
      </c>
      <c r="AT62" s="317">
        <f t="shared" si="60"/>
        <v>10416.666666666666</v>
      </c>
    </row>
    <row r="63" spans="1:46" ht="15.75" hidden="1" customHeight="1" outlineLevel="1" x14ac:dyDescent="0.25">
      <c r="A63" s="310">
        <v>9</v>
      </c>
      <c r="B63" s="311"/>
      <c r="C63" s="311"/>
      <c r="D63" s="311" t="s">
        <v>542</v>
      </c>
      <c r="E63" s="311" t="s">
        <v>216</v>
      </c>
      <c r="F63" s="311" t="s">
        <v>215</v>
      </c>
      <c r="G63" s="312">
        <v>125000</v>
      </c>
      <c r="H63" s="312">
        <f t="shared" si="1"/>
        <v>10416.666666666666</v>
      </c>
      <c r="I63" s="314">
        <v>46204</v>
      </c>
      <c r="J63" s="310"/>
      <c r="K63" s="316"/>
      <c r="L63" s="317"/>
      <c r="M63" s="317"/>
      <c r="N63" s="317"/>
      <c r="O63" s="317"/>
      <c r="P63" s="317"/>
      <c r="Q63" s="317">
        <f t="shared" ref="Q63:U63" si="61">IF(Q$2&gt;=$I63,$H63,0)</f>
        <v>0</v>
      </c>
      <c r="R63" s="317">
        <f t="shared" si="61"/>
        <v>0</v>
      </c>
      <c r="S63" s="317">
        <f t="shared" si="61"/>
        <v>0</v>
      </c>
      <c r="T63" s="317">
        <f t="shared" si="61"/>
        <v>0</v>
      </c>
      <c r="U63" s="317">
        <f t="shared" si="61"/>
        <v>0</v>
      </c>
      <c r="V63" s="317"/>
      <c r="W63" s="316">
        <f t="shared" ref="W63:AT63" si="62">IF(W$2&gt;=$I63,$H63,0)</f>
        <v>0</v>
      </c>
      <c r="X63" s="317">
        <f t="shared" si="62"/>
        <v>0</v>
      </c>
      <c r="Y63" s="317">
        <f t="shared" si="62"/>
        <v>0</v>
      </c>
      <c r="Z63" s="317">
        <f t="shared" si="62"/>
        <v>0</v>
      </c>
      <c r="AA63" s="317">
        <f t="shared" si="62"/>
        <v>0</v>
      </c>
      <c r="AB63" s="317">
        <f t="shared" si="62"/>
        <v>0</v>
      </c>
      <c r="AC63" s="317">
        <f t="shared" si="62"/>
        <v>10416.666666666666</v>
      </c>
      <c r="AD63" s="317">
        <f t="shared" si="62"/>
        <v>10416.666666666666</v>
      </c>
      <c r="AE63" s="317">
        <f t="shared" si="62"/>
        <v>10416.666666666666</v>
      </c>
      <c r="AF63" s="317">
        <f t="shared" si="62"/>
        <v>10416.666666666666</v>
      </c>
      <c r="AG63" s="317">
        <f t="shared" si="62"/>
        <v>10416.666666666666</v>
      </c>
      <c r="AH63" s="317">
        <f t="shared" si="62"/>
        <v>10416.666666666666</v>
      </c>
      <c r="AI63" s="316">
        <f t="shared" si="62"/>
        <v>10416.666666666666</v>
      </c>
      <c r="AJ63" s="317">
        <f t="shared" si="62"/>
        <v>10416.666666666666</v>
      </c>
      <c r="AK63" s="317">
        <f t="shared" si="62"/>
        <v>10416.666666666666</v>
      </c>
      <c r="AL63" s="317">
        <f t="shared" si="62"/>
        <v>10416.666666666666</v>
      </c>
      <c r="AM63" s="317">
        <f t="shared" si="62"/>
        <v>10416.666666666666</v>
      </c>
      <c r="AN63" s="317">
        <f t="shared" si="62"/>
        <v>10416.666666666666</v>
      </c>
      <c r="AO63" s="317">
        <f t="shared" si="62"/>
        <v>10416.666666666666</v>
      </c>
      <c r="AP63" s="317">
        <f t="shared" si="62"/>
        <v>10416.666666666666</v>
      </c>
      <c r="AQ63" s="317">
        <f t="shared" si="62"/>
        <v>10416.666666666666</v>
      </c>
      <c r="AR63" s="317">
        <f t="shared" si="62"/>
        <v>10416.666666666666</v>
      </c>
      <c r="AS63" s="317">
        <f t="shared" si="62"/>
        <v>10416.666666666666</v>
      </c>
      <c r="AT63" s="317">
        <f t="shared" si="62"/>
        <v>10416.666666666666</v>
      </c>
    </row>
    <row r="64" spans="1:46" ht="15.75" hidden="1" customHeight="1" outlineLevel="1" x14ac:dyDescent="0.25">
      <c r="A64" s="310">
        <v>10</v>
      </c>
      <c r="B64" s="311"/>
      <c r="C64" s="311"/>
      <c r="D64" s="311" t="s">
        <v>542</v>
      </c>
      <c r="E64" s="311" t="s">
        <v>216</v>
      </c>
      <c r="F64" s="311" t="s">
        <v>215</v>
      </c>
      <c r="G64" s="312">
        <v>125000</v>
      </c>
      <c r="H64" s="312">
        <f t="shared" si="1"/>
        <v>10416.666666666666</v>
      </c>
      <c r="I64" s="314">
        <v>46296</v>
      </c>
      <c r="J64" s="310"/>
      <c r="K64" s="316"/>
      <c r="L64" s="317"/>
      <c r="M64" s="317"/>
      <c r="N64" s="317"/>
      <c r="O64" s="317"/>
      <c r="P64" s="317"/>
      <c r="Q64" s="317">
        <f t="shared" ref="Q64:U64" si="63">IF(Q$2&gt;=$I64,$H64,0)</f>
        <v>0</v>
      </c>
      <c r="R64" s="317">
        <f t="shared" si="63"/>
        <v>0</v>
      </c>
      <c r="S64" s="317">
        <f t="shared" si="63"/>
        <v>0</v>
      </c>
      <c r="T64" s="317">
        <f t="shared" si="63"/>
        <v>0</v>
      </c>
      <c r="U64" s="317">
        <f t="shared" si="63"/>
        <v>0</v>
      </c>
      <c r="V64" s="317"/>
      <c r="W64" s="316">
        <f t="shared" ref="W64:AT64" si="64">IF(W$2&gt;=$I64,$H64,0)</f>
        <v>0</v>
      </c>
      <c r="X64" s="317">
        <f t="shared" si="64"/>
        <v>0</v>
      </c>
      <c r="Y64" s="317">
        <f t="shared" si="64"/>
        <v>0</v>
      </c>
      <c r="Z64" s="317">
        <f t="shared" si="64"/>
        <v>0</v>
      </c>
      <c r="AA64" s="317">
        <f t="shared" si="64"/>
        <v>0</v>
      </c>
      <c r="AB64" s="317">
        <f t="shared" si="64"/>
        <v>0</v>
      </c>
      <c r="AC64" s="317">
        <f t="shared" si="64"/>
        <v>0</v>
      </c>
      <c r="AD64" s="317">
        <f t="shared" si="64"/>
        <v>0</v>
      </c>
      <c r="AE64" s="317">
        <f t="shared" si="64"/>
        <v>0</v>
      </c>
      <c r="AF64" s="317">
        <f t="shared" si="64"/>
        <v>10416.666666666666</v>
      </c>
      <c r="AG64" s="317">
        <f t="shared" si="64"/>
        <v>10416.666666666666</v>
      </c>
      <c r="AH64" s="317">
        <f t="shared" si="64"/>
        <v>10416.666666666666</v>
      </c>
      <c r="AI64" s="316">
        <f t="shared" si="64"/>
        <v>10416.666666666666</v>
      </c>
      <c r="AJ64" s="317">
        <f t="shared" si="64"/>
        <v>10416.666666666666</v>
      </c>
      <c r="AK64" s="317">
        <f t="shared" si="64"/>
        <v>10416.666666666666</v>
      </c>
      <c r="AL64" s="317">
        <f t="shared" si="64"/>
        <v>10416.666666666666</v>
      </c>
      <c r="AM64" s="317">
        <f t="shared" si="64"/>
        <v>10416.666666666666</v>
      </c>
      <c r="AN64" s="317">
        <f t="shared" si="64"/>
        <v>10416.666666666666</v>
      </c>
      <c r="AO64" s="317">
        <f t="shared" si="64"/>
        <v>10416.666666666666</v>
      </c>
      <c r="AP64" s="317">
        <f t="shared" si="64"/>
        <v>10416.666666666666</v>
      </c>
      <c r="AQ64" s="317">
        <f t="shared" si="64"/>
        <v>10416.666666666666</v>
      </c>
      <c r="AR64" s="317">
        <f t="shared" si="64"/>
        <v>10416.666666666666</v>
      </c>
      <c r="AS64" s="317">
        <f t="shared" si="64"/>
        <v>10416.666666666666</v>
      </c>
      <c r="AT64" s="317">
        <f t="shared" si="64"/>
        <v>10416.666666666666</v>
      </c>
    </row>
    <row r="65" spans="1:46" ht="15.75" hidden="1" customHeight="1" outlineLevel="1" x14ac:dyDescent="0.25">
      <c r="A65" s="310">
        <v>11</v>
      </c>
      <c r="B65" s="311"/>
      <c r="C65" s="311"/>
      <c r="D65" s="311" t="s">
        <v>543</v>
      </c>
      <c r="E65" s="311" t="s">
        <v>216</v>
      </c>
      <c r="F65" s="311" t="s">
        <v>215</v>
      </c>
      <c r="G65" s="312">
        <v>150000</v>
      </c>
      <c r="H65" s="312">
        <f t="shared" si="1"/>
        <v>12500</v>
      </c>
      <c r="I65" s="314">
        <v>46023</v>
      </c>
      <c r="J65" s="310"/>
      <c r="K65" s="316"/>
      <c r="L65" s="317"/>
      <c r="M65" s="317"/>
      <c r="N65" s="317"/>
      <c r="O65" s="317"/>
      <c r="P65" s="317"/>
      <c r="Q65" s="317">
        <f t="shared" ref="Q65:U65" si="65">IF(Q$2&gt;=$I65,$H65,0)</f>
        <v>0</v>
      </c>
      <c r="R65" s="317">
        <f t="shared" si="65"/>
        <v>0</v>
      </c>
      <c r="S65" s="317">
        <f t="shared" si="65"/>
        <v>0</v>
      </c>
      <c r="T65" s="317">
        <f t="shared" si="65"/>
        <v>0</v>
      </c>
      <c r="U65" s="317">
        <f t="shared" si="65"/>
        <v>0</v>
      </c>
      <c r="V65" s="317"/>
      <c r="W65" s="316">
        <f t="shared" ref="W65:AT65" si="66">IF(W$2&gt;=$I65,$H65,0)</f>
        <v>12500</v>
      </c>
      <c r="X65" s="317">
        <f t="shared" si="66"/>
        <v>12500</v>
      </c>
      <c r="Y65" s="317">
        <f t="shared" si="66"/>
        <v>12500</v>
      </c>
      <c r="Z65" s="317">
        <f t="shared" si="66"/>
        <v>12500</v>
      </c>
      <c r="AA65" s="317">
        <f t="shared" si="66"/>
        <v>12500</v>
      </c>
      <c r="AB65" s="317">
        <f t="shared" si="66"/>
        <v>12500</v>
      </c>
      <c r="AC65" s="317">
        <f t="shared" si="66"/>
        <v>12500</v>
      </c>
      <c r="AD65" s="317">
        <f t="shared" si="66"/>
        <v>12500</v>
      </c>
      <c r="AE65" s="317">
        <f t="shared" si="66"/>
        <v>12500</v>
      </c>
      <c r="AF65" s="317">
        <f t="shared" si="66"/>
        <v>12500</v>
      </c>
      <c r="AG65" s="317">
        <f t="shared" si="66"/>
        <v>12500</v>
      </c>
      <c r="AH65" s="317">
        <f t="shared" si="66"/>
        <v>12500</v>
      </c>
      <c r="AI65" s="316">
        <f t="shared" si="66"/>
        <v>12500</v>
      </c>
      <c r="AJ65" s="317">
        <f t="shared" si="66"/>
        <v>12500</v>
      </c>
      <c r="AK65" s="317">
        <f t="shared" si="66"/>
        <v>12500</v>
      </c>
      <c r="AL65" s="317">
        <f t="shared" si="66"/>
        <v>12500</v>
      </c>
      <c r="AM65" s="317">
        <f t="shared" si="66"/>
        <v>12500</v>
      </c>
      <c r="AN65" s="317">
        <f t="shared" si="66"/>
        <v>12500</v>
      </c>
      <c r="AO65" s="317">
        <f t="shared" si="66"/>
        <v>12500</v>
      </c>
      <c r="AP65" s="317">
        <f t="shared" si="66"/>
        <v>12500</v>
      </c>
      <c r="AQ65" s="317">
        <f t="shared" si="66"/>
        <v>12500</v>
      </c>
      <c r="AR65" s="317">
        <f t="shared" si="66"/>
        <v>12500</v>
      </c>
      <c r="AS65" s="317">
        <f t="shared" si="66"/>
        <v>12500</v>
      </c>
      <c r="AT65" s="317">
        <f t="shared" si="66"/>
        <v>12500</v>
      </c>
    </row>
    <row r="66" spans="1:46" ht="15.75" hidden="1" customHeight="1" outlineLevel="1" x14ac:dyDescent="0.25">
      <c r="A66" s="310">
        <v>12</v>
      </c>
      <c r="B66" s="311"/>
      <c r="C66" s="311"/>
      <c r="D66" s="311" t="s">
        <v>544</v>
      </c>
      <c r="E66" s="311" t="s">
        <v>216</v>
      </c>
      <c r="F66" s="311" t="s">
        <v>215</v>
      </c>
      <c r="G66" s="312">
        <v>100000</v>
      </c>
      <c r="H66" s="312">
        <f t="shared" si="1"/>
        <v>8333.3333333333339</v>
      </c>
      <c r="I66" s="314">
        <v>46023</v>
      </c>
      <c r="J66" s="310"/>
      <c r="K66" s="316"/>
      <c r="L66" s="317"/>
      <c r="M66" s="317"/>
      <c r="N66" s="317"/>
      <c r="O66" s="317"/>
      <c r="P66" s="317"/>
      <c r="Q66" s="317">
        <f t="shared" ref="Q66:U66" si="67">IF(Q$2&gt;=$I66,$H66,0)</f>
        <v>0</v>
      </c>
      <c r="R66" s="317">
        <f t="shared" si="67"/>
        <v>0</v>
      </c>
      <c r="S66" s="317">
        <f t="shared" si="67"/>
        <v>0</v>
      </c>
      <c r="T66" s="317">
        <f t="shared" si="67"/>
        <v>0</v>
      </c>
      <c r="U66" s="317">
        <f t="shared" si="67"/>
        <v>0</v>
      </c>
      <c r="V66" s="317"/>
      <c r="W66" s="316">
        <f t="shared" ref="W66:AT66" si="68">IF(W$2&gt;=$I66,$H66,0)</f>
        <v>8333.3333333333339</v>
      </c>
      <c r="X66" s="317">
        <f t="shared" si="68"/>
        <v>8333.3333333333339</v>
      </c>
      <c r="Y66" s="317">
        <f t="shared" si="68"/>
        <v>8333.3333333333339</v>
      </c>
      <c r="Z66" s="317">
        <f t="shared" si="68"/>
        <v>8333.3333333333339</v>
      </c>
      <c r="AA66" s="317">
        <f t="shared" si="68"/>
        <v>8333.3333333333339</v>
      </c>
      <c r="AB66" s="317">
        <f t="shared" si="68"/>
        <v>8333.3333333333339</v>
      </c>
      <c r="AC66" s="317">
        <f t="shared" si="68"/>
        <v>8333.3333333333339</v>
      </c>
      <c r="AD66" s="317">
        <f t="shared" si="68"/>
        <v>8333.3333333333339</v>
      </c>
      <c r="AE66" s="317">
        <f t="shared" si="68"/>
        <v>8333.3333333333339</v>
      </c>
      <c r="AF66" s="317">
        <f t="shared" si="68"/>
        <v>8333.3333333333339</v>
      </c>
      <c r="AG66" s="317">
        <f t="shared" si="68"/>
        <v>8333.3333333333339</v>
      </c>
      <c r="AH66" s="317">
        <f t="shared" si="68"/>
        <v>8333.3333333333339</v>
      </c>
      <c r="AI66" s="316">
        <f t="shared" si="68"/>
        <v>8333.3333333333339</v>
      </c>
      <c r="AJ66" s="317">
        <f t="shared" si="68"/>
        <v>8333.3333333333339</v>
      </c>
      <c r="AK66" s="317">
        <f t="shared" si="68"/>
        <v>8333.3333333333339</v>
      </c>
      <c r="AL66" s="317">
        <f t="shared" si="68"/>
        <v>8333.3333333333339</v>
      </c>
      <c r="AM66" s="317">
        <f t="shared" si="68"/>
        <v>8333.3333333333339</v>
      </c>
      <c r="AN66" s="317">
        <f t="shared" si="68"/>
        <v>8333.3333333333339</v>
      </c>
      <c r="AO66" s="317">
        <f t="shared" si="68"/>
        <v>8333.3333333333339</v>
      </c>
      <c r="AP66" s="317">
        <f t="shared" si="68"/>
        <v>8333.3333333333339</v>
      </c>
      <c r="AQ66" s="317">
        <f t="shared" si="68"/>
        <v>8333.3333333333339</v>
      </c>
      <c r="AR66" s="317">
        <f t="shared" si="68"/>
        <v>8333.3333333333339</v>
      </c>
      <c r="AS66" s="317">
        <f t="shared" si="68"/>
        <v>8333.3333333333339</v>
      </c>
      <c r="AT66" s="317">
        <f t="shared" si="68"/>
        <v>8333.3333333333339</v>
      </c>
    </row>
    <row r="67" spans="1:46" ht="15.75" hidden="1" customHeight="1" outlineLevel="1" x14ac:dyDescent="0.25">
      <c r="A67" s="310">
        <v>13</v>
      </c>
      <c r="B67" s="311"/>
      <c r="C67" s="311"/>
      <c r="D67" s="311" t="s">
        <v>545</v>
      </c>
      <c r="E67" s="311" t="s">
        <v>216</v>
      </c>
      <c r="F67" s="311" t="s">
        <v>216</v>
      </c>
      <c r="G67" s="312">
        <v>140000</v>
      </c>
      <c r="H67" s="312">
        <f t="shared" si="1"/>
        <v>11666.666666666666</v>
      </c>
      <c r="I67" s="314">
        <v>45992</v>
      </c>
      <c r="J67" s="310"/>
      <c r="K67" s="316"/>
      <c r="L67" s="317"/>
      <c r="M67" s="317"/>
      <c r="N67" s="317"/>
      <c r="O67" s="317"/>
      <c r="P67" s="317"/>
      <c r="Q67" s="317">
        <f t="shared" ref="Q67:U67" si="69">IF(Q$2&gt;=$I67,$H67,0)</f>
        <v>0</v>
      </c>
      <c r="R67" s="317">
        <f t="shared" si="69"/>
        <v>0</v>
      </c>
      <c r="S67" s="317">
        <f t="shared" si="69"/>
        <v>0</v>
      </c>
      <c r="T67" s="317">
        <f t="shared" si="69"/>
        <v>0</v>
      </c>
      <c r="U67" s="317">
        <f t="shared" si="69"/>
        <v>0</v>
      </c>
      <c r="V67" s="317"/>
      <c r="W67" s="316">
        <f t="shared" ref="W67:AT67" si="70">IF(W$2&gt;=$I67,$H67,0)</f>
        <v>11666.666666666666</v>
      </c>
      <c r="X67" s="317">
        <f t="shared" si="70"/>
        <v>11666.666666666666</v>
      </c>
      <c r="Y67" s="317">
        <f t="shared" si="70"/>
        <v>11666.666666666666</v>
      </c>
      <c r="Z67" s="317">
        <f t="shared" si="70"/>
        <v>11666.666666666666</v>
      </c>
      <c r="AA67" s="317">
        <f t="shared" si="70"/>
        <v>11666.666666666666</v>
      </c>
      <c r="AB67" s="317">
        <f t="shared" si="70"/>
        <v>11666.666666666666</v>
      </c>
      <c r="AC67" s="317">
        <f t="shared" si="70"/>
        <v>11666.666666666666</v>
      </c>
      <c r="AD67" s="317">
        <f t="shared" si="70"/>
        <v>11666.666666666666</v>
      </c>
      <c r="AE67" s="317">
        <f t="shared" si="70"/>
        <v>11666.666666666666</v>
      </c>
      <c r="AF67" s="317">
        <f t="shared" si="70"/>
        <v>11666.666666666666</v>
      </c>
      <c r="AG67" s="317">
        <f t="shared" si="70"/>
        <v>11666.666666666666</v>
      </c>
      <c r="AH67" s="317">
        <f t="shared" si="70"/>
        <v>11666.666666666666</v>
      </c>
      <c r="AI67" s="316">
        <f t="shared" si="70"/>
        <v>11666.666666666666</v>
      </c>
      <c r="AJ67" s="317">
        <f t="shared" si="70"/>
        <v>11666.666666666666</v>
      </c>
      <c r="AK67" s="317">
        <f t="shared" si="70"/>
        <v>11666.666666666666</v>
      </c>
      <c r="AL67" s="317">
        <f t="shared" si="70"/>
        <v>11666.666666666666</v>
      </c>
      <c r="AM67" s="317">
        <f t="shared" si="70"/>
        <v>11666.666666666666</v>
      </c>
      <c r="AN67" s="317">
        <f t="shared" si="70"/>
        <v>11666.666666666666</v>
      </c>
      <c r="AO67" s="317">
        <f t="shared" si="70"/>
        <v>11666.666666666666</v>
      </c>
      <c r="AP67" s="317">
        <f t="shared" si="70"/>
        <v>11666.666666666666</v>
      </c>
      <c r="AQ67" s="317">
        <f t="shared" si="70"/>
        <v>11666.666666666666</v>
      </c>
      <c r="AR67" s="317">
        <f t="shared" si="70"/>
        <v>11666.666666666666</v>
      </c>
      <c r="AS67" s="317">
        <f t="shared" si="70"/>
        <v>11666.666666666666</v>
      </c>
      <c r="AT67" s="317">
        <f t="shared" si="70"/>
        <v>11666.666666666666</v>
      </c>
    </row>
    <row r="68" spans="1:46" ht="15.75" hidden="1" customHeight="1" outlineLevel="1" x14ac:dyDescent="0.25">
      <c r="A68" s="310">
        <v>14</v>
      </c>
      <c r="B68" s="311"/>
      <c r="C68" s="311"/>
      <c r="D68" s="311" t="s">
        <v>546</v>
      </c>
      <c r="E68" s="311" t="s">
        <v>216</v>
      </c>
      <c r="F68" s="311" t="s">
        <v>216</v>
      </c>
      <c r="G68" s="312">
        <v>120000</v>
      </c>
      <c r="H68" s="312">
        <f t="shared" si="1"/>
        <v>10000</v>
      </c>
      <c r="I68" s="314">
        <v>46113</v>
      </c>
      <c r="J68" s="310"/>
      <c r="K68" s="316"/>
      <c r="L68" s="317"/>
      <c r="M68" s="317"/>
      <c r="N68" s="317"/>
      <c r="O68" s="317"/>
      <c r="P68" s="317"/>
      <c r="Q68" s="317">
        <f t="shared" ref="Q68:U68" si="71">IF(Q$2&gt;=$I68,$H68,0)</f>
        <v>0</v>
      </c>
      <c r="R68" s="317">
        <f t="shared" si="71"/>
        <v>0</v>
      </c>
      <c r="S68" s="317">
        <f t="shared" si="71"/>
        <v>0</v>
      </c>
      <c r="T68" s="317">
        <f t="shared" si="71"/>
        <v>0</v>
      </c>
      <c r="U68" s="317">
        <f t="shared" si="71"/>
        <v>0</v>
      </c>
      <c r="V68" s="317"/>
      <c r="W68" s="316">
        <f t="shared" ref="W68:AT68" si="72">IF(W$2&gt;=$I68,$H68,0)</f>
        <v>0</v>
      </c>
      <c r="X68" s="317">
        <f t="shared" si="72"/>
        <v>0</v>
      </c>
      <c r="Y68" s="317">
        <f t="shared" si="72"/>
        <v>0</v>
      </c>
      <c r="Z68" s="317">
        <f t="shared" si="72"/>
        <v>10000</v>
      </c>
      <c r="AA68" s="317">
        <f t="shared" si="72"/>
        <v>10000</v>
      </c>
      <c r="AB68" s="317">
        <f t="shared" si="72"/>
        <v>10000</v>
      </c>
      <c r="AC68" s="317">
        <f t="shared" si="72"/>
        <v>10000</v>
      </c>
      <c r="AD68" s="317">
        <f t="shared" si="72"/>
        <v>10000</v>
      </c>
      <c r="AE68" s="317">
        <f t="shared" si="72"/>
        <v>10000</v>
      </c>
      <c r="AF68" s="317">
        <f t="shared" si="72"/>
        <v>10000</v>
      </c>
      <c r="AG68" s="317">
        <f t="shared" si="72"/>
        <v>10000</v>
      </c>
      <c r="AH68" s="317">
        <f t="shared" si="72"/>
        <v>10000</v>
      </c>
      <c r="AI68" s="316">
        <f t="shared" si="72"/>
        <v>10000</v>
      </c>
      <c r="AJ68" s="317">
        <f t="shared" si="72"/>
        <v>10000</v>
      </c>
      <c r="AK68" s="317">
        <f t="shared" si="72"/>
        <v>10000</v>
      </c>
      <c r="AL68" s="317">
        <f t="shared" si="72"/>
        <v>10000</v>
      </c>
      <c r="AM68" s="317">
        <f t="shared" si="72"/>
        <v>10000</v>
      </c>
      <c r="AN68" s="317">
        <f t="shared" si="72"/>
        <v>10000</v>
      </c>
      <c r="AO68" s="317">
        <f t="shared" si="72"/>
        <v>10000</v>
      </c>
      <c r="AP68" s="317">
        <f t="shared" si="72"/>
        <v>10000</v>
      </c>
      <c r="AQ68" s="317">
        <f t="shared" si="72"/>
        <v>10000</v>
      </c>
      <c r="AR68" s="317">
        <f t="shared" si="72"/>
        <v>10000</v>
      </c>
      <c r="AS68" s="317">
        <f t="shared" si="72"/>
        <v>10000</v>
      </c>
      <c r="AT68" s="317">
        <f t="shared" si="72"/>
        <v>10000</v>
      </c>
    </row>
    <row r="69" spans="1:46" ht="15.75" hidden="1" customHeight="1" outlineLevel="1" x14ac:dyDescent="0.25">
      <c r="A69" s="310">
        <v>15</v>
      </c>
      <c r="B69" s="311"/>
      <c r="C69" s="311"/>
      <c r="D69" s="311" t="s">
        <v>546</v>
      </c>
      <c r="E69" s="311" t="s">
        <v>216</v>
      </c>
      <c r="F69" s="311" t="s">
        <v>216</v>
      </c>
      <c r="G69" s="312">
        <v>100000</v>
      </c>
      <c r="H69" s="312">
        <f t="shared" si="1"/>
        <v>8333.3333333333339</v>
      </c>
      <c r="I69" s="314">
        <v>46204</v>
      </c>
      <c r="J69" s="310"/>
      <c r="K69" s="316"/>
      <c r="L69" s="317"/>
      <c r="M69" s="317"/>
      <c r="N69" s="317"/>
      <c r="O69" s="317"/>
      <c r="P69" s="317"/>
      <c r="Q69" s="317">
        <f t="shared" ref="Q69:U69" si="73">IF(Q$2&gt;=$I69,$H69,0)</f>
        <v>0</v>
      </c>
      <c r="R69" s="317">
        <f t="shared" si="73"/>
        <v>0</v>
      </c>
      <c r="S69" s="317">
        <f t="shared" si="73"/>
        <v>0</v>
      </c>
      <c r="T69" s="317">
        <f t="shared" si="73"/>
        <v>0</v>
      </c>
      <c r="U69" s="317">
        <f t="shared" si="73"/>
        <v>0</v>
      </c>
      <c r="V69" s="317"/>
      <c r="W69" s="316">
        <f t="shared" ref="W69:AT69" si="74">IF(W$2&gt;=$I69,$H69,0)</f>
        <v>0</v>
      </c>
      <c r="X69" s="317">
        <f t="shared" si="74"/>
        <v>0</v>
      </c>
      <c r="Y69" s="317">
        <f t="shared" si="74"/>
        <v>0</v>
      </c>
      <c r="Z69" s="317">
        <f t="shared" si="74"/>
        <v>0</v>
      </c>
      <c r="AA69" s="317">
        <f t="shared" si="74"/>
        <v>0</v>
      </c>
      <c r="AB69" s="317">
        <f t="shared" si="74"/>
        <v>0</v>
      </c>
      <c r="AC69" s="317">
        <f t="shared" si="74"/>
        <v>8333.3333333333339</v>
      </c>
      <c r="AD69" s="317">
        <f t="shared" si="74"/>
        <v>8333.3333333333339</v>
      </c>
      <c r="AE69" s="317">
        <f t="shared" si="74"/>
        <v>8333.3333333333339</v>
      </c>
      <c r="AF69" s="317">
        <f t="shared" si="74"/>
        <v>8333.3333333333339</v>
      </c>
      <c r="AG69" s="317">
        <f t="shared" si="74"/>
        <v>8333.3333333333339</v>
      </c>
      <c r="AH69" s="317">
        <f t="shared" si="74"/>
        <v>8333.3333333333339</v>
      </c>
      <c r="AI69" s="316">
        <f t="shared" si="74"/>
        <v>8333.3333333333339</v>
      </c>
      <c r="AJ69" s="317">
        <f t="shared" si="74"/>
        <v>8333.3333333333339</v>
      </c>
      <c r="AK69" s="317">
        <f t="shared" si="74"/>
        <v>8333.3333333333339</v>
      </c>
      <c r="AL69" s="317">
        <f t="shared" si="74"/>
        <v>8333.3333333333339</v>
      </c>
      <c r="AM69" s="317">
        <f t="shared" si="74"/>
        <v>8333.3333333333339</v>
      </c>
      <c r="AN69" s="317">
        <f t="shared" si="74"/>
        <v>8333.3333333333339</v>
      </c>
      <c r="AO69" s="317">
        <f t="shared" si="74"/>
        <v>8333.3333333333339</v>
      </c>
      <c r="AP69" s="317">
        <f t="shared" si="74"/>
        <v>8333.3333333333339</v>
      </c>
      <c r="AQ69" s="317">
        <f t="shared" si="74"/>
        <v>8333.3333333333339</v>
      </c>
      <c r="AR69" s="317">
        <f t="shared" si="74"/>
        <v>8333.3333333333339</v>
      </c>
      <c r="AS69" s="317">
        <f t="shared" si="74"/>
        <v>8333.3333333333339</v>
      </c>
      <c r="AT69" s="317">
        <f t="shared" si="74"/>
        <v>8333.3333333333339</v>
      </c>
    </row>
    <row r="70" spans="1:46" ht="15.75" hidden="1" customHeight="1" outlineLevel="1" x14ac:dyDescent="0.25">
      <c r="A70" s="310">
        <v>16</v>
      </c>
      <c r="B70" s="311"/>
      <c r="C70" s="311"/>
      <c r="D70" s="311" t="s">
        <v>546</v>
      </c>
      <c r="E70" s="311" t="s">
        <v>216</v>
      </c>
      <c r="F70" s="311" t="s">
        <v>216</v>
      </c>
      <c r="G70" s="312">
        <v>100000</v>
      </c>
      <c r="H70" s="312">
        <f t="shared" si="1"/>
        <v>8333.3333333333339</v>
      </c>
      <c r="I70" s="314">
        <v>46296</v>
      </c>
      <c r="J70" s="310"/>
      <c r="K70" s="316"/>
      <c r="L70" s="317"/>
      <c r="M70" s="317"/>
      <c r="N70" s="317"/>
      <c r="O70" s="317"/>
      <c r="P70" s="317"/>
      <c r="Q70" s="317">
        <f t="shared" ref="Q70:AT70" si="75">IF(Q$2&gt;=$I70,$H70,0)</f>
        <v>0</v>
      </c>
      <c r="R70" s="317">
        <f t="shared" si="75"/>
        <v>0</v>
      </c>
      <c r="S70" s="317">
        <f t="shared" si="75"/>
        <v>0</v>
      </c>
      <c r="T70" s="317">
        <f t="shared" si="75"/>
        <v>0</v>
      </c>
      <c r="U70" s="317">
        <f t="shared" si="75"/>
        <v>0</v>
      </c>
      <c r="V70" s="317">
        <f t="shared" si="75"/>
        <v>0</v>
      </c>
      <c r="W70" s="316">
        <f t="shared" si="75"/>
        <v>0</v>
      </c>
      <c r="X70" s="317">
        <f t="shared" si="75"/>
        <v>0</v>
      </c>
      <c r="Y70" s="317">
        <f t="shared" si="75"/>
        <v>0</v>
      </c>
      <c r="Z70" s="317">
        <f t="shared" si="75"/>
        <v>0</v>
      </c>
      <c r="AA70" s="317">
        <f t="shared" si="75"/>
        <v>0</v>
      </c>
      <c r="AB70" s="317">
        <f t="shared" si="75"/>
        <v>0</v>
      </c>
      <c r="AC70" s="317">
        <f t="shared" si="75"/>
        <v>0</v>
      </c>
      <c r="AD70" s="317">
        <f t="shared" si="75"/>
        <v>0</v>
      </c>
      <c r="AE70" s="317">
        <f t="shared" si="75"/>
        <v>0</v>
      </c>
      <c r="AF70" s="317">
        <f t="shared" si="75"/>
        <v>8333.3333333333339</v>
      </c>
      <c r="AG70" s="317">
        <f t="shared" si="75"/>
        <v>8333.3333333333339</v>
      </c>
      <c r="AH70" s="317">
        <f t="shared" si="75"/>
        <v>8333.3333333333339</v>
      </c>
      <c r="AI70" s="316">
        <f t="shared" si="75"/>
        <v>8333.3333333333339</v>
      </c>
      <c r="AJ70" s="317">
        <f t="shared" si="75"/>
        <v>8333.3333333333339</v>
      </c>
      <c r="AK70" s="317">
        <f t="shared" si="75"/>
        <v>8333.3333333333339</v>
      </c>
      <c r="AL70" s="317">
        <f t="shared" si="75"/>
        <v>8333.3333333333339</v>
      </c>
      <c r="AM70" s="317">
        <f t="shared" si="75"/>
        <v>8333.3333333333339</v>
      </c>
      <c r="AN70" s="317">
        <f t="shared" si="75"/>
        <v>8333.3333333333339</v>
      </c>
      <c r="AO70" s="317">
        <f t="shared" si="75"/>
        <v>8333.3333333333339</v>
      </c>
      <c r="AP70" s="317">
        <f t="shared" si="75"/>
        <v>8333.3333333333339</v>
      </c>
      <c r="AQ70" s="317">
        <f t="shared" si="75"/>
        <v>8333.3333333333339</v>
      </c>
      <c r="AR70" s="317">
        <f t="shared" si="75"/>
        <v>8333.3333333333339</v>
      </c>
      <c r="AS70" s="317">
        <f t="shared" si="75"/>
        <v>8333.3333333333339</v>
      </c>
      <c r="AT70" s="317">
        <f t="shared" si="75"/>
        <v>8333.3333333333339</v>
      </c>
    </row>
    <row r="71" spans="1:46" ht="15.75" hidden="1" customHeight="1" outlineLevel="1" x14ac:dyDescent="0.25">
      <c r="A71" s="310">
        <v>17</v>
      </c>
      <c r="B71" s="311"/>
      <c r="C71" s="311"/>
      <c r="D71" s="311" t="s">
        <v>546</v>
      </c>
      <c r="E71" s="311" t="s">
        <v>216</v>
      </c>
      <c r="F71" s="311" t="s">
        <v>216</v>
      </c>
      <c r="G71" s="312">
        <v>100000</v>
      </c>
      <c r="H71" s="312">
        <f t="shared" si="1"/>
        <v>8333.3333333333339</v>
      </c>
      <c r="I71" s="314">
        <v>46388</v>
      </c>
      <c r="J71" s="310"/>
      <c r="K71" s="316"/>
      <c r="L71" s="317"/>
      <c r="M71" s="317"/>
      <c r="N71" s="317"/>
      <c r="O71" s="317"/>
      <c r="P71" s="317"/>
      <c r="Q71" s="317">
        <f t="shared" ref="Q71:AT71" si="76">IF(Q$2&gt;=$I71,$H71,0)</f>
        <v>0</v>
      </c>
      <c r="R71" s="317">
        <f t="shared" si="76"/>
        <v>0</v>
      </c>
      <c r="S71" s="317">
        <f t="shared" si="76"/>
        <v>0</v>
      </c>
      <c r="T71" s="317">
        <f t="shared" si="76"/>
        <v>0</v>
      </c>
      <c r="U71" s="317">
        <f t="shared" si="76"/>
        <v>0</v>
      </c>
      <c r="V71" s="317">
        <f t="shared" si="76"/>
        <v>0</v>
      </c>
      <c r="W71" s="316">
        <f t="shared" si="76"/>
        <v>0</v>
      </c>
      <c r="X71" s="317">
        <f t="shared" si="76"/>
        <v>0</v>
      </c>
      <c r="Y71" s="317">
        <f t="shared" si="76"/>
        <v>0</v>
      </c>
      <c r="Z71" s="317">
        <f t="shared" si="76"/>
        <v>0</v>
      </c>
      <c r="AA71" s="317">
        <f t="shared" si="76"/>
        <v>0</v>
      </c>
      <c r="AB71" s="317">
        <f t="shared" si="76"/>
        <v>0</v>
      </c>
      <c r="AC71" s="317">
        <f t="shared" si="76"/>
        <v>0</v>
      </c>
      <c r="AD71" s="317">
        <f t="shared" si="76"/>
        <v>0</v>
      </c>
      <c r="AE71" s="317">
        <f t="shared" si="76"/>
        <v>0</v>
      </c>
      <c r="AF71" s="317">
        <f t="shared" si="76"/>
        <v>0</v>
      </c>
      <c r="AG71" s="317">
        <f t="shared" si="76"/>
        <v>0</v>
      </c>
      <c r="AH71" s="317">
        <f t="shared" si="76"/>
        <v>0</v>
      </c>
      <c r="AI71" s="316">
        <f t="shared" si="76"/>
        <v>8333.3333333333339</v>
      </c>
      <c r="AJ71" s="317">
        <f t="shared" si="76"/>
        <v>8333.3333333333339</v>
      </c>
      <c r="AK71" s="317">
        <f t="shared" si="76"/>
        <v>8333.3333333333339</v>
      </c>
      <c r="AL71" s="317">
        <f t="shared" si="76"/>
        <v>8333.3333333333339</v>
      </c>
      <c r="AM71" s="317">
        <f t="shared" si="76"/>
        <v>8333.3333333333339</v>
      </c>
      <c r="AN71" s="317">
        <f t="shared" si="76"/>
        <v>8333.3333333333339</v>
      </c>
      <c r="AO71" s="317">
        <f t="shared" si="76"/>
        <v>8333.3333333333339</v>
      </c>
      <c r="AP71" s="317">
        <f t="shared" si="76"/>
        <v>8333.3333333333339</v>
      </c>
      <c r="AQ71" s="317">
        <f t="shared" si="76"/>
        <v>8333.3333333333339</v>
      </c>
      <c r="AR71" s="317">
        <f t="shared" si="76"/>
        <v>8333.3333333333339</v>
      </c>
      <c r="AS71" s="317">
        <f t="shared" si="76"/>
        <v>8333.3333333333339</v>
      </c>
      <c r="AT71" s="317">
        <f t="shared" si="76"/>
        <v>8333.3333333333339</v>
      </c>
    </row>
    <row r="72" spans="1:46" ht="15.75" hidden="1" customHeight="1" outlineLevel="1" x14ac:dyDescent="0.25">
      <c r="A72" s="310">
        <v>18</v>
      </c>
      <c r="B72" s="311"/>
      <c r="C72" s="311"/>
      <c r="D72" s="311" t="s">
        <v>546</v>
      </c>
      <c r="E72" s="311" t="s">
        <v>216</v>
      </c>
      <c r="F72" s="311" t="s">
        <v>216</v>
      </c>
      <c r="G72" s="312">
        <v>100000</v>
      </c>
      <c r="H72" s="312">
        <f t="shared" si="1"/>
        <v>8333.3333333333339</v>
      </c>
      <c r="I72" s="314">
        <v>46753</v>
      </c>
      <c r="J72" s="310"/>
      <c r="K72" s="316"/>
      <c r="L72" s="317"/>
      <c r="M72" s="317"/>
      <c r="N72" s="317"/>
      <c r="O72" s="317"/>
      <c r="P72" s="317"/>
      <c r="Q72" s="317">
        <f t="shared" ref="Q72:AT72" si="77">IF(Q$2&gt;=$I72,$H72,0)</f>
        <v>0</v>
      </c>
      <c r="R72" s="317">
        <f t="shared" si="77"/>
        <v>0</v>
      </c>
      <c r="S72" s="317">
        <f t="shared" si="77"/>
        <v>0</v>
      </c>
      <c r="T72" s="317">
        <f t="shared" si="77"/>
        <v>0</v>
      </c>
      <c r="U72" s="317">
        <f t="shared" si="77"/>
        <v>0</v>
      </c>
      <c r="V72" s="317">
        <f t="shared" si="77"/>
        <v>0</v>
      </c>
      <c r="W72" s="316">
        <f t="shared" si="77"/>
        <v>0</v>
      </c>
      <c r="X72" s="317">
        <f t="shared" si="77"/>
        <v>0</v>
      </c>
      <c r="Y72" s="317">
        <f t="shared" si="77"/>
        <v>0</v>
      </c>
      <c r="Z72" s="317">
        <f t="shared" si="77"/>
        <v>0</v>
      </c>
      <c r="AA72" s="317">
        <f t="shared" si="77"/>
        <v>0</v>
      </c>
      <c r="AB72" s="317">
        <f t="shared" si="77"/>
        <v>0</v>
      </c>
      <c r="AC72" s="317">
        <f t="shared" si="77"/>
        <v>0</v>
      </c>
      <c r="AD72" s="317">
        <f t="shared" si="77"/>
        <v>0</v>
      </c>
      <c r="AE72" s="317">
        <f t="shared" si="77"/>
        <v>0</v>
      </c>
      <c r="AF72" s="317">
        <f t="shared" si="77"/>
        <v>0</v>
      </c>
      <c r="AG72" s="317">
        <f t="shared" si="77"/>
        <v>0</v>
      </c>
      <c r="AH72" s="317">
        <f t="shared" si="77"/>
        <v>0</v>
      </c>
      <c r="AI72" s="316">
        <f t="shared" si="77"/>
        <v>0</v>
      </c>
      <c r="AJ72" s="317">
        <f t="shared" si="77"/>
        <v>0</v>
      </c>
      <c r="AK72" s="317">
        <f t="shared" si="77"/>
        <v>0</v>
      </c>
      <c r="AL72" s="317">
        <f t="shared" si="77"/>
        <v>0</v>
      </c>
      <c r="AM72" s="317">
        <f t="shared" si="77"/>
        <v>0</v>
      </c>
      <c r="AN72" s="317">
        <f t="shared" si="77"/>
        <v>0</v>
      </c>
      <c r="AO72" s="317">
        <f t="shared" si="77"/>
        <v>0</v>
      </c>
      <c r="AP72" s="317">
        <f t="shared" si="77"/>
        <v>0</v>
      </c>
      <c r="AQ72" s="317">
        <f t="shared" si="77"/>
        <v>0</v>
      </c>
      <c r="AR72" s="317">
        <f t="shared" si="77"/>
        <v>0</v>
      </c>
      <c r="AS72" s="317">
        <f t="shared" si="77"/>
        <v>0</v>
      </c>
      <c r="AT72" s="317">
        <f t="shared" si="77"/>
        <v>0</v>
      </c>
    </row>
    <row r="73" spans="1:46" ht="15.75" hidden="1" customHeight="1" outlineLevel="1" x14ac:dyDescent="0.25">
      <c r="A73" s="310">
        <v>19</v>
      </c>
      <c r="B73" s="311"/>
      <c r="C73" s="311"/>
      <c r="D73" s="311" t="s">
        <v>546</v>
      </c>
      <c r="E73" s="311" t="s">
        <v>216</v>
      </c>
      <c r="F73" s="311" t="s">
        <v>216</v>
      </c>
      <c r="G73" s="312">
        <v>100000</v>
      </c>
      <c r="H73" s="312">
        <f t="shared" si="1"/>
        <v>8333.3333333333339</v>
      </c>
      <c r="I73" s="314">
        <v>46753</v>
      </c>
      <c r="J73" s="310"/>
      <c r="K73" s="316"/>
      <c r="L73" s="317"/>
      <c r="M73" s="317"/>
      <c r="N73" s="317"/>
      <c r="O73" s="317"/>
      <c r="P73" s="317"/>
      <c r="Q73" s="317">
        <f t="shared" ref="Q73:AT73" si="78">IF(Q$2&gt;=$I73,$H73,0)</f>
        <v>0</v>
      </c>
      <c r="R73" s="317">
        <f t="shared" si="78"/>
        <v>0</v>
      </c>
      <c r="S73" s="317">
        <f t="shared" si="78"/>
        <v>0</v>
      </c>
      <c r="T73" s="317">
        <f t="shared" si="78"/>
        <v>0</v>
      </c>
      <c r="U73" s="317">
        <f t="shared" si="78"/>
        <v>0</v>
      </c>
      <c r="V73" s="317">
        <f t="shared" si="78"/>
        <v>0</v>
      </c>
      <c r="W73" s="316">
        <f t="shared" si="78"/>
        <v>0</v>
      </c>
      <c r="X73" s="317">
        <f t="shared" si="78"/>
        <v>0</v>
      </c>
      <c r="Y73" s="317">
        <f t="shared" si="78"/>
        <v>0</v>
      </c>
      <c r="Z73" s="317">
        <f t="shared" si="78"/>
        <v>0</v>
      </c>
      <c r="AA73" s="317">
        <f t="shared" si="78"/>
        <v>0</v>
      </c>
      <c r="AB73" s="317">
        <f t="shared" si="78"/>
        <v>0</v>
      </c>
      <c r="AC73" s="317">
        <f t="shared" si="78"/>
        <v>0</v>
      </c>
      <c r="AD73" s="317">
        <f t="shared" si="78"/>
        <v>0</v>
      </c>
      <c r="AE73" s="317">
        <f t="shared" si="78"/>
        <v>0</v>
      </c>
      <c r="AF73" s="317">
        <f t="shared" si="78"/>
        <v>0</v>
      </c>
      <c r="AG73" s="317">
        <f t="shared" si="78"/>
        <v>0</v>
      </c>
      <c r="AH73" s="317">
        <f t="shared" si="78"/>
        <v>0</v>
      </c>
      <c r="AI73" s="316">
        <f t="shared" si="78"/>
        <v>0</v>
      </c>
      <c r="AJ73" s="317">
        <f t="shared" si="78"/>
        <v>0</v>
      </c>
      <c r="AK73" s="317">
        <f t="shared" si="78"/>
        <v>0</v>
      </c>
      <c r="AL73" s="317">
        <f t="shared" si="78"/>
        <v>0</v>
      </c>
      <c r="AM73" s="317">
        <f t="shared" si="78"/>
        <v>0</v>
      </c>
      <c r="AN73" s="317">
        <f t="shared" si="78"/>
        <v>0</v>
      </c>
      <c r="AO73" s="317">
        <f t="shared" si="78"/>
        <v>0</v>
      </c>
      <c r="AP73" s="317">
        <f t="shared" si="78"/>
        <v>0</v>
      </c>
      <c r="AQ73" s="317">
        <f t="shared" si="78"/>
        <v>0</v>
      </c>
      <c r="AR73" s="317">
        <f t="shared" si="78"/>
        <v>0</v>
      </c>
      <c r="AS73" s="317">
        <f t="shared" si="78"/>
        <v>0</v>
      </c>
      <c r="AT73" s="317">
        <f t="shared" si="78"/>
        <v>0</v>
      </c>
    </row>
    <row r="74" spans="1:46" ht="14.25" hidden="1" customHeight="1" outlineLevel="1" x14ac:dyDescent="0.25">
      <c r="A74" s="310">
        <v>20</v>
      </c>
      <c r="B74" s="311"/>
      <c r="C74" s="311"/>
      <c r="D74" s="311" t="s">
        <v>547</v>
      </c>
      <c r="E74" s="311" t="s">
        <v>216</v>
      </c>
      <c r="F74" s="311" t="s">
        <v>218</v>
      </c>
      <c r="G74" s="312">
        <v>200000</v>
      </c>
      <c r="H74" s="312">
        <f t="shared" si="1"/>
        <v>16666.666666666668</v>
      </c>
      <c r="I74" s="322">
        <f>Worksheet!$C$15-92</f>
        <v>46204</v>
      </c>
      <c r="J74" s="310"/>
      <c r="K74" s="316"/>
      <c r="L74" s="317"/>
      <c r="M74" s="317"/>
      <c r="N74" s="317"/>
      <c r="O74" s="317"/>
      <c r="P74" s="317"/>
      <c r="Q74" s="317">
        <f t="shared" ref="Q74:AT74" si="79">IF(Q$2&gt;=$I74,$H74,0)</f>
        <v>0</v>
      </c>
      <c r="R74" s="317">
        <f t="shared" si="79"/>
        <v>0</v>
      </c>
      <c r="S74" s="317">
        <f t="shared" si="79"/>
        <v>0</v>
      </c>
      <c r="T74" s="317">
        <f t="shared" si="79"/>
        <v>0</v>
      </c>
      <c r="U74" s="317">
        <f t="shared" si="79"/>
        <v>0</v>
      </c>
      <c r="V74" s="317">
        <f t="shared" si="79"/>
        <v>0</v>
      </c>
      <c r="W74" s="316">
        <f t="shared" si="79"/>
        <v>0</v>
      </c>
      <c r="X74" s="317">
        <f t="shared" si="79"/>
        <v>0</v>
      </c>
      <c r="Y74" s="317">
        <f t="shared" si="79"/>
        <v>0</v>
      </c>
      <c r="Z74" s="317">
        <f t="shared" si="79"/>
        <v>0</v>
      </c>
      <c r="AA74" s="317">
        <f t="shared" si="79"/>
        <v>0</v>
      </c>
      <c r="AB74" s="317">
        <f t="shared" si="79"/>
        <v>0</v>
      </c>
      <c r="AC74" s="317">
        <f t="shared" si="79"/>
        <v>16666.666666666668</v>
      </c>
      <c r="AD74" s="317">
        <f t="shared" si="79"/>
        <v>16666.666666666668</v>
      </c>
      <c r="AE74" s="317">
        <f t="shared" si="79"/>
        <v>16666.666666666668</v>
      </c>
      <c r="AF74" s="317">
        <f t="shared" si="79"/>
        <v>16666.666666666668</v>
      </c>
      <c r="AG74" s="317">
        <f t="shared" si="79"/>
        <v>16666.666666666668</v>
      </c>
      <c r="AH74" s="317">
        <f t="shared" si="79"/>
        <v>16666.666666666668</v>
      </c>
      <c r="AI74" s="316">
        <f t="shared" si="79"/>
        <v>16666.666666666668</v>
      </c>
      <c r="AJ74" s="317">
        <f t="shared" si="79"/>
        <v>16666.666666666668</v>
      </c>
      <c r="AK74" s="317">
        <f t="shared" si="79"/>
        <v>16666.666666666668</v>
      </c>
      <c r="AL74" s="317">
        <f t="shared" si="79"/>
        <v>16666.666666666668</v>
      </c>
      <c r="AM74" s="317">
        <f t="shared" si="79"/>
        <v>16666.666666666668</v>
      </c>
      <c r="AN74" s="317">
        <f t="shared" si="79"/>
        <v>16666.666666666668</v>
      </c>
      <c r="AO74" s="317">
        <f t="shared" si="79"/>
        <v>16666.666666666668</v>
      </c>
      <c r="AP74" s="317">
        <f t="shared" si="79"/>
        <v>16666.666666666668</v>
      </c>
      <c r="AQ74" s="317">
        <f t="shared" si="79"/>
        <v>16666.666666666668</v>
      </c>
      <c r="AR74" s="317">
        <f t="shared" si="79"/>
        <v>16666.666666666668</v>
      </c>
      <c r="AS74" s="317">
        <f t="shared" si="79"/>
        <v>16666.666666666668</v>
      </c>
      <c r="AT74" s="317">
        <f t="shared" si="79"/>
        <v>16666.666666666668</v>
      </c>
    </row>
    <row r="75" spans="1:46" ht="14.25" hidden="1" customHeight="1" outlineLevel="1" x14ac:dyDescent="0.25">
      <c r="A75" s="310">
        <v>21</v>
      </c>
      <c r="B75" s="311"/>
      <c r="C75" s="311"/>
      <c r="D75" s="311" t="s">
        <v>548</v>
      </c>
      <c r="E75" s="311" t="s">
        <v>216</v>
      </c>
      <c r="F75" s="311" t="s">
        <v>218</v>
      </c>
      <c r="G75" s="312">
        <v>150000</v>
      </c>
      <c r="H75" s="312">
        <f t="shared" si="1"/>
        <v>12500</v>
      </c>
      <c r="I75" s="322">
        <f>Worksheet!$C$15+61</f>
        <v>46357</v>
      </c>
      <c r="J75" s="310"/>
      <c r="K75" s="316"/>
      <c r="L75" s="317"/>
      <c r="M75" s="317"/>
      <c r="N75" s="317"/>
      <c r="O75" s="317"/>
      <c r="P75" s="317"/>
      <c r="Q75" s="317">
        <f t="shared" ref="Q75:AT75" si="80">IF(Q$2&gt;=$I75,$H75,0)</f>
        <v>0</v>
      </c>
      <c r="R75" s="317">
        <f t="shared" si="80"/>
        <v>0</v>
      </c>
      <c r="S75" s="317">
        <f t="shared" si="80"/>
        <v>0</v>
      </c>
      <c r="T75" s="317">
        <f t="shared" si="80"/>
        <v>0</v>
      </c>
      <c r="U75" s="317">
        <f t="shared" si="80"/>
        <v>0</v>
      </c>
      <c r="V75" s="317">
        <f t="shared" si="80"/>
        <v>0</v>
      </c>
      <c r="W75" s="316">
        <f t="shared" si="80"/>
        <v>0</v>
      </c>
      <c r="X75" s="317">
        <f t="shared" si="80"/>
        <v>0</v>
      </c>
      <c r="Y75" s="317">
        <f t="shared" si="80"/>
        <v>0</v>
      </c>
      <c r="Z75" s="317">
        <f t="shared" si="80"/>
        <v>0</v>
      </c>
      <c r="AA75" s="317">
        <f t="shared" si="80"/>
        <v>0</v>
      </c>
      <c r="AB75" s="317">
        <f t="shared" si="80"/>
        <v>0</v>
      </c>
      <c r="AC75" s="317">
        <f t="shared" si="80"/>
        <v>0</v>
      </c>
      <c r="AD75" s="317">
        <f t="shared" si="80"/>
        <v>0</v>
      </c>
      <c r="AE75" s="317">
        <f t="shared" si="80"/>
        <v>0</v>
      </c>
      <c r="AF75" s="317">
        <f t="shared" si="80"/>
        <v>0</v>
      </c>
      <c r="AG75" s="317">
        <f t="shared" si="80"/>
        <v>0</v>
      </c>
      <c r="AH75" s="317">
        <f t="shared" si="80"/>
        <v>12500</v>
      </c>
      <c r="AI75" s="316">
        <f t="shared" si="80"/>
        <v>12500</v>
      </c>
      <c r="AJ75" s="317">
        <f t="shared" si="80"/>
        <v>12500</v>
      </c>
      <c r="AK75" s="317">
        <f t="shared" si="80"/>
        <v>12500</v>
      </c>
      <c r="AL75" s="317">
        <f t="shared" si="80"/>
        <v>12500</v>
      </c>
      <c r="AM75" s="317">
        <f t="shared" si="80"/>
        <v>12500</v>
      </c>
      <c r="AN75" s="317">
        <f t="shared" si="80"/>
        <v>12500</v>
      </c>
      <c r="AO75" s="317">
        <f t="shared" si="80"/>
        <v>12500</v>
      </c>
      <c r="AP75" s="317">
        <f t="shared" si="80"/>
        <v>12500</v>
      </c>
      <c r="AQ75" s="317">
        <f t="shared" si="80"/>
        <v>12500</v>
      </c>
      <c r="AR75" s="317">
        <f t="shared" si="80"/>
        <v>12500</v>
      </c>
      <c r="AS75" s="317">
        <f t="shared" si="80"/>
        <v>12500</v>
      </c>
      <c r="AT75" s="317">
        <f t="shared" si="80"/>
        <v>12500</v>
      </c>
    </row>
    <row r="76" spans="1:46" ht="14.25" hidden="1" customHeight="1" outlineLevel="1" x14ac:dyDescent="0.25">
      <c r="A76" s="310">
        <v>22</v>
      </c>
      <c r="B76" s="311"/>
      <c r="C76" s="311"/>
      <c r="D76" s="311" t="s">
        <v>548</v>
      </c>
      <c r="E76" s="311" t="s">
        <v>216</v>
      </c>
      <c r="F76" s="311" t="s">
        <v>218</v>
      </c>
      <c r="G76" s="312">
        <v>150000</v>
      </c>
      <c r="H76" s="312">
        <f t="shared" si="1"/>
        <v>12500</v>
      </c>
      <c r="I76" s="322">
        <f>I75+152</f>
        <v>46509</v>
      </c>
      <c r="J76" s="310"/>
      <c r="K76" s="316"/>
      <c r="L76" s="317"/>
      <c r="M76" s="317"/>
      <c r="N76" s="317"/>
      <c r="O76" s="317"/>
      <c r="P76" s="317"/>
      <c r="Q76" s="317">
        <f t="shared" ref="Q76:AT76" si="81">IF(Q$2&gt;=$I76,$H76,0)</f>
        <v>0</v>
      </c>
      <c r="R76" s="317">
        <f t="shared" si="81"/>
        <v>0</v>
      </c>
      <c r="S76" s="317">
        <f t="shared" si="81"/>
        <v>0</v>
      </c>
      <c r="T76" s="317">
        <f t="shared" si="81"/>
        <v>0</v>
      </c>
      <c r="U76" s="317">
        <f t="shared" si="81"/>
        <v>0</v>
      </c>
      <c r="V76" s="317">
        <f t="shared" si="81"/>
        <v>0</v>
      </c>
      <c r="W76" s="316">
        <f t="shared" si="81"/>
        <v>0</v>
      </c>
      <c r="X76" s="317">
        <f t="shared" si="81"/>
        <v>0</v>
      </c>
      <c r="Y76" s="317">
        <f t="shared" si="81"/>
        <v>0</v>
      </c>
      <c r="Z76" s="317">
        <f t="shared" si="81"/>
        <v>0</v>
      </c>
      <c r="AA76" s="317">
        <f t="shared" si="81"/>
        <v>0</v>
      </c>
      <c r="AB76" s="317">
        <f t="shared" si="81"/>
        <v>0</v>
      </c>
      <c r="AC76" s="317">
        <f t="shared" si="81"/>
        <v>0</v>
      </c>
      <c r="AD76" s="317">
        <f t="shared" si="81"/>
        <v>0</v>
      </c>
      <c r="AE76" s="317">
        <f t="shared" si="81"/>
        <v>0</v>
      </c>
      <c r="AF76" s="317">
        <f t="shared" si="81"/>
        <v>0</v>
      </c>
      <c r="AG76" s="317">
        <f t="shared" si="81"/>
        <v>0</v>
      </c>
      <c r="AH76" s="317">
        <f t="shared" si="81"/>
        <v>0</v>
      </c>
      <c r="AI76" s="316">
        <f t="shared" si="81"/>
        <v>0</v>
      </c>
      <c r="AJ76" s="317">
        <f t="shared" si="81"/>
        <v>0</v>
      </c>
      <c r="AK76" s="317">
        <f t="shared" si="81"/>
        <v>0</v>
      </c>
      <c r="AL76" s="317">
        <f t="shared" si="81"/>
        <v>0</v>
      </c>
      <c r="AM76" s="317">
        <f t="shared" si="81"/>
        <v>0</v>
      </c>
      <c r="AN76" s="317">
        <f t="shared" si="81"/>
        <v>12500</v>
      </c>
      <c r="AO76" s="317">
        <f t="shared" si="81"/>
        <v>12500</v>
      </c>
      <c r="AP76" s="317">
        <f t="shared" si="81"/>
        <v>12500</v>
      </c>
      <c r="AQ76" s="317">
        <f t="shared" si="81"/>
        <v>12500</v>
      </c>
      <c r="AR76" s="317">
        <f t="shared" si="81"/>
        <v>12500</v>
      </c>
      <c r="AS76" s="317">
        <f t="shared" si="81"/>
        <v>12500</v>
      </c>
      <c r="AT76" s="317">
        <f t="shared" si="81"/>
        <v>12500</v>
      </c>
    </row>
    <row r="77" spans="1:46" ht="14.25" hidden="1" customHeight="1" outlineLevel="1" x14ac:dyDescent="0.25">
      <c r="A77" s="310">
        <v>23</v>
      </c>
      <c r="B77" s="311"/>
      <c r="C77" s="311"/>
      <c r="D77" s="311" t="s">
        <v>548</v>
      </c>
      <c r="E77" s="311" t="s">
        <v>216</v>
      </c>
      <c r="F77" s="311" t="s">
        <v>218</v>
      </c>
      <c r="G77" s="312">
        <v>150000</v>
      </c>
      <c r="H77" s="312">
        <f t="shared" si="1"/>
        <v>12500</v>
      </c>
      <c r="I77" s="322">
        <f t="shared" ref="I77:I79" si="82">I76+121</f>
        <v>46630</v>
      </c>
      <c r="J77" s="310"/>
      <c r="K77" s="316"/>
      <c r="L77" s="317"/>
      <c r="M77" s="317"/>
      <c r="N77" s="317"/>
      <c r="O77" s="317"/>
      <c r="P77" s="317"/>
      <c r="Q77" s="317">
        <f t="shared" ref="Q77:AT77" si="83">IF(Q$2&gt;=$I77,$H77,0)</f>
        <v>0</v>
      </c>
      <c r="R77" s="317">
        <f t="shared" si="83"/>
        <v>0</v>
      </c>
      <c r="S77" s="317">
        <f t="shared" si="83"/>
        <v>0</v>
      </c>
      <c r="T77" s="317">
        <f t="shared" si="83"/>
        <v>0</v>
      </c>
      <c r="U77" s="317">
        <f t="shared" si="83"/>
        <v>0</v>
      </c>
      <c r="V77" s="317">
        <f t="shared" si="83"/>
        <v>0</v>
      </c>
      <c r="W77" s="316">
        <f t="shared" si="83"/>
        <v>0</v>
      </c>
      <c r="X77" s="317">
        <f t="shared" si="83"/>
        <v>0</v>
      </c>
      <c r="Y77" s="317">
        <f t="shared" si="83"/>
        <v>0</v>
      </c>
      <c r="Z77" s="317">
        <f t="shared" si="83"/>
        <v>0</v>
      </c>
      <c r="AA77" s="317">
        <f t="shared" si="83"/>
        <v>0</v>
      </c>
      <c r="AB77" s="317">
        <f t="shared" si="83"/>
        <v>0</v>
      </c>
      <c r="AC77" s="317">
        <f t="shared" si="83"/>
        <v>0</v>
      </c>
      <c r="AD77" s="317">
        <f t="shared" si="83"/>
        <v>0</v>
      </c>
      <c r="AE77" s="317">
        <f t="shared" si="83"/>
        <v>0</v>
      </c>
      <c r="AF77" s="317">
        <f t="shared" si="83"/>
        <v>0</v>
      </c>
      <c r="AG77" s="317">
        <f t="shared" si="83"/>
        <v>0</v>
      </c>
      <c r="AH77" s="317">
        <f t="shared" si="83"/>
        <v>0</v>
      </c>
      <c r="AI77" s="316">
        <f t="shared" si="83"/>
        <v>0</v>
      </c>
      <c r="AJ77" s="317">
        <f t="shared" si="83"/>
        <v>0</v>
      </c>
      <c r="AK77" s="317">
        <f t="shared" si="83"/>
        <v>0</v>
      </c>
      <c r="AL77" s="317">
        <f t="shared" si="83"/>
        <v>0</v>
      </c>
      <c r="AM77" s="317">
        <f t="shared" si="83"/>
        <v>0</v>
      </c>
      <c r="AN77" s="317">
        <f t="shared" si="83"/>
        <v>0</v>
      </c>
      <c r="AO77" s="317">
        <f t="shared" si="83"/>
        <v>0</v>
      </c>
      <c r="AP77" s="317">
        <f t="shared" si="83"/>
        <v>0</v>
      </c>
      <c r="AQ77" s="317">
        <f t="shared" si="83"/>
        <v>12500</v>
      </c>
      <c r="AR77" s="317">
        <f t="shared" si="83"/>
        <v>12500</v>
      </c>
      <c r="AS77" s="317">
        <f t="shared" si="83"/>
        <v>12500</v>
      </c>
      <c r="AT77" s="317">
        <f t="shared" si="83"/>
        <v>12500</v>
      </c>
    </row>
    <row r="78" spans="1:46" ht="14.25" hidden="1" customHeight="1" outlineLevel="1" x14ac:dyDescent="0.25">
      <c r="A78" s="310">
        <v>24</v>
      </c>
      <c r="B78" s="311"/>
      <c r="C78" s="311"/>
      <c r="D78" s="311" t="s">
        <v>548</v>
      </c>
      <c r="E78" s="311" t="s">
        <v>216</v>
      </c>
      <c r="F78" s="311" t="s">
        <v>218</v>
      </c>
      <c r="G78" s="312">
        <v>150000</v>
      </c>
      <c r="H78" s="312">
        <f t="shared" si="1"/>
        <v>12500</v>
      </c>
      <c r="I78" s="322">
        <f t="shared" si="82"/>
        <v>46751</v>
      </c>
      <c r="J78" s="310"/>
      <c r="K78" s="316"/>
      <c r="L78" s="317"/>
      <c r="M78" s="317"/>
      <c r="N78" s="317"/>
      <c r="O78" s="317"/>
      <c r="P78" s="317"/>
      <c r="Q78" s="317">
        <f t="shared" ref="Q78:AT78" si="84">IF(Q$2&gt;=$I78,$H78,0)</f>
        <v>0</v>
      </c>
      <c r="R78" s="317">
        <f t="shared" si="84"/>
        <v>0</v>
      </c>
      <c r="S78" s="317">
        <f t="shared" si="84"/>
        <v>0</v>
      </c>
      <c r="T78" s="317">
        <f t="shared" si="84"/>
        <v>0</v>
      </c>
      <c r="U78" s="317">
        <f t="shared" si="84"/>
        <v>0</v>
      </c>
      <c r="V78" s="317">
        <f t="shared" si="84"/>
        <v>0</v>
      </c>
      <c r="W78" s="316">
        <f t="shared" si="84"/>
        <v>0</v>
      </c>
      <c r="X78" s="317">
        <f t="shared" si="84"/>
        <v>0</v>
      </c>
      <c r="Y78" s="317">
        <f t="shared" si="84"/>
        <v>0</v>
      </c>
      <c r="Z78" s="317">
        <f t="shared" si="84"/>
        <v>0</v>
      </c>
      <c r="AA78" s="317">
        <f t="shared" si="84"/>
        <v>0</v>
      </c>
      <c r="AB78" s="317">
        <f t="shared" si="84"/>
        <v>0</v>
      </c>
      <c r="AC78" s="317">
        <f t="shared" si="84"/>
        <v>0</v>
      </c>
      <c r="AD78" s="317">
        <f t="shared" si="84"/>
        <v>0</v>
      </c>
      <c r="AE78" s="317">
        <f t="shared" si="84"/>
        <v>0</v>
      </c>
      <c r="AF78" s="317">
        <f t="shared" si="84"/>
        <v>0</v>
      </c>
      <c r="AG78" s="317">
        <f t="shared" si="84"/>
        <v>0</v>
      </c>
      <c r="AH78" s="317">
        <f t="shared" si="84"/>
        <v>0</v>
      </c>
      <c r="AI78" s="316">
        <f t="shared" si="84"/>
        <v>0</v>
      </c>
      <c r="AJ78" s="317">
        <f t="shared" si="84"/>
        <v>0</v>
      </c>
      <c r="AK78" s="317">
        <f t="shared" si="84"/>
        <v>0</v>
      </c>
      <c r="AL78" s="317">
        <f t="shared" si="84"/>
        <v>0</v>
      </c>
      <c r="AM78" s="317">
        <f t="shared" si="84"/>
        <v>0</v>
      </c>
      <c r="AN78" s="317">
        <f t="shared" si="84"/>
        <v>0</v>
      </c>
      <c r="AO78" s="317">
        <f t="shared" si="84"/>
        <v>0</v>
      </c>
      <c r="AP78" s="317">
        <f t="shared" si="84"/>
        <v>0</v>
      </c>
      <c r="AQ78" s="317">
        <f t="shared" si="84"/>
        <v>0</v>
      </c>
      <c r="AR78" s="317">
        <f t="shared" si="84"/>
        <v>0</v>
      </c>
      <c r="AS78" s="317">
        <f t="shared" si="84"/>
        <v>0</v>
      </c>
      <c r="AT78" s="317">
        <f t="shared" si="84"/>
        <v>0</v>
      </c>
    </row>
    <row r="79" spans="1:46" ht="15.75" hidden="1" customHeight="1" outlineLevel="1" x14ac:dyDescent="0.25">
      <c r="A79" s="310">
        <v>25</v>
      </c>
      <c r="B79" s="311"/>
      <c r="C79" s="311"/>
      <c r="D79" s="311" t="s">
        <v>548</v>
      </c>
      <c r="E79" s="311" t="s">
        <v>216</v>
      </c>
      <c r="F79" s="311" t="s">
        <v>218</v>
      </c>
      <c r="G79" s="312">
        <v>150000</v>
      </c>
      <c r="H79" s="312">
        <f t="shared" si="1"/>
        <v>12500</v>
      </c>
      <c r="I79" s="322">
        <f t="shared" si="82"/>
        <v>46872</v>
      </c>
      <c r="J79" s="310"/>
      <c r="K79" s="316"/>
      <c r="L79" s="317"/>
      <c r="M79" s="317"/>
      <c r="N79" s="317"/>
      <c r="O79" s="317"/>
      <c r="P79" s="317"/>
      <c r="Q79" s="317">
        <f t="shared" ref="Q79:AT79" si="85">IF(Q$2&gt;=$I79,$H79,0)</f>
        <v>0</v>
      </c>
      <c r="R79" s="317">
        <f t="shared" si="85"/>
        <v>0</v>
      </c>
      <c r="S79" s="317">
        <f t="shared" si="85"/>
        <v>0</v>
      </c>
      <c r="T79" s="317">
        <f t="shared" si="85"/>
        <v>0</v>
      </c>
      <c r="U79" s="317">
        <f t="shared" si="85"/>
        <v>0</v>
      </c>
      <c r="V79" s="317">
        <f t="shared" si="85"/>
        <v>0</v>
      </c>
      <c r="W79" s="316">
        <f t="shared" si="85"/>
        <v>0</v>
      </c>
      <c r="X79" s="317">
        <f t="shared" si="85"/>
        <v>0</v>
      </c>
      <c r="Y79" s="317">
        <f t="shared" si="85"/>
        <v>0</v>
      </c>
      <c r="Z79" s="317">
        <f t="shared" si="85"/>
        <v>0</v>
      </c>
      <c r="AA79" s="317">
        <f t="shared" si="85"/>
        <v>0</v>
      </c>
      <c r="AB79" s="317">
        <f t="shared" si="85"/>
        <v>0</v>
      </c>
      <c r="AC79" s="317">
        <f t="shared" si="85"/>
        <v>0</v>
      </c>
      <c r="AD79" s="317">
        <f t="shared" si="85"/>
        <v>0</v>
      </c>
      <c r="AE79" s="317">
        <f t="shared" si="85"/>
        <v>0</v>
      </c>
      <c r="AF79" s="317">
        <f t="shared" si="85"/>
        <v>0</v>
      </c>
      <c r="AG79" s="317">
        <f t="shared" si="85"/>
        <v>0</v>
      </c>
      <c r="AH79" s="317">
        <f t="shared" si="85"/>
        <v>0</v>
      </c>
      <c r="AI79" s="316">
        <f t="shared" si="85"/>
        <v>0</v>
      </c>
      <c r="AJ79" s="317">
        <f t="shared" si="85"/>
        <v>0</v>
      </c>
      <c r="AK79" s="317">
        <f t="shared" si="85"/>
        <v>0</v>
      </c>
      <c r="AL79" s="317">
        <f t="shared" si="85"/>
        <v>0</v>
      </c>
      <c r="AM79" s="317">
        <f t="shared" si="85"/>
        <v>0</v>
      </c>
      <c r="AN79" s="317">
        <f t="shared" si="85"/>
        <v>0</v>
      </c>
      <c r="AO79" s="317">
        <f t="shared" si="85"/>
        <v>0</v>
      </c>
      <c r="AP79" s="317">
        <f t="shared" si="85"/>
        <v>0</v>
      </c>
      <c r="AQ79" s="317">
        <f t="shared" si="85"/>
        <v>0</v>
      </c>
      <c r="AR79" s="317">
        <f t="shared" si="85"/>
        <v>0</v>
      </c>
      <c r="AS79" s="317">
        <f t="shared" si="85"/>
        <v>0</v>
      </c>
      <c r="AT79" s="317">
        <f t="shared" si="85"/>
        <v>0</v>
      </c>
    </row>
    <row r="80" spans="1:46" ht="15.75" hidden="1" customHeight="1" outlineLevel="1" x14ac:dyDescent="0.25">
      <c r="A80" s="310">
        <v>27</v>
      </c>
      <c r="B80" s="311"/>
      <c r="C80" s="311"/>
      <c r="D80" s="311" t="s">
        <v>549</v>
      </c>
      <c r="E80" s="311" t="s">
        <v>216</v>
      </c>
      <c r="F80" s="311" t="s">
        <v>218</v>
      </c>
      <c r="G80" s="312">
        <v>150000</v>
      </c>
      <c r="H80" s="312">
        <f t="shared" si="1"/>
        <v>12500</v>
      </c>
      <c r="I80" s="322">
        <f>Worksheet!$C$15-61</f>
        <v>46235</v>
      </c>
      <c r="J80" s="310"/>
      <c r="K80" s="316"/>
      <c r="L80" s="317"/>
      <c r="M80" s="317"/>
      <c r="N80" s="317"/>
      <c r="O80" s="317"/>
      <c r="P80" s="317"/>
      <c r="Q80" s="317">
        <f t="shared" ref="Q80:AT80" si="86">IF(Q$2&gt;=$I80,$H80,0)</f>
        <v>0</v>
      </c>
      <c r="R80" s="317">
        <f t="shared" si="86"/>
        <v>0</v>
      </c>
      <c r="S80" s="317">
        <f t="shared" si="86"/>
        <v>0</v>
      </c>
      <c r="T80" s="317">
        <f t="shared" si="86"/>
        <v>0</v>
      </c>
      <c r="U80" s="317">
        <f t="shared" si="86"/>
        <v>0</v>
      </c>
      <c r="V80" s="317">
        <f t="shared" si="86"/>
        <v>0</v>
      </c>
      <c r="W80" s="316">
        <f t="shared" si="86"/>
        <v>0</v>
      </c>
      <c r="X80" s="317">
        <f t="shared" si="86"/>
        <v>0</v>
      </c>
      <c r="Y80" s="317">
        <f t="shared" si="86"/>
        <v>0</v>
      </c>
      <c r="Z80" s="317">
        <f t="shared" si="86"/>
        <v>0</v>
      </c>
      <c r="AA80" s="317">
        <f t="shared" si="86"/>
        <v>0</v>
      </c>
      <c r="AB80" s="317">
        <f t="shared" si="86"/>
        <v>0</v>
      </c>
      <c r="AC80" s="317">
        <f t="shared" si="86"/>
        <v>0</v>
      </c>
      <c r="AD80" s="317">
        <f t="shared" si="86"/>
        <v>12500</v>
      </c>
      <c r="AE80" s="317">
        <f t="shared" si="86"/>
        <v>12500</v>
      </c>
      <c r="AF80" s="317">
        <f t="shared" si="86"/>
        <v>12500</v>
      </c>
      <c r="AG80" s="317">
        <f t="shared" si="86"/>
        <v>12500</v>
      </c>
      <c r="AH80" s="317">
        <f t="shared" si="86"/>
        <v>12500</v>
      </c>
      <c r="AI80" s="316">
        <f t="shared" si="86"/>
        <v>12500</v>
      </c>
      <c r="AJ80" s="317">
        <f t="shared" si="86"/>
        <v>12500</v>
      </c>
      <c r="AK80" s="317">
        <f t="shared" si="86"/>
        <v>12500</v>
      </c>
      <c r="AL80" s="317">
        <f t="shared" si="86"/>
        <v>12500</v>
      </c>
      <c r="AM80" s="317">
        <f t="shared" si="86"/>
        <v>12500</v>
      </c>
      <c r="AN80" s="317">
        <f t="shared" si="86"/>
        <v>12500</v>
      </c>
      <c r="AO80" s="317">
        <f t="shared" si="86"/>
        <v>12500</v>
      </c>
      <c r="AP80" s="317">
        <f t="shared" si="86"/>
        <v>12500</v>
      </c>
      <c r="AQ80" s="317">
        <f t="shared" si="86"/>
        <v>12500</v>
      </c>
      <c r="AR80" s="317">
        <f t="shared" si="86"/>
        <v>12500</v>
      </c>
      <c r="AS80" s="317">
        <f t="shared" si="86"/>
        <v>12500</v>
      </c>
      <c r="AT80" s="317">
        <f t="shared" si="86"/>
        <v>12500</v>
      </c>
    </row>
    <row r="81" spans="1:46" ht="15.75" hidden="1" customHeight="1" outlineLevel="1" x14ac:dyDescent="0.25">
      <c r="A81" s="310">
        <v>28</v>
      </c>
      <c r="B81" s="311"/>
      <c r="C81" s="311"/>
      <c r="D81" s="311" t="s">
        <v>550</v>
      </c>
      <c r="E81" s="311" t="s">
        <v>216</v>
      </c>
      <c r="F81" s="311" t="s">
        <v>218</v>
      </c>
      <c r="G81" s="312">
        <v>125000</v>
      </c>
      <c r="H81" s="312">
        <f t="shared" si="1"/>
        <v>10416.666666666666</v>
      </c>
      <c r="I81" s="322">
        <f>I75</f>
        <v>46357</v>
      </c>
      <c r="J81" s="310"/>
      <c r="K81" s="316"/>
      <c r="L81" s="317"/>
      <c r="M81" s="317"/>
      <c r="N81" s="317"/>
      <c r="O81" s="317"/>
      <c r="P81" s="317"/>
      <c r="Q81" s="317">
        <f t="shared" ref="Q81:AT81" si="87">IF(Q$2&gt;=$I81,$H81,0)</f>
        <v>0</v>
      </c>
      <c r="R81" s="317">
        <f t="shared" si="87"/>
        <v>0</v>
      </c>
      <c r="S81" s="317">
        <f t="shared" si="87"/>
        <v>0</v>
      </c>
      <c r="T81" s="317">
        <f t="shared" si="87"/>
        <v>0</v>
      </c>
      <c r="U81" s="317">
        <f t="shared" si="87"/>
        <v>0</v>
      </c>
      <c r="V81" s="317">
        <f t="shared" si="87"/>
        <v>0</v>
      </c>
      <c r="W81" s="316">
        <f t="shared" si="87"/>
        <v>0</v>
      </c>
      <c r="X81" s="317">
        <f t="shared" si="87"/>
        <v>0</v>
      </c>
      <c r="Y81" s="317">
        <f t="shared" si="87"/>
        <v>0</v>
      </c>
      <c r="Z81" s="317">
        <f t="shared" si="87"/>
        <v>0</v>
      </c>
      <c r="AA81" s="317">
        <f t="shared" si="87"/>
        <v>0</v>
      </c>
      <c r="AB81" s="317">
        <f t="shared" si="87"/>
        <v>0</v>
      </c>
      <c r="AC81" s="317">
        <f t="shared" si="87"/>
        <v>0</v>
      </c>
      <c r="AD81" s="317">
        <f t="shared" si="87"/>
        <v>0</v>
      </c>
      <c r="AE81" s="317">
        <f t="shared" si="87"/>
        <v>0</v>
      </c>
      <c r="AF81" s="317">
        <f t="shared" si="87"/>
        <v>0</v>
      </c>
      <c r="AG81" s="317">
        <f t="shared" si="87"/>
        <v>0</v>
      </c>
      <c r="AH81" s="317">
        <f t="shared" si="87"/>
        <v>10416.666666666666</v>
      </c>
      <c r="AI81" s="316">
        <f t="shared" si="87"/>
        <v>10416.666666666666</v>
      </c>
      <c r="AJ81" s="317">
        <f t="shared" si="87"/>
        <v>10416.666666666666</v>
      </c>
      <c r="AK81" s="317">
        <f t="shared" si="87"/>
        <v>10416.666666666666</v>
      </c>
      <c r="AL81" s="317">
        <f t="shared" si="87"/>
        <v>10416.666666666666</v>
      </c>
      <c r="AM81" s="317">
        <f t="shared" si="87"/>
        <v>10416.666666666666</v>
      </c>
      <c r="AN81" s="317">
        <f t="shared" si="87"/>
        <v>10416.666666666666</v>
      </c>
      <c r="AO81" s="317">
        <f t="shared" si="87"/>
        <v>10416.666666666666</v>
      </c>
      <c r="AP81" s="317">
        <f t="shared" si="87"/>
        <v>10416.666666666666</v>
      </c>
      <c r="AQ81" s="317">
        <f t="shared" si="87"/>
        <v>10416.666666666666</v>
      </c>
      <c r="AR81" s="317">
        <f t="shared" si="87"/>
        <v>10416.666666666666</v>
      </c>
      <c r="AS81" s="317">
        <f t="shared" si="87"/>
        <v>10416.666666666666</v>
      </c>
      <c r="AT81" s="317">
        <f t="shared" si="87"/>
        <v>10416.666666666666</v>
      </c>
    </row>
    <row r="82" spans="1:46" ht="15.75" hidden="1" customHeight="1" outlineLevel="1" x14ac:dyDescent="0.25">
      <c r="A82" s="310">
        <v>28</v>
      </c>
      <c r="B82" s="311"/>
      <c r="C82" s="311"/>
      <c r="D82" s="311" t="s">
        <v>550</v>
      </c>
      <c r="E82" s="311" t="s">
        <v>216</v>
      </c>
      <c r="F82" s="311" t="s">
        <v>218</v>
      </c>
      <c r="G82" s="312">
        <v>125000</v>
      </c>
      <c r="H82" s="312">
        <f t="shared" si="1"/>
        <v>10416.666666666666</v>
      </c>
      <c r="I82" s="322">
        <f t="shared" ref="I82:I83" si="88">I81+121</f>
        <v>46478</v>
      </c>
      <c r="J82" s="310"/>
      <c r="K82" s="316"/>
      <c r="L82" s="317"/>
      <c r="M82" s="317"/>
      <c r="N82" s="317"/>
      <c r="O82" s="317"/>
      <c r="P82" s="317"/>
      <c r="Q82" s="317">
        <f t="shared" ref="Q82:AT82" si="89">IF(Q$2&gt;=$I82,$H82,0)</f>
        <v>0</v>
      </c>
      <c r="R82" s="317">
        <f t="shared" si="89"/>
        <v>0</v>
      </c>
      <c r="S82" s="317">
        <f t="shared" si="89"/>
        <v>0</v>
      </c>
      <c r="T82" s="317">
        <f t="shared" si="89"/>
        <v>0</v>
      </c>
      <c r="U82" s="317">
        <f t="shared" si="89"/>
        <v>0</v>
      </c>
      <c r="V82" s="317">
        <f t="shared" si="89"/>
        <v>0</v>
      </c>
      <c r="W82" s="316">
        <f t="shared" si="89"/>
        <v>0</v>
      </c>
      <c r="X82" s="317">
        <f t="shared" si="89"/>
        <v>0</v>
      </c>
      <c r="Y82" s="317">
        <f t="shared" si="89"/>
        <v>0</v>
      </c>
      <c r="Z82" s="317">
        <f t="shared" si="89"/>
        <v>0</v>
      </c>
      <c r="AA82" s="317">
        <f t="shared" si="89"/>
        <v>0</v>
      </c>
      <c r="AB82" s="317">
        <f t="shared" si="89"/>
        <v>0</v>
      </c>
      <c r="AC82" s="317">
        <f t="shared" si="89"/>
        <v>0</v>
      </c>
      <c r="AD82" s="317">
        <f t="shared" si="89"/>
        <v>0</v>
      </c>
      <c r="AE82" s="317">
        <f t="shared" si="89"/>
        <v>0</v>
      </c>
      <c r="AF82" s="317">
        <f t="shared" si="89"/>
        <v>0</v>
      </c>
      <c r="AG82" s="317">
        <f t="shared" si="89"/>
        <v>0</v>
      </c>
      <c r="AH82" s="317">
        <f t="shared" si="89"/>
        <v>0</v>
      </c>
      <c r="AI82" s="316">
        <f t="shared" si="89"/>
        <v>0</v>
      </c>
      <c r="AJ82" s="317">
        <f t="shared" si="89"/>
        <v>0</v>
      </c>
      <c r="AK82" s="317">
        <f t="shared" si="89"/>
        <v>0</v>
      </c>
      <c r="AL82" s="317">
        <f t="shared" si="89"/>
        <v>10416.666666666666</v>
      </c>
      <c r="AM82" s="317">
        <f t="shared" si="89"/>
        <v>10416.666666666666</v>
      </c>
      <c r="AN82" s="317">
        <f t="shared" si="89"/>
        <v>10416.666666666666</v>
      </c>
      <c r="AO82" s="317">
        <f t="shared" si="89"/>
        <v>10416.666666666666</v>
      </c>
      <c r="AP82" s="317">
        <f t="shared" si="89"/>
        <v>10416.666666666666</v>
      </c>
      <c r="AQ82" s="317">
        <f t="shared" si="89"/>
        <v>10416.666666666666</v>
      </c>
      <c r="AR82" s="317">
        <f t="shared" si="89"/>
        <v>10416.666666666666</v>
      </c>
      <c r="AS82" s="317">
        <f t="shared" si="89"/>
        <v>10416.666666666666</v>
      </c>
      <c r="AT82" s="317">
        <f t="shared" si="89"/>
        <v>10416.666666666666</v>
      </c>
    </row>
    <row r="83" spans="1:46" ht="15.75" hidden="1" customHeight="1" outlineLevel="1" x14ac:dyDescent="0.25">
      <c r="A83" s="310">
        <v>29</v>
      </c>
      <c r="B83" s="311"/>
      <c r="C83" s="311"/>
      <c r="D83" s="311" t="s">
        <v>550</v>
      </c>
      <c r="E83" s="311" t="s">
        <v>216</v>
      </c>
      <c r="F83" s="311" t="s">
        <v>218</v>
      </c>
      <c r="G83" s="312">
        <v>100000</v>
      </c>
      <c r="H83" s="312">
        <f t="shared" si="1"/>
        <v>8333.3333333333339</v>
      </c>
      <c r="I83" s="322">
        <f t="shared" si="88"/>
        <v>46599</v>
      </c>
      <c r="J83" s="310"/>
      <c r="K83" s="316"/>
      <c r="L83" s="317"/>
      <c r="M83" s="317"/>
      <c r="N83" s="317"/>
      <c r="O83" s="317"/>
      <c r="P83" s="317"/>
      <c r="Q83" s="317">
        <f t="shared" ref="Q83:T83" si="90">IF(Q$2&gt;=$I83,$H83,0)</f>
        <v>0</v>
      </c>
      <c r="R83" s="317">
        <f t="shared" si="90"/>
        <v>0</v>
      </c>
      <c r="S83" s="317">
        <f t="shared" si="90"/>
        <v>0</v>
      </c>
      <c r="T83" s="317">
        <f t="shared" si="90"/>
        <v>0</v>
      </c>
      <c r="U83" s="317"/>
      <c r="V83" s="317"/>
      <c r="W83" s="316">
        <f t="shared" ref="W83:AT83" si="91">IF(W$2&gt;=$I83,$H83,0)</f>
        <v>0</v>
      </c>
      <c r="X83" s="317">
        <f t="shared" si="91"/>
        <v>0</v>
      </c>
      <c r="Y83" s="317">
        <f t="shared" si="91"/>
        <v>0</v>
      </c>
      <c r="Z83" s="317">
        <f t="shared" si="91"/>
        <v>0</v>
      </c>
      <c r="AA83" s="317">
        <f t="shared" si="91"/>
        <v>0</v>
      </c>
      <c r="AB83" s="317">
        <f t="shared" si="91"/>
        <v>0</v>
      </c>
      <c r="AC83" s="317">
        <f t="shared" si="91"/>
        <v>0</v>
      </c>
      <c r="AD83" s="317">
        <f t="shared" si="91"/>
        <v>0</v>
      </c>
      <c r="AE83" s="317">
        <f t="shared" si="91"/>
        <v>0</v>
      </c>
      <c r="AF83" s="317">
        <f t="shared" si="91"/>
        <v>0</v>
      </c>
      <c r="AG83" s="317">
        <f t="shared" si="91"/>
        <v>0</v>
      </c>
      <c r="AH83" s="317">
        <f t="shared" si="91"/>
        <v>0</v>
      </c>
      <c r="AI83" s="316">
        <f t="shared" si="91"/>
        <v>0</v>
      </c>
      <c r="AJ83" s="317">
        <f t="shared" si="91"/>
        <v>0</v>
      </c>
      <c r="AK83" s="317">
        <f t="shared" si="91"/>
        <v>0</v>
      </c>
      <c r="AL83" s="317">
        <f t="shared" si="91"/>
        <v>0</v>
      </c>
      <c r="AM83" s="317">
        <f t="shared" si="91"/>
        <v>0</v>
      </c>
      <c r="AN83" s="317">
        <f t="shared" si="91"/>
        <v>0</v>
      </c>
      <c r="AO83" s="317">
        <f t="shared" si="91"/>
        <v>0</v>
      </c>
      <c r="AP83" s="317">
        <f t="shared" si="91"/>
        <v>8333.3333333333339</v>
      </c>
      <c r="AQ83" s="317">
        <f t="shared" si="91"/>
        <v>8333.3333333333339</v>
      </c>
      <c r="AR83" s="317">
        <f t="shared" si="91"/>
        <v>8333.3333333333339</v>
      </c>
      <c r="AS83" s="317">
        <f t="shared" si="91"/>
        <v>8333.3333333333339</v>
      </c>
      <c r="AT83" s="317">
        <f t="shared" si="91"/>
        <v>8333.3333333333339</v>
      </c>
    </row>
    <row r="84" spans="1:46" ht="15.75" hidden="1" customHeight="1" outlineLevel="1" x14ac:dyDescent="0.25">
      <c r="A84" s="310">
        <v>30</v>
      </c>
      <c r="B84" s="311"/>
      <c r="C84" s="311"/>
      <c r="D84" s="311" t="s">
        <v>550</v>
      </c>
      <c r="E84" s="311" t="s">
        <v>216</v>
      </c>
      <c r="F84" s="311" t="s">
        <v>218</v>
      </c>
      <c r="G84" s="312">
        <v>100000</v>
      </c>
      <c r="H84" s="312">
        <f t="shared" si="1"/>
        <v>8333.3333333333339</v>
      </c>
      <c r="I84" s="322">
        <f t="shared" ref="I84:I85" si="92">I83+61</f>
        <v>46660</v>
      </c>
      <c r="J84" s="310"/>
      <c r="K84" s="316"/>
      <c r="L84" s="317"/>
      <c r="M84" s="317"/>
      <c r="N84" s="317"/>
      <c r="O84" s="317"/>
      <c r="P84" s="317"/>
      <c r="Q84" s="317">
        <f t="shared" ref="Q84:T84" si="93">IF(Q$2&gt;=$I84,$H84,0)</f>
        <v>0</v>
      </c>
      <c r="R84" s="317">
        <f t="shared" si="93"/>
        <v>0</v>
      </c>
      <c r="S84" s="317">
        <f t="shared" si="93"/>
        <v>0</v>
      </c>
      <c r="T84" s="317">
        <f t="shared" si="93"/>
        <v>0</v>
      </c>
      <c r="U84" s="317"/>
      <c r="V84" s="317"/>
      <c r="W84" s="316">
        <f t="shared" ref="W84:AT84" si="94">IF(W$2&gt;=$I84,$H84,0)</f>
        <v>0</v>
      </c>
      <c r="X84" s="317">
        <f t="shared" si="94"/>
        <v>0</v>
      </c>
      <c r="Y84" s="317">
        <f t="shared" si="94"/>
        <v>0</v>
      </c>
      <c r="Z84" s="317">
        <f t="shared" si="94"/>
        <v>0</v>
      </c>
      <c r="AA84" s="317">
        <f t="shared" si="94"/>
        <v>0</v>
      </c>
      <c r="AB84" s="317">
        <f t="shared" si="94"/>
        <v>0</v>
      </c>
      <c r="AC84" s="317">
        <f t="shared" si="94"/>
        <v>0</v>
      </c>
      <c r="AD84" s="317">
        <f t="shared" si="94"/>
        <v>0</v>
      </c>
      <c r="AE84" s="317">
        <f t="shared" si="94"/>
        <v>0</v>
      </c>
      <c r="AF84" s="317">
        <f t="shared" si="94"/>
        <v>0</v>
      </c>
      <c r="AG84" s="317">
        <f t="shared" si="94"/>
        <v>0</v>
      </c>
      <c r="AH84" s="317">
        <f t="shared" si="94"/>
        <v>0</v>
      </c>
      <c r="AI84" s="316">
        <f t="shared" si="94"/>
        <v>0</v>
      </c>
      <c r="AJ84" s="317">
        <f t="shared" si="94"/>
        <v>0</v>
      </c>
      <c r="AK84" s="317">
        <f t="shared" si="94"/>
        <v>0</v>
      </c>
      <c r="AL84" s="317">
        <f t="shared" si="94"/>
        <v>0</v>
      </c>
      <c r="AM84" s="317">
        <f t="shared" si="94"/>
        <v>0</v>
      </c>
      <c r="AN84" s="317">
        <f t="shared" si="94"/>
        <v>0</v>
      </c>
      <c r="AO84" s="317">
        <f t="shared" si="94"/>
        <v>0</v>
      </c>
      <c r="AP84" s="317">
        <f t="shared" si="94"/>
        <v>0</v>
      </c>
      <c r="AQ84" s="317">
        <f t="shared" si="94"/>
        <v>0</v>
      </c>
      <c r="AR84" s="317">
        <f t="shared" si="94"/>
        <v>8333.3333333333339</v>
      </c>
      <c r="AS84" s="317">
        <f t="shared" si="94"/>
        <v>8333.3333333333339</v>
      </c>
      <c r="AT84" s="317">
        <f t="shared" si="94"/>
        <v>8333.3333333333339</v>
      </c>
    </row>
    <row r="85" spans="1:46" ht="15.75" hidden="1" customHeight="1" outlineLevel="1" x14ac:dyDescent="0.25">
      <c r="A85" s="310">
        <v>31</v>
      </c>
      <c r="B85" s="311"/>
      <c r="C85" s="311"/>
      <c r="D85" s="311" t="s">
        <v>550</v>
      </c>
      <c r="E85" s="311" t="s">
        <v>216</v>
      </c>
      <c r="F85" s="311" t="s">
        <v>218</v>
      </c>
      <c r="G85" s="312">
        <v>100000</v>
      </c>
      <c r="H85" s="312">
        <f t="shared" si="1"/>
        <v>8333.3333333333339</v>
      </c>
      <c r="I85" s="322">
        <f t="shared" si="92"/>
        <v>46721</v>
      </c>
      <c r="J85" s="310"/>
      <c r="K85" s="316"/>
      <c r="L85" s="317"/>
      <c r="M85" s="317"/>
      <c r="N85" s="317"/>
      <c r="O85" s="317"/>
      <c r="P85" s="317"/>
      <c r="Q85" s="317">
        <f t="shared" ref="Q85:T85" si="95">IF(Q$2&gt;=$I85,$H85,0)</f>
        <v>0</v>
      </c>
      <c r="R85" s="317">
        <f t="shared" si="95"/>
        <v>0</v>
      </c>
      <c r="S85" s="317">
        <f t="shared" si="95"/>
        <v>0</v>
      </c>
      <c r="T85" s="317">
        <f t="shared" si="95"/>
        <v>0</v>
      </c>
      <c r="U85" s="317"/>
      <c r="V85" s="317"/>
      <c r="W85" s="316">
        <f t="shared" ref="W85:AT85" si="96">IF(W$2&gt;=$I85,$H85,0)</f>
        <v>0</v>
      </c>
      <c r="X85" s="317">
        <f t="shared" si="96"/>
        <v>0</v>
      </c>
      <c r="Y85" s="317">
        <f t="shared" si="96"/>
        <v>0</v>
      </c>
      <c r="Z85" s="317">
        <f t="shared" si="96"/>
        <v>0</v>
      </c>
      <c r="AA85" s="317">
        <f t="shared" si="96"/>
        <v>0</v>
      </c>
      <c r="AB85" s="317">
        <f t="shared" si="96"/>
        <v>0</v>
      </c>
      <c r="AC85" s="317">
        <f t="shared" si="96"/>
        <v>0</v>
      </c>
      <c r="AD85" s="317">
        <f t="shared" si="96"/>
        <v>0</v>
      </c>
      <c r="AE85" s="317">
        <f t="shared" si="96"/>
        <v>0</v>
      </c>
      <c r="AF85" s="317">
        <f t="shared" si="96"/>
        <v>0</v>
      </c>
      <c r="AG85" s="317">
        <f t="shared" si="96"/>
        <v>0</v>
      </c>
      <c r="AH85" s="317">
        <f t="shared" si="96"/>
        <v>0</v>
      </c>
      <c r="AI85" s="316">
        <f t="shared" si="96"/>
        <v>0</v>
      </c>
      <c r="AJ85" s="317">
        <f t="shared" si="96"/>
        <v>0</v>
      </c>
      <c r="AK85" s="317">
        <f t="shared" si="96"/>
        <v>0</v>
      </c>
      <c r="AL85" s="317">
        <f t="shared" si="96"/>
        <v>0</v>
      </c>
      <c r="AM85" s="317">
        <f t="shared" si="96"/>
        <v>0</v>
      </c>
      <c r="AN85" s="317">
        <f t="shared" si="96"/>
        <v>0</v>
      </c>
      <c r="AO85" s="317">
        <f t="shared" si="96"/>
        <v>0</v>
      </c>
      <c r="AP85" s="317">
        <f t="shared" si="96"/>
        <v>0</v>
      </c>
      <c r="AQ85" s="317">
        <f t="shared" si="96"/>
        <v>0</v>
      </c>
      <c r="AR85" s="317">
        <f t="shared" si="96"/>
        <v>0</v>
      </c>
      <c r="AS85" s="317">
        <f t="shared" si="96"/>
        <v>0</v>
      </c>
      <c r="AT85" s="317">
        <f t="shared" si="96"/>
        <v>8333.3333333333339</v>
      </c>
    </row>
    <row r="86" spans="1:46" ht="15.75" hidden="1" customHeight="1" outlineLevel="1" x14ac:dyDescent="0.25">
      <c r="A86" s="310">
        <v>1</v>
      </c>
      <c r="B86" s="311"/>
      <c r="C86" s="311"/>
      <c r="D86" s="311" t="s">
        <v>551</v>
      </c>
      <c r="E86" s="311" t="s">
        <v>490</v>
      </c>
      <c r="F86" s="311" t="s">
        <v>213</v>
      </c>
      <c r="G86" s="312">
        <v>75000</v>
      </c>
      <c r="H86" s="312">
        <f t="shared" si="1"/>
        <v>6250</v>
      </c>
      <c r="I86" s="314">
        <v>45962</v>
      </c>
      <c r="J86" s="310"/>
      <c r="K86" s="316"/>
      <c r="L86" s="317"/>
      <c r="M86" s="317"/>
      <c r="N86" s="317"/>
      <c r="O86" s="317"/>
      <c r="P86" s="317"/>
      <c r="Q86" s="317">
        <f t="shared" ref="Q86:T86" si="97">IF(Q$2&gt;=$I86,$H86,0)</f>
        <v>0</v>
      </c>
      <c r="R86" s="317">
        <f t="shared" si="97"/>
        <v>0</v>
      </c>
      <c r="S86" s="317">
        <f t="shared" si="97"/>
        <v>0</v>
      </c>
      <c r="T86" s="317">
        <f t="shared" si="97"/>
        <v>0</v>
      </c>
      <c r="U86" s="317"/>
      <c r="V86" s="317"/>
      <c r="W86" s="316">
        <f t="shared" ref="W86:AT86" si="98">IF(W$2&gt;=$I86,$H86,0)</f>
        <v>6250</v>
      </c>
      <c r="X86" s="317">
        <f t="shared" si="98"/>
        <v>6250</v>
      </c>
      <c r="Y86" s="317">
        <f t="shared" si="98"/>
        <v>6250</v>
      </c>
      <c r="Z86" s="317">
        <f t="shared" si="98"/>
        <v>6250</v>
      </c>
      <c r="AA86" s="317">
        <f t="shared" si="98"/>
        <v>6250</v>
      </c>
      <c r="AB86" s="317">
        <f t="shared" si="98"/>
        <v>6250</v>
      </c>
      <c r="AC86" s="317">
        <f t="shared" si="98"/>
        <v>6250</v>
      </c>
      <c r="AD86" s="317">
        <f t="shared" si="98"/>
        <v>6250</v>
      </c>
      <c r="AE86" s="317">
        <f t="shared" si="98"/>
        <v>6250</v>
      </c>
      <c r="AF86" s="317">
        <f t="shared" si="98"/>
        <v>6250</v>
      </c>
      <c r="AG86" s="317">
        <f t="shared" si="98"/>
        <v>6250</v>
      </c>
      <c r="AH86" s="317">
        <f t="shared" si="98"/>
        <v>6250</v>
      </c>
      <c r="AI86" s="316">
        <f t="shared" si="98"/>
        <v>6250</v>
      </c>
      <c r="AJ86" s="317">
        <f t="shared" si="98"/>
        <v>6250</v>
      </c>
      <c r="AK86" s="317">
        <f t="shared" si="98"/>
        <v>6250</v>
      </c>
      <c r="AL86" s="317">
        <f t="shared" si="98"/>
        <v>6250</v>
      </c>
      <c r="AM86" s="317">
        <f t="shared" si="98"/>
        <v>6250</v>
      </c>
      <c r="AN86" s="317">
        <f t="shared" si="98"/>
        <v>6250</v>
      </c>
      <c r="AO86" s="317">
        <f t="shared" si="98"/>
        <v>6250</v>
      </c>
      <c r="AP86" s="317">
        <f t="shared" si="98"/>
        <v>6250</v>
      </c>
      <c r="AQ86" s="317">
        <f t="shared" si="98"/>
        <v>6250</v>
      </c>
      <c r="AR86" s="317">
        <f t="shared" si="98"/>
        <v>6250</v>
      </c>
      <c r="AS86" s="317">
        <f t="shared" si="98"/>
        <v>6250</v>
      </c>
      <c r="AT86" s="317">
        <f t="shared" si="98"/>
        <v>6250</v>
      </c>
    </row>
    <row r="87" spans="1:46" ht="15.75" hidden="1" customHeight="1" outlineLevel="1" x14ac:dyDescent="0.25">
      <c r="A87" s="310">
        <v>2</v>
      </c>
      <c r="B87" s="311"/>
      <c r="C87" s="311"/>
      <c r="D87" s="311" t="s">
        <v>551</v>
      </c>
      <c r="E87" s="311" t="s">
        <v>490</v>
      </c>
      <c r="F87" s="311" t="s">
        <v>213</v>
      </c>
      <c r="G87" s="312">
        <v>75000</v>
      </c>
      <c r="H87" s="312">
        <f t="shared" si="1"/>
        <v>6250</v>
      </c>
      <c r="I87" s="314">
        <v>46054</v>
      </c>
      <c r="J87" s="310"/>
      <c r="K87" s="316"/>
      <c r="L87" s="317"/>
      <c r="M87" s="317"/>
      <c r="N87" s="317"/>
      <c r="O87" s="317"/>
      <c r="P87" s="317"/>
      <c r="Q87" s="317">
        <f t="shared" ref="Q87:T87" si="99">IF(Q$2&gt;=$I87,$H87,0)</f>
        <v>0</v>
      </c>
      <c r="R87" s="317">
        <f t="shared" si="99"/>
        <v>0</v>
      </c>
      <c r="S87" s="317">
        <f t="shared" si="99"/>
        <v>0</v>
      </c>
      <c r="T87" s="317">
        <f t="shared" si="99"/>
        <v>0</v>
      </c>
      <c r="U87" s="317"/>
      <c r="V87" s="317"/>
      <c r="W87" s="316">
        <f t="shared" ref="W87:AT87" si="100">IF(W$2&gt;=$I87,$H87,0)</f>
        <v>0</v>
      </c>
      <c r="X87" s="317">
        <f t="shared" si="100"/>
        <v>6250</v>
      </c>
      <c r="Y87" s="317">
        <f t="shared" si="100"/>
        <v>6250</v>
      </c>
      <c r="Z87" s="317">
        <f t="shared" si="100"/>
        <v>6250</v>
      </c>
      <c r="AA87" s="317">
        <f t="shared" si="100"/>
        <v>6250</v>
      </c>
      <c r="AB87" s="317">
        <f t="shared" si="100"/>
        <v>6250</v>
      </c>
      <c r="AC87" s="317">
        <f t="shared" si="100"/>
        <v>6250</v>
      </c>
      <c r="AD87" s="317">
        <f t="shared" si="100"/>
        <v>6250</v>
      </c>
      <c r="AE87" s="317">
        <f t="shared" si="100"/>
        <v>6250</v>
      </c>
      <c r="AF87" s="317">
        <f t="shared" si="100"/>
        <v>6250</v>
      </c>
      <c r="AG87" s="317">
        <f t="shared" si="100"/>
        <v>6250</v>
      </c>
      <c r="AH87" s="317">
        <f t="shared" si="100"/>
        <v>6250</v>
      </c>
      <c r="AI87" s="316">
        <f t="shared" si="100"/>
        <v>6250</v>
      </c>
      <c r="AJ87" s="317">
        <f t="shared" si="100"/>
        <v>6250</v>
      </c>
      <c r="AK87" s="317">
        <f t="shared" si="100"/>
        <v>6250</v>
      </c>
      <c r="AL87" s="317">
        <f t="shared" si="100"/>
        <v>6250</v>
      </c>
      <c r="AM87" s="317">
        <f t="shared" si="100"/>
        <v>6250</v>
      </c>
      <c r="AN87" s="317">
        <f t="shared" si="100"/>
        <v>6250</v>
      </c>
      <c r="AO87" s="317">
        <f t="shared" si="100"/>
        <v>6250</v>
      </c>
      <c r="AP87" s="317">
        <f t="shared" si="100"/>
        <v>6250</v>
      </c>
      <c r="AQ87" s="317">
        <f t="shared" si="100"/>
        <v>6250</v>
      </c>
      <c r="AR87" s="317">
        <f t="shared" si="100"/>
        <v>6250</v>
      </c>
      <c r="AS87" s="317">
        <f t="shared" si="100"/>
        <v>6250</v>
      </c>
      <c r="AT87" s="317">
        <f t="shared" si="100"/>
        <v>6250</v>
      </c>
    </row>
    <row r="88" spans="1:46" ht="15.75" hidden="1" customHeight="1" outlineLevel="1" x14ac:dyDescent="0.25">
      <c r="A88" s="310">
        <v>3</v>
      </c>
      <c r="B88" s="311"/>
      <c r="C88" s="311"/>
      <c r="D88" s="311" t="s">
        <v>552</v>
      </c>
      <c r="E88" s="311" t="s">
        <v>490</v>
      </c>
      <c r="F88" s="311" t="s">
        <v>213</v>
      </c>
      <c r="G88" s="312">
        <v>50000</v>
      </c>
      <c r="H88" s="312">
        <f t="shared" si="1"/>
        <v>4166.666666666667</v>
      </c>
      <c r="I88" s="314">
        <v>46204</v>
      </c>
      <c r="J88" s="310"/>
      <c r="K88" s="316"/>
      <c r="L88" s="317"/>
      <c r="M88" s="317"/>
      <c r="N88" s="317"/>
      <c r="O88" s="317"/>
      <c r="P88" s="317"/>
      <c r="Q88" s="317">
        <f t="shared" ref="Q88:AT88" si="101">IF(Q$2&gt;=$I88,$H88,0)</f>
        <v>0</v>
      </c>
      <c r="R88" s="317">
        <f t="shared" si="101"/>
        <v>0</v>
      </c>
      <c r="S88" s="317">
        <f t="shared" si="101"/>
        <v>0</v>
      </c>
      <c r="T88" s="317">
        <f t="shared" si="101"/>
        <v>0</v>
      </c>
      <c r="U88" s="317">
        <f t="shared" si="101"/>
        <v>0</v>
      </c>
      <c r="V88" s="317">
        <f t="shared" si="101"/>
        <v>0</v>
      </c>
      <c r="W88" s="316">
        <f t="shared" si="101"/>
        <v>0</v>
      </c>
      <c r="X88" s="317">
        <f t="shared" si="101"/>
        <v>0</v>
      </c>
      <c r="Y88" s="317">
        <f t="shared" si="101"/>
        <v>0</v>
      </c>
      <c r="Z88" s="317">
        <f t="shared" si="101"/>
        <v>0</v>
      </c>
      <c r="AA88" s="317">
        <f t="shared" si="101"/>
        <v>0</v>
      </c>
      <c r="AB88" s="317">
        <f t="shared" si="101"/>
        <v>0</v>
      </c>
      <c r="AC88" s="317">
        <f t="shared" si="101"/>
        <v>4166.666666666667</v>
      </c>
      <c r="AD88" s="317">
        <f t="shared" si="101"/>
        <v>4166.666666666667</v>
      </c>
      <c r="AE88" s="317">
        <f t="shared" si="101"/>
        <v>4166.666666666667</v>
      </c>
      <c r="AF88" s="317">
        <f t="shared" si="101"/>
        <v>4166.666666666667</v>
      </c>
      <c r="AG88" s="317">
        <f t="shared" si="101"/>
        <v>4166.666666666667</v>
      </c>
      <c r="AH88" s="317">
        <f t="shared" si="101"/>
        <v>4166.666666666667</v>
      </c>
      <c r="AI88" s="316">
        <f t="shared" si="101"/>
        <v>4166.666666666667</v>
      </c>
      <c r="AJ88" s="317">
        <f t="shared" si="101"/>
        <v>4166.666666666667</v>
      </c>
      <c r="AK88" s="317">
        <f t="shared" si="101"/>
        <v>4166.666666666667</v>
      </c>
      <c r="AL88" s="317">
        <f t="shared" si="101"/>
        <v>4166.666666666667</v>
      </c>
      <c r="AM88" s="317">
        <f t="shared" si="101"/>
        <v>4166.666666666667</v>
      </c>
      <c r="AN88" s="317">
        <f t="shared" si="101"/>
        <v>4166.666666666667</v>
      </c>
      <c r="AO88" s="317">
        <f t="shared" si="101"/>
        <v>4166.666666666667</v>
      </c>
      <c r="AP88" s="317">
        <f t="shared" si="101"/>
        <v>4166.666666666667</v>
      </c>
      <c r="AQ88" s="317">
        <f t="shared" si="101"/>
        <v>4166.666666666667</v>
      </c>
      <c r="AR88" s="317">
        <f t="shared" si="101"/>
        <v>4166.666666666667</v>
      </c>
      <c r="AS88" s="317">
        <f t="shared" si="101"/>
        <v>4166.666666666667</v>
      </c>
      <c r="AT88" s="317">
        <f t="shared" si="101"/>
        <v>4166.666666666667</v>
      </c>
    </row>
    <row r="89" spans="1:46" ht="15.75" hidden="1" customHeight="1" outlineLevel="1" x14ac:dyDescent="0.25">
      <c r="A89" s="310">
        <v>1</v>
      </c>
      <c r="B89" s="311"/>
      <c r="C89" s="311"/>
      <c r="D89" s="311" t="s">
        <v>553</v>
      </c>
      <c r="E89" s="311" t="s">
        <v>554</v>
      </c>
      <c r="F89" s="311" t="s">
        <v>213</v>
      </c>
      <c r="G89" s="312">
        <v>150000</v>
      </c>
      <c r="H89" s="312">
        <f t="shared" si="1"/>
        <v>12500</v>
      </c>
      <c r="I89" s="314">
        <v>46388</v>
      </c>
      <c r="J89" s="310"/>
      <c r="K89" s="316"/>
      <c r="L89" s="317"/>
      <c r="M89" s="317"/>
      <c r="N89" s="317"/>
      <c r="O89" s="317"/>
      <c r="P89" s="317"/>
      <c r="Q89" s="317">
        <f t="shared" ref="Q89:AT89" si="102">IF(Q$2&gt;=$I89,$H89,0)</f>
        <v>0</v>
      </c>
      <c r="R89" s="317">
        <f t="shared" si="102"/>
        <v>0</v>
      </c>
      <c r="S89" s="317">
        <f t="shared" si="102"/>
        <v>0</v>
      </c>
      <c r="T89" s="317">
        <f t="shared" si="102"/>
        <v>0</v>
      </c>
      <c r="U89" s="317">
        <f t="shared" si="102"/>
        <v>0</v>
      </c>
      <c r="V89" s="317">
        <f t="shared" si="102"/>
        <v>0</v>
      </c>
      <c r="W89" s="316">
        <f t="shared" si="102"/>
        <v>0</v>
      </c>
      <c r="X89" s="317">
        <f t="shared" si="102"/>
        <v>0</v>
      </c>
      <c r="Y89" s="317">
        <f t="shared" si="102"/>
        <v>0</v>
      </c>
      <c r="Z89" s="317">
        <f t="shared" si="102"/>
        <v>0</v>
      </c>
      <c r="AA89" s="317">
        <f t="shared" si="102"/>
        <v>0</v>
      </c>
      <c r="AB89" s="317">
        <f t="shared" si="102"/>
        <v>0</v>
      </c>
      <c r="AC89" s="317">
        <f t="shared" si="102"/>
        <v>0</v>
      </c>
      <c r="AD89" s="317">
        <f t="shared" si="102"/>
        <v>0</v>
      </c>
      <c r="AE89" s="317">
        <f t="shared" si="102"/>
        <v>0</v>
      </c>
      <c r="AF89" s="317">
        <f t="shared" si="102"/>
        <v>0</v>
      </c>
      <c r="AG89" s="317">
        <f t="shared" si="102"/>
        <v>0</v>
      </c>
      <c r="AH89" s="317">
        <f t="shared" si="102"/>
        <v>0</v>
      </c>
      <c r="AI89" s="316">
        <f t="shared" si="102"/>
        <v>12500</v>
      </c>
      <c r="AJ89" s="317">
        <f t="shared" si="102"/>
        <v>12500</v>
      </c>
      <c r="AK89" s="317">
        <f t="shared" si="102"/>
        <v>12500</v>
      </c>
      <c r="AL89" s="317">
        <f t="shared" si="102"/>
        <v>12500</v>
      </c>
      <c r="AM89" s="317">
        <f t="shared" si="102"/>
        <v>12500</v>
      </c>
      <c r="AN89" s="317">
        <f t="shared" si="102"/>
        <v>12500</v>
      </c>
      <c r="AO89" s="317">
        <f t="shared" si="102"/>
        <v>12500</v>
      </c>
      <c r="AP89" s="317">
        <f t="shared" si="102"/>
        <v>12500</v>
      </c>
      <c r="AQ89" s="317">
        <f t="shared" si="102"/>
        <v>12500</v>
      </c>
      <c r="AR89" s="317">
        <f t="shared" si="102"/>
        <v>12500</v>
      </c>
      <c r="AS89" s="317">
        <f t="shared" si="102"/>
        <v>12500</v>
      </c>
      <c r="AT89" s="317">
        <f t="shared" si="102"/>
        <v>12500</v>
      </c>
    </row>
    <row r="90" spans="1:46" ht="15.75" hidden="1" customHeight="1" outlineLevel="1" x14ac:dyDescent="0.25">
      <c r="A90" s="310">
        <v>2</v>
      </c>
      <c r="B90" s="311"/>
      <c r="C90" s="311"/>
      <c r="D90" s="311" t="s">
        <v>555</v>
      </c>
      <c r="E90" s="311" t="s">
        <v>554</v>
      </c>
      <c r="F90" s="311" t="s">
        <v>213</v>
      </c>
      <c r="G90" s="312">
        <v>150000</v>
      </c>
      <c r="H90" s="312">
        <f t="shared" si="1"/>
        <v>12500</v>
      </c>
      <c r="I90" s="314">
        <v>46388</v>
      </c>
      <c r="J90" s="310"/>
      <c r="K90" s="316"/>
      <c r="L90" s="317"/>
      <c r="M90" s="317"/>
      <c r="N90" s="317"/>
      <c r="O90" s="317"/>
      <c r="P90" s="317"/>
      <c r="Q90" s="317">
        <f t="shared" ref="Q90:AT90" si="103">IF(Q$2&gt;=$I90,$H90,0)</f>
        <v>0</v>
      </c>
      <c r="R90" s="317">
        <f t="shared" si="103"/>
        <v>0</v>
      </c>
      <c r="S90" s="317">
        <f t="shared" si="103"/>
        <v>0</v>
      </c>
      <c r="T90" s="317">
        <f t="shared" si="103"/>
        <v>0</v>
      </c>
      <c r="U90" s="317">
        <f t="shared" si="103"/>
        <v>0</v>
      </c>
      <c r="V90" s="317">
        <f t="shared" si="103"/>
        <v>0</v>
      </c>
      <c r="W90" s="316">
        <f t="shared" si="103"/>
        <v>0</v>
      </c>
      <c r="X90" s="317">
        <f t="shared" si="103"/>
        <v>0</v>
      </c>
      <c r="Y90" s="317">
        <f t="shared" si="103"/>
        <v>0</v>
      </c>
      <c r="Z90" s="317">
        <f t="shared" si="103"/>
        <v>0</v>
      </c>
      <c r="AA90" s="317">
        <f t="shared" si="103"/>
        <v>0</v>
      </c>
      <c r="AB90" s="317">
        <f t="shared" si="103"/>
        <v>0</v>
      </c>
      <c r="AC90" s="317">
        <f t="shared" si="103"/>
        <v>0</v>
      </c>
      <c r="AD90" s="317">
        <f t="shared" si="103"/>
        <v>0</v>
      </c>
      <c r="AE90" s="317">
        <f t="shared" si="103"/>
        <v>0</v>
      </c>
      <c r="AF90" s="317">
        <f t="shared" si="103"/>
        <v>0</v>
      </c>
      <c r="AG90" s="317">
        <f t="shared" si="103"/>
        <v>0</v>
      </c>
      <c r="AH90" s="317">
        <f t="shared" si="103"/>
        <v>0</v>
      </c>
      <c r="AI90" s="316">
        <f t="shared" si="103"/>
        <v>12500</v>
      </c>
      <c r="AJ90" s="317">
        <f t="shared" si="103"/>
        <v>12500</v>
      </c>
      <c r="AK90" s="317">
        <f t="shared" si="103"/>
        <v>12500</v>
      </c>
      <c r="AL90" s="317">
        <f t="shared" si="103"/>
        <v>12500</v>
      </c>
      <c r="AM90" s="317">
        <f t="shared" si="103"/>
        <v>12500</v>
      </c>
      <c r="AN90" s="317">
        <f t="shared" si="103"/>
        <v>12500</v>
      </c>
      <c r="AO90" s="317">
        <f t="shared" si="103"/>
        <v>12500</v>
      </c>
      <c r="AP90" s="317">
        <f t="shared" si="103"/>
        <v>12500</v>
      </c>
      <c r="AQ90" s="317">
        <f t="shared" si="103"/>
        <v>12500</v>
      </c>
      <c r="AR90" s="317">
        <f t="shared" si="103"/>
        <v>12500</v>
      </c>
      <c r="AS90" s="317">
        <f t="shared" si="103"/>
        <v>12500</v>
      </c>
      <c r="AT90" s="317">
        <f t="shared" si="103"/>
        <v>12500</v>
      </c>
    </row>
    <row r="91" spans="1:46" ht="15.75" hidden="1" customHeight="1" outlineLevel="1" x14ac:dyDescent="0.25">
      <c r="A91" s="310">
        <v>3</v>
      </c>
      <c r="B91" s="311"/>
      <c r="C91" s="311"/>
      <c r="D91" s="311" t="s">
        <v>556</v>
      </c>
      <c r="E91" s="311" t="s">
        <v>554</v>
      </c>
      <c r="F91" s="311" t="s">
        <v>213</v>
      </c>
      <c r="G91" s="312">
        <v>75000</v>
      </c>
      <c r="H91" s="312">
        <f t="shared" si="1"/>
        <v>6250</v>
      </c>
      <c r="I91" s="314">
        <v>46082</v>
      </c>
      <c r="J91" s="310"/>
      <c r="K91" s="316"/>
      <c r="L91" s="317"/>
      <c r="M91" s="317"/>
      <c r="N91" s="317"/>
      <c r="O91" s="317"/>
      <c r="P91" s="317"/>
      <c r="Q91" s="317">
        <f t="shared" ref="Q91:AT91" si="104">IF(Q$2&gt;=$I91,$H91,0)</f>
        <v>0</v>
      </c>
      <c r="R91" s="317">
        <f t="shared" si="104"/>
        <v>0</v>
      </c>
      <c r="S91" s="317">
        <f t="shared" si="104"/>
        <v>0</v>
      </c>
      <c r="T91" s="317">
        <f t="shared" si="104"/>
        <v>0</v>
      </c>
      <c r="U91" s="317">
        <f t="shared" si="104"/>
        <v>0</v>
      </c>
      <c r="V91" s="317">
        <f t="shared" si="104"/>
        <v>0</v>
      </c>
      <c r="W91" s="316">
        <f t="shared" si="104"/>
        <v>0</v>
      </c>
      <c r="X91" s="317">
        <f t="shared" si="104"/>
        <v>0</v>
      </c>
      <c r="Y91" s="317">
        <f t="shared" si="104"/>
        <v>6250</v>
      </c>
      <c r="Z91" s="317">
        <f t="shared" si="104"/>
        <v>6250</v>
      </c>
      <c r="AA91" s="317">
        <f t="shared" si="104"/>
        <v>6250</v>
      </c>
      <c r="AB91" s="317">
        <f t="shared" si="104"/>
        <v>6250</v>
      </c>
      <c r="AC91" s="317">
        <f t="shared" si="104"/>
        <v>6250</v>
      </c>
      <c r="AD91" s="317">
        <f t="shared" si="104"/>
        <v>6250</v>
      </c>
      <c r="AE91" s="317">
        <f t="shared" si="104"/>
        <v>6250</v>
      </c>
      <c r="AF91" s="317">
        <f t="shared" si="104"/>
        <v>6250</v>
      </c>
      <c r="AG91" s="317">
        <f t="shared" si="104"/>
        <v>6250</v>
      </c>
      <c r="AH91" s="317">
        <f t="shared" si="104"/>
        <v>6250</v>
      </c>
      <c r="AI91" s="316">
        <f t="shared" si="104"/>
        <v>6250</v>
      </c>
      <c r="AJ91" s="317">
        <f t="shared" si="104"/>
        <v>6250</v>
      </c>
      <c r="AK91" s="317">
        <f t="shared" si="104"/>
        <v>6250</v>
      </c>
      <c r="AL91" s="317">
        <f t="shared" si="104"/>
        <v>6250</v>
      </c>
      <c r="AM91" s="317">
        <f t="shared" si="104"/>
        <v>6250</v>
      </c>
      <c r="AN91" s="317">
        <f t="shared" si="104"/>
        <v>6250</v>
      </c>
      <c r="AO91" s="317">
        <f t="shared" si="104"/>
        <v>6250</v>
      </c>
      <c r="AP91" s="317">
        <f t="shared" si="104"/>
        <v>6250</v>
      </c>
      <c r="AQ91" s="317">
        <f t="shared" si="104"/>
        <v>6250</v>
      </c>
      <c r="AR91" s="317">
        <f t="shared" si="104"/>
        <v>6250</v>
      </c>
      <c r="AS91" s="317">
        <f t="shared" si="104"/>
        <v>6250</v>
      </c>
      <c r="AT91" s="317">
        <f t="shared" si="104"/>
        <v>6250</v>
      </c>
    </row>
    <row r="92" spans="1:46" ht="15.75" hidden="1" customHeight="1" outlineLevel="1" x14ac:dyDescent="0.25">
      <c r="A92" s="310">
        <v>4</v>
      </c>
      <c r="B92" s="311"/>
      <c r="C92" s="311"/>
      <c r="D92" s="311" t="s">
        <v>556</v>
      </c>
      <c r="E92" s="311" t="s">
        <v>554</v>
      </c>
      <c r="F92" s="311" t="s">
        <v>213</v>
      </c>
      <c r="G92" s="312">
        <v>75000</v>
      </c>
      <c r="H92" s="312">
        <f t="shared" si="1"/>
        <v>6250</v>
      </c>
      <c r="I92" s="314">
        <v>46539</v>
      </c>
      <c r="J92" s="310"/>
      <c r="K92" s="316"/>
      <c r="L92" s="317"/>
      <c r="M92" s="317"/>
      <c r="N92" s="317"/>
      <c r="O92" s="317"/>
      <c r="P92" s="317"/>
      <c r="Q92" s="317">
        <f t="shared" ref="Q92:AT92" si="105">IF(Q$2&gt;=$I92,$H92,0)</f>
        <v>0</v>
      </c>
      <c r="R92" s="317">
        <f t="shared" si="105"/>
        <v>0</v>
      </c>
      <c r="S92" s="317">
        <f t="shared" si="105"/>
        <v>0</v>
      </c>
      <c r="T92" s="317">
        <f t="shared" si="105"/>
        <v>0</v>
      </c>
      <c r="U92" s="317">
        <f t="shared" si="105"/>
        <v>0</v>
      </c>
      <c r="V92" s="317">
        <f t="shared" si="105"/>
        <v>0</v>
      </c>
      <c r="W92" s="316">
        <f t="shared" si="105"/>
        <v>0</v>
      </c>
      <c r="X92" s="317">
        <f t="shared" si="105"/>
        <v>0</v>
      </c>
      <c r="Y92" s="317">
        <f t="shared" si="105"/>
        <v>0</v>
      </c>
      <c r="Z92" s="317">
        <f t="shared" si="105"/>
        <v>0</v>
      </c>
      <c r="AA92" s="317">
        <f t="shared" si="105"/>
        <v>0</v>
      </c>
      <c r="AB92" s="317">
        <f t="shared" si="105"/>
        <v>0</v>
      </c>
      <c r="AC92" s="317">
        <f t="shared" si="105"/>
        <v>0</v>
      </c>
      <c r="AD92" s="317">
        <f t="shared" si="105"/>
        <v>0</v>
      </c>
      <c r="AE92" s="317">
        <f t="shared" si="105"/>
        <v>0</v>
      </c>
      <c r="AF92" s="317">
        <f t="shared" si="105"/>
        <v>0</v>
      </c>
      <c r="AG92" s="317">
        <f t="shared" si="105"/>
        <v>0</v>
      </c>
      <c r="AH92" s="317">
        <f t="shared" si="105"/>
        <v>0</v>
      </c>
      <c r="AI92" s="316">
        <f t="shared" si="105"/>
        <v>0</v>
      </c>
      <c r="AJ92" s="317">
        <f t="shared" si="105"/>
        <v>0</v>
      </c>
      <c r="AK92" s="317">
        <f t="shared" si="105"/>
        <v>0</v>
      </c>
      <c r="AL92" s="317">
        <f t="shared" si="105"/>
        <v>0</v>
      </c>
      <c r="AM92" s="317">
        <f t="shared" si="105"/>
        <v>0</v>
      </c>
      <c r="AN92" s="317">
        <f t="shared" si="105"/>
        <v>6250</v>
      </c>
      <c r="AO92" s="317">
        <f t="shared" si="105"/>
        <v>6250</v>
      </c>
      <c r="AP92" s="317">
        <f t="shared" si="105"/>
        <v>6250</v>
      </c>
      <c r="AQ92" s="317">
        <f t="shared" si="105"/>
        <v>6250</v>
      </c>
      <c r="AR92" s="317">
        <f t="shared" si="105"/>
        <v>6250</v>
      </c>
      <c r="AS92" s="317">
        <f t="shared" si="105"/>
        <v>6250</v>
      </c>
      <c r="AT92" s="317">
        <f t="shared" si="105"/>
        <v>6250</v>
      </c>
    </row>
    <row r="93" spans="1:46" ht="15.75" hidden="1" customHeight="1" outlineLevel="1" x14ac:dyDescent="0.25">
      <c r="A93" s="310">
        <v>5</v>
      </c>
      <c r="B93" s="311"/>
      <c r="C93" s="311"/>
      <c r="D93" s="311" t="s">
        <v>557</v>
      </c>
      <c r="E93" s="311" t="s">
        <v>554</v>
      </c>
      <c r="F93" s="311" t="s">
        <v>213</v>
      </c>
      <c r="G93" s="312">
        <v>50000</v>
      </c>
      <c r="H93" s="312">
        <f t="shared" si="1"/>
        <v>4166.666666666667</v>
      </c>
      <c r="I93" s="314">
        <v>46539</v>
      </c>
      <c r="J93" s="310"/>
      <c r="K93" s="316"/>
      <c r="L93" s="317"/>
      <c r="M93" s="317"/>
      <c r="N93" s="317"/>
      <c r="O93" s="317"/>
      <c r="P93" s="317"/>
      <c r="Q93" s="317">
        <f t="shared" ref="Q93:AT93" si="106">IF(Q$2&gt;=$I93,$H93,0)</f>
        <v>0</v>
      </c>
      <c r="R93" s="317">
        <f t="shared" si="106"/>
        <v>0</v>
      </c>
      <c r="S93" s="317">
        <f t="shared" si="106"/>
        <v>0</v>
      </c>
      <c r="T93" s="317">
        <f t="shared" si="106"/>
        <v>0</v>
      </c>
      <c r="U93" s="317">
        <f t="shared" si="106"/>
        <v>0</v>
      </c>
      <c r="V93" s="317">
        <f t="shared" si="106"/>
        <v>0</v>
      </c>
      <c r="W93" s="316">
        <f t="shared" si="106"/>
        <v>0</v>
      </c>
      <c r="X93" s="317">
        <f t="shared" si="106"/>
        <v>0</v>
      </c>
      <c r="Y93" s="317">
        <f t="shared" si="106"/>
        <v>0</v>
      </c>
      <c r="Z93" s="317">
        <f t="shared" si="106"/>
        <v>0</v>
      </c>
      <c r="AA93" s="317">
        <f t="shared" si="106"/>
        <v>0</v>
      </c>
      <c r="AB93" s="317">
        <f t="shared" si="106"/>
        <v>0</v>
      </c>
      <c r="AC93" s="317">
        <f t="shared" si="106"/>
        <v>0</v>
      </c>
      <c r="AD93" s="317">
        <f t="shared" si="106"/>
        <v>0</v>
      </c>
      <c r="AE93" s="317">
        <f t="shared" si="106"/>
        <v>0</v>
      </c>
      <c r="AF93" s="317">
        <f t="shared" si="106"/>
        <v>0</v>
      </c>
      <c r="AG93" s="317">
        <f t="shared" si="106"/>
        <v>0</v>
      </c>
      <c r="AH93" s="317">
        <f t="shared" si="106"/>
        <v>0</v>
      </c>
      <c r="AI93" s="316">
        <f t="shared" si="106"/>
        <v>0</v>
      </c>
      <c r="AJ93" s="317">
        <f t="shared" si="106"/>
        <v>0</v>
      </c>
      <c r="AK93" s="317">
        <f t="shared" si="106"/>
        <v>0</v>
      </c>
      <c r="AL93" s="317">
        <f t="shared" si="106"/>
        <v>0</v>
      </c>
      <c r="AM93" s="317">
        <f t="shared" si="106"/>
        <v>0</v>
      </c>
      <c r="AN93" s="317">
        <f t="shared" si="106"/>
        <v>4166.666666666667</v>
      </c>
      <c r="AO93" s="317">
        <f t="shared" si="106"/>
        <v>4166.666666666667</v>
      </c>
      <c r="AP93" s="317">
        <f t="shared" si="106"/>
        <v>4166.666666666667</v>
      </c>
      <c r="AQ93" s="317">
        <f t="shared" si="106"/>
        <v>4166.666666666667</v>
      </c>
      <c r="AR93" s="317">
        <f t="shared" si="106"/>
        <v>4166.666666666667</v>
      </c>
      <c r="AS93" s="317">
        <f t="shared" si="106"/>
        <v>4166.666666666667</v>
      </c>
      <c r="AT93" s="317">
        <f t="shared" si="106"/>
        <v>4166.666666666667</v>
      </c>
    </row>
    <row r="94" spans="1:46" ht="15.75" hidden="1" customHeight="1" outlineLevel="1" x14ac:dyDescent="0.25">
      <c r="A94" s="310"/>
      <c r="B94" s="311"/>
      <c r="C94" s="311"/>
      <c r="D94" s="311"/>
      <c r="E94" s="311"/>
      <c r="F94" s="311"/>
      <c r="G94" s="312"/>
      <c r="H94" s="312"/>
      <c r="I94" s="314"/>
      <c r="J94" s="310"/>
      <c r="K94" s="316"/>
      <c r="L94" s="317"/>
      <c r="M94" s="317"/>
      <c r="N94" s="317"/>
      <c r="O94" s="317"/>
      <c r="P94" s="317"/>
      <c r="Q94" s="317">
        <f t="shared" ref="Q94:AT94" si="107">IF(Q$2&gt;=$I94,$H94,0)</f>
        <v>0</v>
      </c>
      <c r="R94" s="317">
        <f t="shared" si="107"/>
        <v>0</v>
      </c>
      <c r="S94" s="317">
        <f t="shared" si="107"/>
        <v>0</v>
      </c>
      <c r="T94" s="317">
        <f t="shared" si="107"/>
        <v>0</v>
      </c>
      <c r="U94" s="317">
        <f t="shared" si="107"/>
        <v>0</v>
      </c>
      <c r="V94" s="317">
        <f t="shared" si="107"/>
        <v>0</v>
      </c>
      <c r="W94" s="316">
        <f t="shared" si="107"/>
        <v>0</v>
      </c>
      <c r="X94" s="317">
        <f t="shared" si="107"/>
        <v>0</v>
      </c>
      <c r="Y94" s="317">
        <f t="shared" si="107"/>
        <v>0</v>
      </c>
      <c r="Z94" s="317">
        <f t="shared" si="107"/>
        <v>0</v>
      </c>
      <c r="AA94" s="317">
        <f t="shared" si="107"/>
        <v>0</v>
      </c>
      <c r="AB94" s="317">
        <f t="shared" si="107"/>
        <v>0</v>
      </c>
      <c r="AC94" s="317">
        <f t="shared" si="107"/>
        <v>0</v>
      </c>
      <c r="AD94" s="317">
        <f t="shared" si="107"/>
        <v>0</v>
      </c>
      <c r="AE94" s="317">
        <f t="shared" si="107"/>
        <v>0</v>
      </c>
      <c r="AF94" s="317">
        <f t="shared" si="107"/>
        <v>0</v>
      </c>
      <c r="AG94" s="317">
        <f t="shared" si="107"/>
        <v>0</v>
      </c>
      <c r="AH94" s="317">
        <f t="shared" si="107"/>
        <v>0</v>
      </c>
      <c r="AI94" s="316">
        <f t="shared" si="107"/>
        <v>0</v>
      </c>
      <c r="AJ94" s="317">
        <f t="shared" si="107"/>
        <v>0</v>
      </c>
      <c r="AK94" s="317">
        <f t="shared" si="107"/>
        <v>0</v>
      </c>
      <c r="AL94" s="317">
        <f t="shared" si="107"/>
        <v>0</v>
      </c>
      <c r="AM94" s="317">
        <f t="shared" si="107"/>
        <v>0</v>
      </c>
      <c r="AN94" s="317">
        <f t="shared" si="107"/>
        <v>0</v>
      </c>
      <c r="AO94" s="317">
        <f t="shared" si="107"/>
        <v>0</v>
      </c>
      <c r="AP94" s="317">
        <f t="shared" si="107"/>
        <v>0</v>
      </c>
      <c r="AQ94" s="317">
        <f t="shared" si="107"/>
        <v>0</v>
      </c>
      <c r="AR94" s="317">
        <f t="shared" si="107"/>
        <v>0</v>
      </c>
      <c r="AS94" s="317">
        <f t="shared" si="107"/>
        <v>0</v>
      </c>
      <c r="AT94" s="317">
        <f t="shared" si="107"/>
        <v>0</v>
      </c>
    </row>
    <row r="95" spans="1:46" ht="15.75" hidden="1" customHeight="1" outlineLevel="1" x14ac:dyDescent="0.25">
      <c r="A95" s="310"/>
      <c r="B95" s="311"/>
      <c r="C95" s="311"/>
      <c r="D95" s="311"/>
      <c r="E95" s="311"/>
      <c r="F95" s="311"/>
      <c r="G95" s="312"/>
      <c r="H95" s="312"/>
      <c r="I95" s="314"/>
      <c r="J95" s="310"/>
      <c r="K95" s="316"/>
      <c r="L95" s="317"/>
      <c r="M95" s="317"/>
      <c r="N95" s="317"/>
      <c r="O95" s="317"/>
      <c r="P95" s="317"/>
      <c r="Q95" s="317">
        <f t="shared" ref="Q95:AT95" si="108">IF(Q$2&gt;=$I95,$H95,0)</f>
        <v>0</v>
      </c>
      <c r="R95" s="317">
        <f t="shared" si="108"/>
        <v>0</v>
      </c>
      <c r="S95" s="317">
        <f t="shared" si="108"/>
        <v>0</v>
      </c>
      <c r="T95" s="317">
        <f t="shared" si="108"/>
        <v>0</v>
      </c>
      <c r="U95" s="317">
        <f t="shared" si="108"/>
        <v>0</v>
      </c>
      <c r="V95" s="317">
        <f t="shared" si="108"/>
        <v>0</v>
      </c>
      <c r="W95" s="316">
        <f t="shared" si="108"/>
        <v>0</v>
      </c>
      <c r="X95" s="317">
        <f t="shared" si="108"/>
        <v>0</v>
      </c>
      <c r="Y95" s="317">
        <f t="shared" si="108"/>
        <v>0</v>
      </c>
      <c r="Z95" s="317">
        <f t="shared" si="108"/>
        <v>0</v>
      </c>
      <c r="AA95" s="317">
        <f t="shared" si="108"/>
        <v>0</v>
      </c>
      <c r="AB95" s="317">
        <f t="shared" si="108"/>
        <v>0</v>
      </c>
      <c r="AC95" s="317">
        <f t="shared" si="108"/>
        <v>0</v>
      </c>
      <c r="AD95" s="317">
        <f t="shared" si="108"/>
        <v>0</v>
      </c>
      <c r="AE95" s="317">
        <f t="shared" si="108"/>
        <v>0</v>
      </c>
      <c r="AF95" s="317">
        <f t="shared" si="108"/>
        <v>0</v>
      </c>
      <c r="AG95" s="317">
        <f t="shared" si="108"/>
        <v>0</v>
      </c>
      <c r="AH95" s="317">
        <f t="shared" si="108"/>
        <v>0</v>
      </c>
      <c r="AI95" s="316">
        <f t="shared" si="108"/>
        <v>0</v>
      </c>
      <c r="AJ95" s="317">
        <f t="shared" si="108"/>
        <v>0</v>
      </c>
      <c r="AK95" s="317">
        <f t="shared" si="108"/>
        <v>0</v>
      </c>
      <c r="AL95" s="317">
        <f t="shared" si="108"/>
        <v>0</v>
      </c>
      <c r="AM95" s="317">
        <f t="shared" si="108"/>
        <v>0</v>
      </c>
      <c r="AN95" s="317">
        <f t="shared" si="108"/>
        <v>0</v>
      </c>
      <c r="AO95" s="317">
        <f t="shared" si="108"/>
        <v>0</v>
      </c>
      <c r="AP95" s="317">
        <f t="shared" si="108"/>
        <v>0</v>
      </c>
      <c r="AQ95" s="317">
        <f t="shared" si="108"/>
        <v>0</v>
      </c>
      <c r="AR95" s="317">
        <f t="shared" si="108"/>
        <v>0</v>
      </c>
      <c r="AS95" s="317">
        <f t="shared" si="108"/>
        <v>0</v>
      </c>
      <c r="AT95" s="317">
        <f t="shared" si="108"/>
        <v>0</v>
      </c>
    </row>
    <row r="96" spans="1:46" ht="15.75" customHeight="1" collapsed="1" x14ac:dyDescent="0.25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</row>
    <row r="97" spans="1:46" ht="14.25" customHeight="1" x14ac:dyDescent="0.25">
      <c r="A97" s="290" t="s">
        <v>558</v>
      </c>
      <c r="B97" s="289"/>
      <c r="C97" s="289"/>
      <c r="D97" s="289"/>
      <c r="E97" s="289"/>
      <c r="F97" s="289"/>
      <c r="G97" s="289"/>
      <c r="H97" s="289"/>
      <c r="I97" s="289"/>
      <c r="J97" s="289"/>
      <c r="K97" s="308"/>
      <c r="L97" s="308"/>
      <c r="M97" s="308"/>
      <c r="N97" s="308"/>
      <c r="O97" s="308"/>
      <c r="P97" s="308"/>
      <c r="Q97" s="308"/>
      <c r="R97" s="308"/>
      <c r="S97" s="308"/>
      <c r="T97" s="308"/>
      <c r="U97" s="308"/>
      <c r="V97" s="308"/>
      <c r="W97" s="294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95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</row>
    <row r="98" spans="1:46" ht="14.25" hidden="1" customHeight="1" outlineLevel="1" x14ac:dyDescent="0.25">
      <c r="A98" s="290"/>
      <c r="B98" s="290" t="s">
        <v>461</v>
      </c>
      <c r="C98" s="290" t="s">
        <v>462</v>
      </c>
      <c r="D98" s="290" t="s">
        <v>463</v>
      </c>
      <c r="E98" s="291" t="s">
        <v>464</v>
      </c>
      <c r="F98" s="291"/>
      <c r="G98" s="323"/>
      <c r="H98" s="292" t="s">
        <v>160</v>
      </c>
      <c r="I98" s="293" t="s">
        <v>466</v>
      </c>
      <c r="J98" s="290"/>
      <c r="K98" s="301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294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95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</row>
    <row r="99" spans="1:46" ht="14.25" hidden="1" customHeight="1" outlineLevel="1" x14ac:dyDescent="0.25">
      <c r="A99" s="324">
        <v>1</v>
      </c>
      <c r="B99" s="325" t="s">
        <v>559</v>
      </c>
      <c r="C99" s="325"/>
      <c r="D99" s="325"/>
      <c r="E99" s="325"/>
      <c r="F99" s="325"/>
      <c r="G99" s="325"/>
      <c r="H99" s="304"/>
      <c r="I99" s="309"/>
      <c r="J99" s="326"/>
      <c r="K99" s="327">
        <f t="shared" ref="K99:AT99" si="109">IF(K$2&gt;=$I99,$H99,0)</f>
        <v>0</v>
      </c>
      <c r="L99" s="328">
        <f t="shared" si="109"/>
        <v>0</v>
      </c>
      <c r="M99" s="328">
        <f t="shared" si="109"/>
        <v>0</v>
      </c>
      <c r="N99" s="328">
        <f t="shared" si="109"/>
        <v>0</v>
      </c>
      <c r="O99" s="328">
        <f t="shared" si="109"/>
        <v>0</v>
      </c>
      <c r="P99" s="328">
        <f t="shared" si="109"/>
        <v>0</v>
      </c>
      <c r="Q99" s="328">
        <f t="shared" si="109"/>
        <v>0</v>
      </c>
      <c r="R99" s="328">
        <f t="shared" si="109"/>
        <v>0</v>
      </c>
      <c r="S99" s="328">
        <f t="shared" si="109"/>
        <v>0</v>
      </c>
      <c r="T99" s="328">
        <f t="shared" si="109"/>
        <v>0</v>
      </c>
      <c r="U99" s="328">
        <f t="shared" si="109"/>
        <v>0</v>
      </c>
      <c r="V99" s="328">
        <f t="shared" si="109"/>
        <v>0</v>
      </c>
      <c r="W99" s="327">
        <f t="shared" si="109"/>
        <v>0</v>
      </c>
      <c r="X99" s="328">
        <f t="shared" si="109"/>
        <v>0</v>
      </c>
      <c r="Y99" s="328">
        <f t="shared" si="109"/>
        <v>0</v>
      </c>
      <c r="Z99" s="328">
        <f t="shared" si="109"/>
        <v>0</v>
      </c>
      <c r="AA99" s="328">
        <f t="shared" si="109"/>
        <v>0</v>
      </c>
      <c r="AB99" s="328">
        <f t="shared" si="109"/>
        <v>0</v>
      </c>
      <c r="AC99" s="328">
        <f t="shared" si="109"/>
        <v>0</v>
      </c>
      <c r="AD99" s="328">
        <f t="shared" si="109"/>
        <v>0</v>
      </c>
      <c r="AE99" s="328">
        <f t="shared" si="109"/>
        <v>0</v>
      </c>
      <c r="AF99" s="328">
        <f t="shared" si="109"/>
        <v>0</v>
      </c>
      <c r="AG99" s="328">
        <f t="shared" si="109"/>
        <v>0</v>
      </c>
      <c r="AH99" s="328">
        <f t="shared" si="109"/>
        <v>0</v>
      </c>
      <c r="AI99" s="327">
        <f t="shared" si="109"/>
        <v>0</v>
      </c>
      <c r="AJ99" s="328">
        <f t="shared" si="109"/>
        <v>0</v>
      </c>
      <c r="AK99" s="328">
        <f t="shared" si="109"/>
        <v>0</v>
      </c>
      <c r="AL99" s="328">
        <f t="shared" si="109"/>
        <v>0</v>
      </c>
      <c r="AM99" s="328">
        <f t="shared" si="109"/>
        <v>0</v>
      </c>
      <c r="AN99" s="328">
        <f t="shared" si="109"/>
        <v>0</v>
      </c>
      <c r="AO99" s="328">
        <f t="shared" si="109"/>
        <v>0</v>
      </c>
      <c r="AP99" s="328">
        <f t="shared" si="109"/>
        <v>0</v>
      </c>
      <c r="AQ99" s="328">
        <f t="shared" si="109"/>
        <v>0</v>
      </c>
      <c r="AR99" s="328">
        <f t="shared" si="109"/>
        <v>0</v>
      </c>
      <c r="AS99" s="328">
        <f t="shared" si="109"/>
        <v>0</v>
      </c>
      <c r="AT99" s="328">
        <f t="shared" si="109"/>
        <v>0</v>
      </c>
    </row>
    <row r="100" spans="1:46" ht="14.25" hidden="1" customHeight="1" outlineLevel="1" x14ac:dyDescent="0.25">
      <c r="A100" s="324">
        <v>2</v>
      </c>
      <c r="B100" s="325" t="s">
        <v>560</v>
      </c>
      <c r="C100" s="325"/>
      <c r="D100" s="325"/>
      <c r="E100" s="325"/>
      <c r="F100" s="325"/>
      <c r="G100" s="325"/>
      <c r="H100" s="304"/>
      <c r="I100" s="309"/>
      <c r="J100" s="326"/>
      <c r="K100" s="327">
        <f t="shared" ref="K100:AT100" si="110">IF(K$2&gt;=$I100,$H100,0)</f>
        <v>0</v>
      </c>
      <c r="L100" s="328">
        <f t="shared" si="110"/>
        <v>0</v>
      </c>
      <c r="M100" s="328">
        <f t="shared" si="110"/>
        <v>0</v>
      </c>
      <c r="N100" s="328">
        <f t="shared" si="110"/>
        <v>0</v>
      </c>
      <c r="O100" s="328">
        <f t="shared" si="110"/>
        <v>0</v>
      </c>
      <c r="P100" s="328">
        <f t="shared" si="110"/>
        <v>0</v>
      </c>
      <c r="Q100" s="328">
        <f t="shared" si="110"/>
        <v>0</v>
      </c>
      <c r="R100" s="328">
        <f t="shared" si="110"/>
        <v>0</v>
      </c>
      <c r="S100" s="328">
        <f t="shared" si="110"/>
        <v>0</v>
      </c>
      <c r="T100" s="328">
        <f t="shared" si="110"/>
        <v>0</v>
      </c>
      <c r="U100" s="328">
        <f t="shared" si="110"/>
        <v>0</v>
      </c>
      <c r="V100" s="328">
        <f t="shared" si="110"/>
        <v>0</v>
      </c>
      <c r="W100" s="327">
        <f t="shared" si="110"/>
        <v>0</v>
      </c>
      <c r="X100" s="328">
        <f t="shared" si="110"/>
        <v>0</v>
      </c>
      <c r="Y100" s="328">
        <f t="shared" si="110"/>
        <v>0</v>
      </c>
      <c r="Z100" s="328">
        <f t="shared" si="110"/>
        <v>0</v>
      </c>
      <c r="AA100" s="328">
        <f t="shared" si="110"/>
        <v>0</v>
      </c>
      <c r="AB100" s="328">
        <f t="shared" si="110"/>
        <v>0</v>
      </c>
      <c r="AC100" s="328">
        <f t="shared" si="110"/>
        <v>0</v>
      </c>
      <c r="AD100" s="328">
        <f t="shared" si="110"/>
        <v>0</v>
      </c>
      <c r="AE100" s="328">
        <f t="shared" si="110"/>
        <v>0</v>
      </c>
      <c r="AF100" s="328">
        <f t="shared" si="110"/>
        <v>0</v>
      </c>
      <c r="AG100" s="328">
        <f t="shared" si="110"/>
        <v>0</v>
      </c>
      <c r="AH100" s="328">
        <f t="shared" si="110"/>
        <v>0</v>
      </c>
      <c r="AI100" s="327">
        <f t="shared" si="110"/>
        <v>0</v>
      </c>
      <c r="AJ100" s="328">
        <f t="shared" si="110"/>
        <v>0</v>
      </c>
      <c r="AK100" s="328">
        <f t="shared" si="110"/>
        <v>0</v>
      </c>
      <c r="AL100" s="328">
        <f t="shared" si="110"/>
        <v>0</v>
      </c>
      <c r="AM100" s="328">
        <f t="shared" si="110"/>
        <v>0</v>
      </c>
      <c r="AN100" s="328">
        <f t="shared" si="110"/>
        <v>0</v>
      </c>
      <c r="AO100" s="328">
        <f t="shared" si="110"/>
        <v>0</v>
      </c>
      <c r="AP100" s="328">
        <f t="shared" si="110"/>
        <v>0</v>
      </c>
      <c r="AQ100" s="328">
        <f t="shared" si="110"/>
        <v>0</v>
      </c>
      <c r="AR100" s="328">
        <f t="shared" si="110"/>
        <v>0</v>
      </c>
      <c r="AS100" s="328">
        <f t="shared" si="110"/>
        <v>0</v>
      </c>
      <c r="AT100" s="328">
        <f t="shared" si="110"/>
        <v>0</v>
      </c>
    </row>
    <row r="101" spans="1:46" ht="14.25" hidden="1" customHeight="1" outlineLevel="1" x14ac:dyDescent="0.25">
      <c r="A101" s="324">
        <v>3</v>
      </c>
      <c r="B101" s="325" t="s">
        <v>561</v>
      </c>
      <c r="C101" s="325"/>
      <c r="D101" s="325"/>
      <c r="E101" s="325"/>
      <c r="F101" s="325"/>
      <c r="G101" s="325"/>
      <c r="H101" s="304"/>
      <c r="I101" s="309"/>
      <c r="J101" s="326"/>
      <c r="K101" s="327">
        <f t="shared" ref="K101:AT101" si="111">IF(K$2&gt;=$I101,$H101,0)</f>
        <v>0</v>
      </c>
      <c r="L101" s="328">
        <f t="shared" si="111"/>
        <v>0</v>
      </c>
      <c r="M101" s="328">
        <f t="shared" si="111"/>
        <v>0</v>
      </c>
      <c r="N101" s="328">
        <f t="shared" si="111"/>
        <v>0</v>
      </c>
      <c r="O101" s="328">
        <f t="shared" si="111"/>
        <v>0</v>
      </c>
      <c r="P101" s="328">
        <f t="shared" si="111"/>
        <v>0</v>
      </c>
      <c r="Q101" s="328">
        <f t="shared" si="111"/>
        <v>0</v>
      </c>
      <c r="R101" s="328">
        <f t="shared" si="111"/>
        <v>0</v>
      </c>
      <c r="S101" s="328">
        <f t="shared" si="111"/>
        <v>0</v>
      </c>
      <c r="T101" s="328">
        <f t="shared" si="111"/>
        <v>0</v>
      </c>
      <c r="U101" s="328">
        <f t="shared" si="111"/>
        <v>0</v>
      </c>
      <c r="V101" s="328">
        <f t="shared" si="111"/>
        <v>0</v>
      </c>
      <c r="W101" s="327">
        <f t="shared" si="111"/>
        <v>0</v>
      </c>
      <c r="X101" s="328">
        <f t="shared" si="111"/>
        <v>0</v>
      </c>
      <c r="Y101" s="328">
        <f t="shared" si="111"/>
        <v>0</v>
      </c>
      <c r="Z101" s="328">
        <f t="shared" si="111"/>
        <v>0</v>
      </c>
      <c r="AA101" s="328">
        <f t="shared" si="111"/>
        <v>0</v>
      </c>
      <c r="AB101" s="328">
        <f t="shared" si="111"/>
        <v>0</v>
      </c>
      <c r="AC101" s="328">
        <f t="shared" si="111"/>
        <v>0</v>
      </c>
      <c r="AD101" s="328">
        <f t="shared" si="111"/>
        <v>0</v>
      </c>
      <c r="AE101" s="328">
        <f t="shared" si="111"/>
        <v>0</v>
      </c>
      <c r="AF101" s="328">
        <f t="shared" si="111"/>
        <v>0</v>
      </c>
      <c r="AG101" s="328">
        <f t="shared" si="111"/>
        <v>0</v>
      </c>
      <c r="AH101" s="328">
        <f t="shared" si="111"/>
        <v>0</v>
      </c>
      <c r="AI101" s="327">
        <f t="shared" si="111"/>
        <v>0</v>
      </c>
      <c r="AJ101" s="328">
        <f t="shared" si="111"/>
        <v>0</v>
      </c>
      <c r="AK101" s="328">
        <f t="shared" si="111"/>
        <v>0</v>
      </c>
      <c r="AL101" s="328">
        <f t="shared" si="111"/>
        <v>0</v>
      </c>
      <c r="AM101" s="328">
        <f t="shared" si="111"/>
        <v>0</v>
      </c>
      <c r="AN101" s="328">
        <f t="shared" si="111"/>
        <v>0</v>
      </c>
      <c r="AO101" s="328">
        <f t="shared" si="111"/>
        <v>0</v>
      </c>
      <c r="AP101" s="328">
        <f t="shared" si="111"/>
        <v>0</v>
      </c>
      <c r="AQ101" s="328">
        <f t="shared" si="111"/>
        <v>0</v>
      </c>
      <c r="AR101" s="328">
        <f t="shared" si="111"/>
        <v>0</v>
      </c>
      <c r="AS101" s="328">
        <f t="shared" si="111"/>
        <v>0</v>
      </c>
      <c r="AT101" s="328">
        <f t="shared" si="111"/>
        <v>0</v>
      </c>
    </row>
    <row r="102" spans="1:46" ht="14.25" hidden="1" customHeight="1" outlineLevel="1" x14ac:dyDescent="0.25">
      <c r="A102" s="324">
        <v>4</v>
      </c>
      <c r="B102" s="325" t="s">
        <v>562</v>
      </c>
      <c r="C102" s="325"/>
      <c r="D102" s="325"/>
      <c r="E102" s="325"/>
      <c r="F102" s="325"/>
      <c r="G102" s="325"/>
      <c r="H102" s="304"/>
      <c r="I102" s="309"/>
      <c r="J102" s="326"/>
      <c r="K102" s="327">
        <f t="shared" ref="K102:AT102" si="112">IF(K$2&gt;=$I102,$H102,0)</f>
        <v>0</v>
      </c>
      <c r="L102" s="328">
        <f t="shared" si="112"/>
        <v>0</v>
      </c>
      <c r="M102" s="328">
        <f t="shared" si="112"/>
        <v>0</v>
      </c>
      <c r="N102" s="328">
        <f t="shared" si="112"/>
        <v>0</v>
      </c>
      <c r="O102" s="328">
        <f t="shared" si="112"/>
        <v>0</v>
      </c>
      <c r="P102" s="328">
        <f t="shared" si="112"/>
        <v>0</v>
      </c>
      <c r="Q102" s="328">
        <f t="shared" si="112"/>
        <v>0</v>
      </c>
      <c r="R102" s="328">
        <f t="shared" si="112"/>
        <v>0</v>
      </c>
      <c r="S102" s="328">
        <f t="shared" si="112"/>
        <v>0</v>
      </c>
      <c r="T102" s="328">
        <f t="shared" si="112"/>
        <v>0</v>
      </c>
      <c r="U102" s="328">
        <f t="shared" si="112"/>
        <v>0</v>
      </c>
      <c r="V102" s="328">
        <f t="shared" si="112"/>
        <v>0</v>
      </c>
      <c r="W102" s="327">
        <f t="shared" si="112"/>
        <v>0</v>
      </c>
      <c r="X102" s="328">
        <f t="shared" si="112"/>
        <v>0</v>
      </c>
      <c r="Y102" s="328">
        <f t="shared" si="112"/>
        <v>0</v>
      </c>
      <c r="Z102" s="328">
        <f t="shared" si="112"/>
        <v>0</v>
      </c>
      <c r="AA102" s="328">
        <f t="shared" si="112"/>
        <v>0</v>
      </c>
      <c r="AB102" s="328">
        <f t="shared" si="112"/>
        <v>0</v>
      </c>
      <c r="AC102" s="328">
        <f t="shared" si="112"/>
        <v>0</v>
      </c>
      <c r="AD102" s="328">
        <f t="shared" si="112"/>
        <v>0</v>
      </c>
      <c r="AE102" s="328">
        <f t="shared" si="112"/>
        <v>0</v>
      </c>
      <c r="AF102" s="328">
        <f t="shared" si="112"/>
        <v>0</v>
      </c>
      <c r="AG102" s="328">
        <f t="shared" si="112"/>
        <v>0</v>
      </c>
      <c r="AH102" s="328">
        <f t="shared" si="112"/>
        <v>0</v>
      </c>
      <c r="AI102" s="327">
        <f t="shared" si="112"/>
        <v>0</v>
      </c>
      <c r="AJ102" s="328">
        <f t="shared" si="112"/>
        <v>0</v>
      </c>
      <c r="AK102" s="328">
        <f t="shared" si="112"/>
        <v>0</v>
      </c>
      <c r="AL102" s="328">
        <f t="shared" si="112"/>
        <v>0</v>
      </c>
      <c r="AM102" s="328">
        <f t="shared" si="112"/>
        <v>0</v>
      </c>
      <c r="AN102" s="328">
        <f t="shared" si="112"/>
        <v>0</v>
      </c>
      <c r="AO102" s="328">
        <f t="shared" si="112"/>
        <v>0</v>
      </c>
      <c r="AP102" s="328">
        <f t="shared" si="112"/>
        <v>0</v>
      </c>
      <c r="AQ102" s="328">
        <f t="shared" si="112"/>
        <v>0</v>
      </c>
      <c r="AR102" s="328">
        <f t="shared" si="112"/>
        <v>0</v>
      </c>
      <c r="AS102" s="328">
        <f t="shared" si="112"/>
        <v>0</v>
      </c>
      <c r="AT102" s="328">
        <f t="shared" si="112"/>
        <v>0</v>
      </c>
    </row>
    <row r="103" spans="1:46" ht="14.25" hidden="1" customHeight="1" outlineLevel="1" x14ac:dyDescent="0.25">
      <c r="A103" s="324">
        <v>5</v>
      </c>
      <c r="B103" s="325" t="s">
        <v>563</v>
      </c>
      <c r="C103" s="325"/>
      <c r="D103" s="325"/>
      <c r="E103" s="325"/>
      <c r="F103" s="325"/>
      <c r="G103" s="329"/>
      <c r="H103" s="304"/>
      <c r="I103" s="309"/>
      <c r="J103" s="326"/>
      <c r="K103" s="327">
        <f t="shared" ref="K103:AT103" si="113">IF(K$2&gt;=$I103,$H103,0)</f>
        <v>0</v>
      </c>
      <c r="L103" s="328">
        <f t="shared" si="113"/>
        <v>0</v>
      </c>
      <c r="M103" s="328">
        <f t="shared" si="113"/>
        <v>0</v>
      </c>
      <c r="N103" s="328">
        <f t="shared" si="113"/>
        <v>0</v>
      </c>
      <c r="O103" s="328">
        <f t="shared" si="113"/>
        <v>0</v>
      </c>
      <c r="P103" s="328">
        <f t="shared" si="113"/>
        <v>0</v>
      </c>
      <c r="Q103" s="328">
        <f t="shared" si="113"/>
        <v>0</v>
      </c>
      <c r="R103" s="328">
        <f t="shared" si="113"/>
        <v>0</v>
      </c>
      <c r="S103" s="328">
        <f t="shared" si="113"/>
        <v>0</v>
      </c>
      <c r="T103" s="328">
        <f t="shared" si="113"/>
        <v>0</v>
      </c>
      <c r="U103" s="328">
        <f t="shared" si="113"/>
        <v>0</v>
      </c>
      <c r="V103" s="328">
        <f t="shared" si="113"/>
        <v>0</v>
      </c>
      <c r="W103" s="327">
        <f t="shared" si="113"/>
        <v>0</v>
      </c>
      <c r="X103" s="328">
        <f t="shared" si="113"/>
        <v>0</v>
      </c>
      <c r="Y103" s="328">
        <f t="shared" si="113"/>
        <v>0</v>
      </c>
      <c r="Z103" s="328">
        <f t="shared" si="113"/>
        <v>0</v>
      </c>
      <c r="AA103" s="328">
        <f t="shared" si="113"/>
        <v>0</v>
      </c>
      <c r="AB103" s="328">
        <f t="shared" si="113"/>
        <v>0</v>
      </c>
      <c r="AC103" s="328">
        <f t="shared" si="113"/>
        <v>0</v>
      </c>
      <c r="AD103" s="328">
        <f t="shared" si="113"/>
        <v>0</v>
      </c>
      <c r="AE103" s="328">
        <f t="shared" si="113"/>
        <v>0</v>
      </c>
      <c r="AF103" s="328">
        <f t="shared" si="113"/>
        <v>0</v>
      </c>
      <c r="AG103" s="328">
        <f t="shared" si="113"/>
        <v>0</v>
      </c>
      <c r="AH103" s="328">
        <f t="shared" si="113"/>
        <v>0</v>
      </c>
      <c r="AI103" s="327">
        <f t="shared" si="113"/>
        <v>0</v>
      </c>
      <c r="AJ103" s="328">
        <f t="shared" si="113"/>
        <v>0</v>
      </c>
      <c r="AK103" s="328">
        <f t="shared" si="113"/>
        <v>0</v>
      </c>
      <c r="AL103" s="328">
        <f t="shared" si="113"/>
        <v>0</v>
      </c>
      <c r="AM103" s="328">
        <f t="shared" si="113"/>
        <v>0</v>
      </c>
      <c r="AN103" s="328">
        <f t="shared" si="113"/>
        <v>0</v>
      </c>
      <c r="AO103" s="328">
        <f t="shared" si="113"/>
        <v>0</v>
      </c>
      <c r="AP103" s="328">
        <f t="shared" si="113"/>
        <v>0</v>
      </c>
      <c r="AQ103" s="328">
        <f t="shared" si="113"/>
        <v>0</v>
      </c>
      <c r="AR103" s="328">
        <f t="shared" si="113"/>
        <v>0</v>
      </c>
      <c r="AS103" s="328">
        <f t="shared" si="113"/>
        <v>0</v>
      </c>
      <c r="AT103" s="328">
        <f t="shared" si="113"/>
        <v>0</v>
      </c>
    </row>
    <row r="104" spans="1:46" ht="14.25" hidden="1" customHeight="1" outlineLevel="1" x14ac:dyDescent="0.25">
      <c r="A104" s="324">
        <v>6</v>
      </c>
      <c r="B104" s="325" t="s">
        <v>564</v>
      </c>
      <c r="C104" s="325"/>
      <c r="D104" s="325"/>
      <c r="E104" s="325"/>
      <c r="F104" s="325"/>
      <c r="G104" s="329"/>
      <c r="H104" s="304"/>
      <c r="I104" s="309"/>
      <c r="J104" s="326"/>
      <c r="K104" s="327">
        <f t="shared" ref="K104:AT104" si="114">IF(K$2&gt;=$I104,$H104,0)</f>
        <v>0</v>
      </c>
      <c r="L104" s="328">
        <f t="shared" si="114"/>
        <v>0</v>
      </c>
      <c r="M104" s="328">
        <f t="shared" si="114"/>
        <v>0</v>
      </c>
      <c r="N104" s="328">
        <f t="shared" si="114"/>
        <v>0</v>
      </c>
      <c r="O104" s="328">
        <f t="shared" si="114"/>
        <v>0</v>
      </c>
      <c r="P104" s="328">
        <f t="shared" si="114"/>
        <v>0</v>
      </c>
      <c r="Q104" s="328">
        <f t="shared" si="114"/>
        <v>0</v>
      </c>
      <c r="R104" s="328">
        <f t="shared" si="114"/>
        <v>0</v>
      </c>
      <c r="S104" s="328">
        <f t="shared" si="114"/>
        <v>0</v>
      </c>
      <c r="T104" s="328">
        <f t="shared" si="114"/>
        <v>0</v>
      </c>
      <c r="U104" s="328">
        <f t="shared" si="114"/>
        <v>0</v>
      </c>
      <c r="V104" s="328">
        <f t="shared" si="114"/>
        <v>0</v>
      </c>
      <c r="W104" s="327">
        <f t="shared" si="114"/>
        <v>0</v>
      </c>
      <c r="X104" s="328">
        <f t="shared" si="114"/>
        <v>0</v>
      </c>
      <c r="Y104" s="328">
        <f t="shared" si="114"/>
        <v>0</v>
      </c>
      <c r="Z104" s="328">
        <f t="shared" si="114"/>
        <v>0</v>
      </c>
      <c r="AA104" s="328">
        <f t="shared" si="114"/>
        <v>0</v>
      </c>
      <c r="AB104" s="328">
        <f t="shared" si="114"/>
        <v>0</v>
      </c>
      <c r="AC104" s="328">
        <f t="shared" si="114"/>
        <v>0</v>
      </c>
      <c r="AD104" s="328">
        <f t="shared" si="114"/>
        <v>0</v>
      </c>
      <c r="AE104" s="328">
        <f t="shared" si="114"/>
        <v>0</v>
      </c>
      <c r="AF104" s="328">
        <f t="shared" si="114"/>
        <v>0</v>
      </c>
      <c r="AG104" s="328">
        <f t="shared" si="114"/>
        <v>0</v>
      </c>
      <c r="AH104" s="328">
        <f t="shared" si="114"/>
        <v>0</v>
      </c>
      <c r="AI104" s="327">
        <f t="shared" si="114"/>
        <v>0</v>
      </c>
      <c r="AJ104" s="328">
        <f t="shared" si="114"/>
        <v>0</v>
      </c>
      <c r="AK104" s="328">
        <f t="shared" si="114"/>
        <v>0</v>
      </c>
      <c r="AL104" s="328">
        <f t="shared" si="114"/>
        <v>0</v>
      </c>
      <c r="AM104" s="328">
        <f t="shared" si="114"/>
        <v>0</v>
      </c>
      <c r="AN104" s="328">
        <f t="shared" si="114"/>
        <v>0</v>
      </c>
      <c r="AO104" s="328">
        <f t="shared" si="114"/>
        <v>0</v>
      </c>
      <c r="AP104" s="328">
        <f t="shared" si="114"/>
        <v>0</v>
      </c>
      <c r="AQ104" s="328">
        <f t="shared" si="114"/>
        <v>0</v>
      </c>
      <c r="AR104" s="328">
        <f t="shared" si="114"/>
        <v>0</v>
      </c>
      <c r="AS104" s="328">
        <f t="shared" si="114"/>
        <v>0</v>
      </c>
      <c r="AT104" s="328">
        <f t="shared" si="114"/>
        <v>0</v>
      </c>
    </row>
    <row r="105" spans="1:46" ht="15.75" hidden="1" customHeight="1" outlineLevel="1" x14ac:dyDescent="0.25">
      <c r="A105" s="324">
        <v>7</v>
      </c>
      <c r="B105" s="325" t="s">
        <v>565</v>
      </c>
      <c r="C105" s="325"/>
      <c r="D105" s="325"/>
      <c r="E105" s="325"/>
      <c r="F105" s="325"/>
      <c r="G105" s="329"/>
      <c r="H105" s="304"/>
      <c r="I105" s="309"/>
      <c r="J105" s="326"/>
      <c r="K105" s="327">
        <f t="shared" ref="K105:AT105" si="115">IF(K$2&gt;=$I105,$H105,0)</f>
        <v>0</v>
      </c>
      <c r="L105" s="328">
        <f t="shared" si="115"/>
        <v>0</v>
      </c>
      <c r="M105" s="328">
        <f t="shared" si="115"/>
        <v>0</v>
      </c>
      <c r="N105" s="328">
        <f t="shared" si="115"/>
        <v>0</v>
      </c>
      <c r="O105" s="328">
        <f t="shared" si="115"/>
        <v>0</v>
      </c>
      <c r="P105" s="328">
        <f t="shared" si="115"/>
        <v>0</v>
      </c>
      <c r="Q105" s="328">
        <f t="shared" si="115"/>
        <v>0</v>
      </c>
      <c r="R105" s="328">
        <f t="shared" si="115"/>
        <v>0</v>
      </c>
      <c r="S105" s="328">
        <f t="shared" si="115"/>
        <v>0</v>
      </c>
      <c r="T105" s="328">
        <f t="shared" si="115"/>
        <v>0</v>
      </c>
      <c r="U105" s="328">
        <f t="shared" si="115"/>
        <v>0</v>
      </c>
      <c r="V105" s="328">
        <f t="shared" si="115"/>
        <v>0</v>
      </c>
      <c r="W105" s="327">
        <f t="shared" si="115"/>
        <v>0</v>
      </c>
      <c r="X105" s="328">
        <f t="shared" si="115"/>
        <v>0</v>
      </c>
      <c r="Y105" s="328">
        <f t="shared" si="115"/>
        <v>0</v>
      </c>
      <c r="Z105" s="328">
        <f t="shared" si="115"/>
        <v>0</v>
      </c>
      <c r="AA105" s="328">
        <f t="shared" si="115"/>
        <v>0</v>
      </c>
      <c r="AB105" s="328">
        <f t="shared" si="115"/>
        <v>0</v>
      </c>
      <c r="AC105" s="328">
        <f t="shared" si="115"/>
        <v>0</v>
      </c>
      <c r="AD105" s="328">
        <f t="shared" si="115"/>
        <v>0</v>
      </c>
      <c r="AE105" s="328">
        <f t="shared" si="115"/>
        <v>0</v>
      </c>
      <c r="AF105" s="328">
        <f t="shared" si="115"/>
        <v>0</v>
      </c>
      <c r="AG105" s="328">
        <f t="shared" si="115"/>
        <v>0</v>
      </c>
      <c r="AH105" s="328">
        <f t="shared" si="115"/>
        <v>0</v>
      </c>
      <c r="AI105" s="327">
        <f t="shared" si="115"/>
        <v>0</v>
      </c>
      <c r="AJ105" s="328">
        <f t="shared" si="115"/>
        <v>0</v>
      </c>
      <c r="AK105" s="328">
        <f t="shared" si="115"/>
        <v>0</v>
      </c>
      <c r="AL105" s="328">
        <f t="shared" si="115"/>
        <v>0</v>
      </c>
      <c r="AM105" s="328">
        <f t="shared" si="115"/>
        <v>0</v>
      </c>
      <c r="AN105" s="328">
        <f t="shared" si="115"/>
        <v>0</v>
      </c>
      <c r="AO105" s="328">
        <f t="shared" si="115"/>
        <v>0</v>
      </c>
      <c r="AP105" s="328">
        <f t="shared" si="115"/>
        <v>0</v>
      </c>
      <c r="AQ105" s="328">
        <f t="shared" si="115"/>
        <v>0</v>
      </c>
      <c r="AR105" s="328">
        <f t="shared" si="115"/>
        <v>0</v>
      </c>
      <c r="AS105" s="328">
        <f t="shared" si="115"/>
        <v>0</v>
      </c>
      <c r="AT105" s="328">
        <f t="shared" si="115"/>
        <v>0</v>
      </c>
    </row>
    <row r="106" spans="1:46" ht="14.25" hidden="1" customHeight="1" outlineLevel="1" x14ac:dyDescent="0.25">
      <c r="A106" s="324">
        <v>8</v>
      </c>
      <c r="B106" s="325" t="s">
        <v>566</v>
      </c>
      <c r="C106" s="325"/>
      <c r="D106" s="325"/>
      <c r="E106" s="325"/>
      <c r="F106" s="325"/>
      <c r="G106" s="329"/>
      <c r="H106" s="304"/>
      <c r="I106" s="309"/>
      <c r="J106" s="324"/>
      <c r="K106" s="327">
        <f t="shared" ref="K106:AT106" si="116">IF(K$2&gt;=$I106,$H106,0)</f>
        <v>0</v>
      </c>
      <c r="L106" s="328">
        <f t="shared" si="116"/>
        <v>0</v>
      </c>
      <c r="M106" s="328">
        <f t="shared" si="116"/>
        <v>0</v>
      </c>
      <c r="N106" s="328">
        <f t="shared" si="116"/>
        <v>0</v>
      </c>
      <c r="O106" s="328">
        <f t="shared" si="116"/>
        <v>0</v>
      </c>
      <c r="P106" s="328">
        <f t="shared" si="116"/>
        <v>0</v>
      </c>
      <c r="Q106" s="328">
        <f t="shared" si="116"/>
        <v>0</v>
      </c>
      <c r="R106" s="328">
        <f t="shared" si="116"/>
        <v>0</v>
      </c>
      <c r="S106" s="328">
        <f t="shared" si="116"/>
        <v>0</v>
      </c>
      <c r="T106" s="328">
        <f t="shared" si="116"/>
        <v>0</v>
      </c>
      <c r="U106" s="328">
        <f t="shared" si="116"/>
        <v>0</v>
      </c>
      <c r="V106" s="328">
        <f t="shared" si="116"/>
        <v>0</v>
      </c>
      <c r="W106" s="327">
        <f t="shared" si="116"/>
        <v>0</v>
      </c>
      <c r="X106" s="328">
        <f t="shared" si="116"/>
        <v>0</v>
      </c>
      <c r="Y106" s="328">
        <f t="shared" si="116"/>
        <v>0</v>
      </c>
      <c r="Z106" s="328">
        <f t="shared" si="116"/>
        <v>0</v>
      </c>
      <c r="AA106" s="328">
        <f t="shared" si="116"/>
        <v>0</v>
      </c>
      <c r="AB106" s="328">
        <f t="shared" si="116"/>
        <v>0</v>
      </c>
      <c r="AC106" s="328">
        <f t="shared" si="116"/>
        <v>0</v>
      </c>
      <c r="AD106" s="328">
        <f t="shared" si="116"/>
        <v>0</v>
      </c>
      <c r="AE106" s="328">
        <f t="shared" si="116"/>
        <v>0</v>
      </c>
      <c r="AF106" s="328">
        <f t="shared" si="116"/>
        <v>0</v>
      </c>
      <c r="AG106" s="328">
        <f t="shared" si="116"/>
        <v>0</v>
      </c>
      <c r="AH106" s="328">
        <f t="shared" si="116"/>
        <v>0</v>
      </c>
      <c r="AI106" s="327">
        <f t="shared" si="116"/>
        <v>0</v>
      </c>
      <c r="AJ106" s="328">
        <f t="shared" si="116"/>
        <v>0</v>
      </c>
      <c r="AK106" s="328">
        <f t="shared" si="116"/>
        <v>0</v>
      </c>
      <c r="AL106" s="328">
        <f t="shared" si="116"/>
        <v>0</v>
      </c>
      <c r="AM106" s="328">
        <f t="shared" si="116"/>
        <v>0</v>
      </c>
      <c r="AN106" s="328">
        <f t="shared" si="116"/>
        <v>0</v>
      </c>
      <c r="AO106" s="328">
        <f t="shared" si="116"/>
        <v>0</v>
      </c>
      <c r="AP106" s="328">
        <f t="shared" si="116"/>
        <v>0</v>
      </c>
      <c r="AQ106" s="328">
        <f t="shared" si="116"/>
        <v>0</v>
      </c>
      <c r="AR106" s="328">
        <f t="shared" si="116"/>
        <v>0</v>
      </c>
      <c r="AS106" s="328">
        <f t="shared" si="116"/>
        <v>0</v>
      </c>
      <c r="AT106" s="328">
        <f t="shared" si="116"/>
        <v>0</v>
      </c>
    </row>
    <row r="107" spans="1:46" ht="15.75" hidden="1" customHeight="1" outlineLevel="1" x14ac:dyDescent="0.25">
      <c r="A107" s="324">
        <v>9</v>
      </c>
      <c r="B107" s="325" t="s">
        <v>567</v>
      </c>
      <c r="C107" s="325"/>
      <c r="D107" s="325"/>
      <c r="E107" s="325"/>
      <c r="F107" s="325"/>
      <c r="G107" s="329"/>
      <c r="H107" s="304"/>
      <c r="I107" s="309"/>
      <c r="J107" s="324"/>
      <c r="K107" s="327">
        <f t="shared" ref="K107:AT107" si="117">IF(K$2&gt;=$I107,$H107,0)</f>
        <v>0</v>
      </c>
      <c r="L107" s="328">
        <f t="shared" si="117"/>
        <v>0</v>
      </c>
      <c r="M107" s="328">
        <f t="shared" si="117"/>
        <v>0</v>
      </c>
      <c r="N107" s="328">
        <f t="shared" si="117"/>
        <v>0</v>
      </c>
      <c r="O107" s="328">
        <f t="shared" si="117"/>
        <v>0</v>
      </c>
      <c r="P107" s="328">
        <f t="shared" si="117"/>
        <v>0</v>
      </c>
      <c r="Q107" s="328">
        <f t="shared" si="117"/>
        <v>0</v>
      </c>
      <c r="R107" s="328">
        <f t="shared" si="117"/>
        <v>0</v>
      </c>
      <c r="S107" s="328">
        <f t="shared" si="117"/>
        <v>0</v>
      </c>
      <c r="T107" s="328">
        <f t="shared" si="117"/>
        <v>0</v>
      </c>
      <c r="U107" s="328">
        <f t="shared" si="117"/>
        <v>0</v>
      </c>
      <c r="V107" s="328">
        <f t="shared" si="117"/>
        <v>0</v>
      </c>
      <c r="W107" s="327">
        <f t="shared" si="117"/>
        <v>0</v>
      </c>
      <c r="X107" s="328">
        <f t="shared" si="117"/>
        <v>0</v>
      </c>
      <c r="Y107" s="328">
        <f t="shared" si="117"/>
        <v>0</v>
      </c>
      <c r="Z107" s="328">
        <f t="shared" si="117"/>
        <v>0</v>
      </c>
      <c r="AA107" s="328">
        <f t="shared" si="117"/>
        <v>0</v>
      </c>
      <c r="AB107" s="328">
        <f t="shared" si="117"/>
        <v>0</v>
      </c>
      <c r="AC107" s="328">
        <f t="shared" si="117"/>
        <v>0</v>
      </c>
      <c r="AD107" s="328">
        <f t="shared" si="117"/>
        <v>0</v>
      </c>
      <c r="AE107" s="328">
        <f t="shared" si="117"/>
        <v>0</v>
      </c>
      <c r="AF107" s="328">
        <f t="shared" si="117"/>
        <v>0</v>
      </c>
      <c r="AG107" s="328">
        <f t="shared" si="117"/>
        <v>0</v>
      </c>
      <c r="AH107" s="328">
        <f t="shared" si="117"/>
        <v>0</v>
      </c>
      <c r="AI107" s="327">
        <f t="shared" si="117"/>
        <v>0</v>
      </c>
      <c r="AJ107" s="328">
        <f t="shared" si="117"/>
        <v>0</v>
      </c>
      <c r="AK107" s="328">
        <f t="shared" si="117"/>
        <v>0</v>
      </c>
      <c r="AL107" s="328">
        <f t="shared" si="117"/>
        <v>0</v>
      </c>
      <c r="AM107" s="328">
        <f t="shared" si="117"/>
        <v>0</v>
      </c>
      <c r="AN107" s="328">
        <f t="shared" si="117"/>
        <v>0</v>
      </c>
      <c r="AO107" s="328">
        <f t="shared" si="117"/>
        <v>0</v>
      </c>
      <c r="AP107" s="328">
        <f t="shared" si="117"/>
        <v>0</v>
      </c>
      <c r="AQ107" s="328">
        <f t="shared" si="117"/>
        <v>0</v>
      </c>
      <c r="AR107" s="328">
        <f t="shared" si="117"/>
        <v>0</v>
      </c>
      <c r="AS107" s="328">
        <f t="shared" si="117"/>
        <v>0</v>
      </c>
      <c r="AT107" s="328">
        <f t="shared" si="117"/>
        <v>0</v>
      </c>
    </row>
    <row r="108" spans="1:46" ht="14.25" hidden="1" customHeight="1" outlineLevel="1" x14ac:dyDescent="0.25">
      <c r="A108" s="324">
        <v>10</v>
      </c>
      <c r="B108" s="325" t="s">
        <v>355</v>
      </c>
      <c r="C108" s="325"/>
      <c r="D108" s="325"/>
      <c r="E108" s="325"/>
      <c r="F108" s="325"/>
      <c r="G108" s="329"/>
      <c r="H108" s="304"/>
      <c r="I108" s="309"/>
      <c r="J108" s="324"/>
      <c r="K108" s="327">
        <f t="shared" ref="K108:AT108" si="118">IF(K$2&gt;=$I108,$H108,0)</f>
        <v>0</v>
      </c>
      <c r="L108" s="328">
        <f t="shared" si="118"/>
        <v>0</v>
      </c>
      <c r="M108" s="328">
        <f t="shared" si="118"/>
        <v>0</v>
      </c>
      <c r="N108" s="328">
        <f t="shared" si="118"/>
        <v>0</v>
      </c>
      <c r="O108" s="328">
        <f t="shared" si="118"/>
        <v>0</v>
      </c>
      <c r="P108" s="328">
        <f t="shared" si="118"/>
        <v>0</v>
      </c>
      <c r="Q108" s="328">
        <f t="shared" si="118"/>
        <v>0</v>
      </c>
      <c r="R108" s="328">
        <f t="shared" si="118"/>
        <v>0</v>
      </c>
      <c r="S108" s="328">
        <f t="shared" si="118"/>
        <v>0</v>
      </c>
      <c r="T108" s="328">
        <f t="shared" si="118"/>
        <v>0</v>
      </c>
      <c r="U108" s="328">
        <f t="shared" si="118"/>
        <v>0</v>
      </c>
      <c r="V108" s="328">
        <f t="shared" si="118"/>
        <v>0</v>
      </c>
      <c r="W108" s="327">
        <f t="shared" si="118"/>
        <v>0</v>
      </c>
      <c r="X108" s="328">
        <f t="shared" si="118"/>
        <v>0</v>
      </c>
      <c r="Y108" s="328">
        <f t="shared" si="118"/>
        <v>0</v>
      </c>
      <c r="Z108" s="328">
        <f t="shared" si="118"/>
        <v>0</v>
      </c>
      <c r="AA108" s="328">
        <f t="shared" si="118"/>
        <v>0</v>
      </c>
      <c r="AB108" s="328">
        <f t="shared" si="118"/>
        <v>0</v>
      </c>
      <c r="AC108" s="328">
        <f t="shared" si="118"/>
        <v>0</v>
      </c>
      <c r="AD108" s="328">
        <f t="shared" si="118"/>
        <v>0</v>
      </c>
      <c r="AE108" s="328">
        <f t="shared" si="118"/>
        <v>0</v>
      </c>
      <c r="AF108" s="328">
        <f t="shared" si="118"/>
        <v>0</v>
      </c>
      <c r="AG108" s="328">
        <f t="shared" si="118"/>
        <v>0</v>
      </c>
      <c r="AH108" s="328">
        <f t="shared" si="118"/>
        <v>0</v>
      </c>
      <c r="AI108" s="327">
        <f t="shared" si="118"/>
        <v>0</v>
      </c>
      <c r="AJ108" s="328">
        <f t="shared" si="118"/>
        <v>0</v>
      </c>
      <c r="AK108" s="328">
        <f t="shared" si="118"/>
        <v>0</v>
      </c>
      <c r="AL108" s="328">
        <f t="shared" si="118"/>
        <v>0</v>
      </c>
      <c r="AM108" s="328">
        <f t="shared" si="118"/>
        <v>0</v>
      </c>
      <c r="AN108" s="328">
        <f t="shared" si="118"/>
        <v>0</v>
      </c>
      <c r="AO108" s="328">
        <f t="shared" si="118"/>
        <v>0</v>
      </c>
      <c r="AP108" s="328">
        <f t="shared" si="118"/>
        <v>0</v>
      </c>
      <c r="AQ108" s="328">
        <f t="shared" si="118"/>
        <v>0</v>
      </c>
      <c r="AR108" s="328">
        <f t="shared" si="118"/>
        <v>0</v>
      </c>
      <c r="AS108" s="328">
        <f t="shared" si="118"/>
        <v>0</v>
      </c>
      <c r="AT108" s="328">
        <f t="shared" si="118"/>
        <v>0</v>
      </c>
    </row>
    <row r="109" spans="1:46" ht="15.75" hidden="1" customHeight="1" outlineLevel="1" x14ac:dyDescent="0.25">
      <c r="A109" s="324">
        <v>11</v>
      </c>
      <c r="B109" s="325"/>
      <c r="C109" s="325"/>
      <c r="D109" s="325"/>
      <c r="E109" s="325"/>
      <c r="F109" s="325"/>
      <c r="G109" s="329"/>
      <c r="H109" s="304"/>
      <c r="I109" s="309"/>
      <c r="J109" s="324"/>
      <c r="K109" s="327">
        <f t="shared" ref="K109:AT109" si="119">IF(K$2&gt;=$I109,$H109,0)</f>
        <v>0</v>
      </c>
      <c r="L109" s="328">
        <f t="shared" si="119"/>
        <v>0</v>
      </c>
      <c r="M109" s="328">
        <f t="shared" si="119"/>
        <v>0</v>
      </c>
      <c r="N109" s="328">
        <f t="shared" si="119"/>
        <v>0</v>
      </c>
      <c r="O109" s="328">
        <f t="shared" si="119"/>
        <v>0</v>
      </c>
      <c r="P109" s="328">
        <f t="shared" si="119"/>
        <v>0</v>
      </c>
      <c r="Q109" s="328">
        <f t="shared" si="119"/>
        <v>0</v>
      </c>
      <c r="R109" s="328">
        <f t="shared" si="119"/>
        <v>0</v>
      </c>
      <c r="S109" s="328">
        <f t="shared" si="119"/>
        <v>0</v>
      </c>
      <c r="T109" s="328">
        <f t="shared" si="119"/>
        <v>0</v>
      </c>
      <c r="U109" s="328">
        <f t="shared" si="119"/>
        <v>0</v>
      </c>
      <c r="V109" s="328">
        <f t="shared" si="119"/>
        <v>0</v>
      </c>
      <c r="W109" s="327">
        <f t="shared" si="119"/>
        <v>0</v>
      </c>
      <c r="X109" s="328">
        <f t="shared" si="119"/>
        <v>0</v>
      </c>
      <c r="Y109" s="328">
        <f t="shared" si="119"/>
        <v>0</v>
      </c>
      <c r="Z109" s="328">
        <f t="shared" si="119"/>
        <v>0</v>
      </c>
      <c r="AA109" s="328">
        <f t="shared" si="119"/>
        <v>0</v>
      </c>
      <c r="AB109" s="328">
        <f t="shared" si="119"/>
        <v>0</v>
      </c>
      <c r="AC109" s="328">
        <f t="shared" si="119"/>
        <v>0</v>
      </c>
      <c r="AD109" s="328">
        <f t="shared" si="119"/>
        <v>0</v>
      </c>
      <c r="AE109" s="328">
        <f t="shared" si="119"/>
        <v>0</v>
      </c>
      <c r="AF109" s="328">
        <f t="shared" si="119"/>
        <v>0</v>
      </c>
      <c r="AG109" s="328">
        <f t="shared" si="119"/>
        <v>0</v>
      </c>
      <c r="AH109" s="328">
        <f t="shared" si="119"/>
        <v>0</v>
      </c>
      <c r="AI109" s="327">
        <f t="shared" si="119"/>
        <v>0</v>
      </c>
      <c r="AJ109" s="328">
        <f t="shared" si="119"/>
        <v>0</v>
      </c>
      <c r="AK109" s="328">
        <f t="shared" si="119"/>
        <v>0</v>
      </c>
      <c r="AL109" s="328">
        <f t="shared" si="119"/>
        <v>0</v>
      </c>
      <c r="AM109" s="328">
        <f t="shared" si="119"/>
        <v>0</v>
      </c>
      <c r="AN109" s="328">
        <f t="shared" si="119"/>
        <v>0</v>
      </c>
      <c r="AO109" s="328">
        <f t="shared" si="119"/>
        <v>0</v>
      </c>
      <c r="AP109" s="328">
        <f t="shared" si="119"/>
        <v>0</v>
      </c>
      <c r="AQ109" s="328">
        <f t="shared" si="119"/>
        <v>0</v>
      </c>
      <c r="AR109" s="328">
        <f t="shared" si="119"/>
        <v>0</v>
      </c>
      <c r="AS109" s="328">
        <f t="shared" si="119"/>
        <v>0</v>
      </c>
      <c r="AT109" s="328">
        <f t="shared" si="119"/>
        <v>0</v>
      </c>
    </row>
    <row r="110" spans="1:46" ht="15.75" hidden="1" customHeight="1" outlineLevel="1" x14ac:dyDescent="0.25">
      <c r="A110" s="324">
        <v>12</v>
      </c>
      <c r="B110" s="325"/>
      <c r="C110" s="325"/>
      <c r="D110" s="325"/>
      <c r="E110" s="325"/>
      <c r="F110" s="325"/>
      <c r="G110" s="329"/>
      <c r="H110" s="304"/>
      <c r="I110" s="309"/>
      <c r="J110" s="324"/>
      <c r="K110" s="327">
        <f t="shared" ref="K110:AT110" si="120">IF(K$2&gt;=$I110,$H110,0)</f>
        <v>0</v>
      </c>
      <c r="L110" s="328">
        <f t="shared" si="120"/>
        <v>0</v>
      </c>
      <c r="M110" s="328">
        <f t="shared" si="120"/>
        <v>0</v>
      </c>
      <c r="N110" s="328">
        <f t="shared" si="120"/>
        <v>0</v>
      </c>
      <c r="O110" s="328">
        <f t="shared" si="120"/>
        <v>0</v>
      </c>
      <c r="P110" s="328">
        <f t="shared" si="120"/>
        <v>0</v>
      </c>
      <c r="Q110" s="328">
        <f t="shared" si="120"/>
        <v>0</v>
      </c>
      <c r="R110" s="328">
        <f t="shared" si="120"/>
        <v>0</v>
      </c>
      <c r="S110" s="328">
        <f t="shared" si="120"/>
        <v>0</v>
      </c>
      <c r="T110" s="328">
        <f t="shared" si="120"/>
        <v>0</v>
      </c>
      <c r="U110" s="328">
        <f t="shared" si="120"/>
        <v>0</v>
      </c>
      <c r="V110" s="328">
        <f t="shared" si="120"/>
        <v>0</v>
      </c>
      <c r="W110" s="327">
        <f t="shared" si="120"/>
        <v>0</v>
      </c>
      <c r="X110" s="328">
        <f t="shared" si="120"/>
        <v>0</v>
      </c>
      <c r="Y110" s="328">
        <f t="shared" si="120"/>
        <v>0</v>
      </c>
      <c r="Z110" s="328">
        <f t="shared" si="120"/>
        <v>0</v>
      </c>
      <c r="AA110" s="328">
        <f t="shared" si="120"/>
        <v>0</v>
      </c>
      <c r="AB110" s="328">
        <f t="shared" si="120"/>
        <v>0</v>
      </c>
      <c r="AC110" s="328">
        <f t="shared" si="120"/>
        <v>0</v>
      </c>
      <c r="AD110" s="328">
        <f t="shared" si="120"/>
        <v>0</v>
      </c>
      <c r="AE110" s="328">
        <f t="shared" si="120"/>
        <v>0</v>
      </c>
      <c r="AF110" s="328">
        <f t="shared" si="120"/>
        <v>0</v>
      </c>
      <c r="AG110" s="328">
        <f t="shared" si="120"/>
        <v>0</v>
      </c>
      <c r="AH110" s="328">
        <f t="shared" si="120"/>
        <v>0</v>
      </c>
      <c r="AI110" s="327">
        <f t="shared" si="120"/>
        <v>0</v>
      </c>
      <c r="AJ110" s="328">
        <f t="shared" si="120"/>
        <v>0</v>
      </c>
      <c r="AK110" s="328">
        <f t="shared" si="120"/>
        <v>0</v>
      </c>
      <c r="AL110" s="328">
        <f t="shared" si="120"/>
        <v>0</v>
      </c>
      <c r="AM110" s="328">
        <f t="shared" si="120"/>
        <v>0</v>
      </c>
      <c r="AN110" s="328">
        <f t="shared" si="120"/>
        <v>0</v>
      </c>
      <c r="AO110" s="328">
        <f t="shared" si="120"/>
        <v>0</v>
      </c>
      <c r="AP110" s="328">
        <f t="shared" si="120"/>
        <v>0</v>
      </c>
      <c r="AQ110" s="328">
        <f t="shared" si="120"/>
        <v>0</v>
      </c>
      <c r="AR110" s="328">
        <f t="shared" si="120"/>
        <v>0</v>
      </c>
      <c r="AS110" s="328">
        <f t="shared" si="120"/>
        <v>0</v>
      </c>
      <c r="AT110" s="328">
        <f t="shared" si="120"/>
        <v>0</v>
      </c>
    </row>
    <row r="111" spans="1:46" ht="15.75" hidden="1" customHeight="1" outlineLevel="1" x14ac:dyDescent="0.25">
      <c r="A111" s="324">
        <v>13</v>
      </c>
      <c r="B111" s="325"/>
      <c r="C111" s="325"/>
      <c r="D111" s="325"/>
      <c r="E111" s="325"/>
      <c r="F111" s="325"/>
      <c r="G111" s="329"/>
      <c r="H111" s="304"/>
      <c r="I111" s="309"/>
      <c r="J111" s="324"/>
      <c r="K111" s="327">
        <f t="shared" ref="K111:AT111" si="121">IF(K$2&gt;=$I111,$H111,0)</f>
        <v>0</v>
      </c>
      <c r="L111" s="328">
        <f t="shared" si="121"/>
        <v>0</v>
      </c>
      <c r="M111" s="328">
        <f t="shared" si="121"/>
        <v>0</v>
      </c>
      <c r="N111" s="328">
        <f t="shared" si="121"/>
        <v>0</v>
      </c>
      <c r="O111" s="328">
        <f t="shared" si="121"/>
        <v>0</v>
      </c>
      <c r="P111" s="328">
        <f t="shared" si="121"/>
        <v>0</v>
      </c>
      <c r="Q111" s="328">
        <f t="shared" si="121"/>
        <v>0</v>
      </c>
      <c r="R111" s="328">
        <f t="shared" si="121"/>
        <v>0</v>
      </c>
      <c r="S111" s="328">
        <f t="shared" si="121"/>
        <v>0</v>
      </c>
      <c r="T111" s="328">
        <f t="shared" si="121"/>
        <v>0</v>
      </c>
      <c r="U111" s="328">
        <f t="shared" si="121"/>
        <v>0</v>
      </c>
      <c r="V111" s="328">
        <f t="shared" si="121"/>
        <v>0</v>
      </c>
      <c r="W111" s="327">
        <f t="shared" si="121"/>
        <v>0</v>
      </c>
      <c r="X111" s="328">
        <f t="shared" si="121"/>
        <v>0</v>
      </c>
      <c r="Y111" s="328">
        <f t="shared" si="121"/>
        <v>0</v>
      </c>
      <c r="Z111" s="328">
        <f t="shared" si="121"/>
        <v>0</v>
      </c>
      <c r="AA111" s="328">
        <f t="shared" si="121"/>
        <v>0</v>
      </c>
      <c r="AB111" s="328">
        <f t="shared" si="121"/>
        <v>0</v>
      </c>
      <c r="AC111" s="328">
        <f t="shared" si="121"/>
        <v>0</v>
      </c>
      <c r="AD111" s="328">
        <f t="shared" si="121"/>
        <v>0</v>
      </c>
      <c r="AE111" s="328">
        <f t="shared" si="121"/>
        <v>0</v>
      </c>
      <c r="AF111" s="328">
        <f t="shared" si="121"/>
        <v>0</v>
      </c>
      <c r="AG111" s="328">
        <f t="shared" si="121"/>
        <v>0</v>
      </c>
      <c r="AH111" s="328">
        <f t="shared" si="121"/>
        <v>0</v>
      </c>
      <c r="AI111" s="327">
        <f t="shared" si="121"/>
        <v>0</v>
      </c>
      <c r="AJ111" s="328">
        <f t="shared" si="121"/>
        <v>0</v>
      </c>
      <c r="AK111" s="328">
        <f t="shared" si="121"/>
        <v>0</v>
      </c>
      <c r="AL111" s="328">
        <f t="shared" si="121"/>
        <v>0</v>
      </c>
      <c r="AM111" s="328">
        <f t="shared" si="121"/>
        <v>0</v>
      </c>
      <c r="AN111" s="328">
        <f t="shared" si="121"/>
        <v>0</v>
      </c>
      <c r="AO111" s="328">
        <f t="shared" si="121"/>
        <v>0</v>
      </c>
      <c r="AP111" s="328">
        <f t="shared" si="121"/>
        <v>0</v>
      </c>
      <c r="AQ111" s="328">
        <f t="shared" si="121"/>
        <v>0</v>
      </c>
      <c r="AR111" s="328">
        <f t="shared" si="121"/>
        <v>0</v>
      </c>
      <c r="AS111" s="328">
        <f t="shared" si="121"/>
        <v>0</v>
      </c>
      <c r="AT111" s="328">
        <f t="shared" si="121"/>
        <v>0</v>
      </c>
    </row>
    <row r="112" spans="1:46" ht="15.75" hidden="1" customHeight="1" outlineLevel="1" x14ac:dyDescent="0.25">
      <c r="A112" s="324">
        <v>14</v>
      </c>
      <c r="B112" s="325"/>
      <c r="C112" s="325"/>
      <c r="D112" s="325"/>
      <c r="E112" s="325"/>
      <c r="F112" s="325"/>
      <c r="G112" s="329"/>
      <c r="H112" s="304"/>
      <c r="I112" s="309"/>
      <c r="J112" s="326"/>
      <c r="K112" s="327">
        <f t="shared" ref="K112:AT112" si="122">IF(K$2&gt;=$I112,$H112,0)</f>
        <v>0</v>
      </c>
      <c r="L112" s="328">
        <f t="shared" si="122"/>
        <v>0</v>
      </c>
      <c r="M112" s="328">
        <f t="shared" si="122"/>
        <v>0</v>
      </c>
      <c r="N112" s="328">
        <f t="shared" si="122"/>
        <v>0</v>
      </c>
      <c r="O112" s="328">
        <f t="shared" si="122"/>
        <v>0</v>
      </c>
      <c r="P112" s="328">
        <f t="shared" si="122"/>
        <v>0</v>
      </c>
      <c r="Q112" s="328">
        <f t="shared" si="122"/>
        <v>0</v>
      </c>
      <c r="R112" s="328">
        <f t="shared" si="122"/>
        <v>0</v>
      </c>
      <c r="S112" s="328">
        <f t="shared" si="122"/>
        <v>0</v>
      </c>
      <c r="T112" s="328">
        <f t="shared" si="122"/>
        <v>0</v>
      </c>
      <c r="U112" s="328">
        <f t="shared" si="122"/>
        <v>0</v>
      </c>
      <c r="V112" s="328">
        <f t="shared" si="122"/>
        <v>0</v>
      </c>
      <c r="W112" s="327">
        <f t="shared" si="122"/>
        <v>0</v>
      </c>
      <c r="X112" s="328">
        <f t="shared" si="122"/>
        <v>0</v>
      </c>
      <c r="Y112" s="328">
        <f t="shared" si="122"/>
        <v>0</v>
      </c>
      <c r="Z112" s="328">
        <f t="shared" si="122"/>
        <v>0</v>
      </c>
      <c r="AA112" s="328">
        <f t="shared" si="122"/>
        <v>0</v>
      </c>
      <c r="AB112" s="328">
        <f t="shared" si="122"/>
        <v>0</v>
      </c>
      <c r="AC112" s="328">
        <f t="shared" si="122"/>
        <v>0</v>
      </c>
      <c r="AD112" s="328">
        <f t="shared" si="122"/>
        <v>0</v>
      </c>
      <c r="AE112" s="328">
        <f t="shared" si="122"/>
        <v>0</v>
      </c>
      <c r="AF112" s="328">
        <f t="shared" si="122"/>
        <v>0</v>
      </c>
      <c r="AG112" s="328">
        <f t="shared" si="122"/>
        <v>0</v>
      </c>
      <c r="AH112" s="328">
        <f t="shared" si="122"/>
        <v>0</v>
      </c>
      <c r="AI112" s="327">
        <f t="shared" si="122"/>
        <v>0</v>
      </c>
      <c r="AJ112" s="328">
        <f t="shared" si="122"/>
        <v>0</v>
      </c>
      <c r="AK112" s="328">
        <f t="shared" si="122"/>
        <v>0</v>
      </c>
      <c r="AL112" s="328">
        <f t="shared" si="122"/>
        <v>0</v>
      </c>
      <c r="AM112" s="328">
        <f t="shared" si="122"/>
        <v>0</v>
      </c>
      <c r="AN112" s="328">
        <f t="shared" si="122"/>
        <v>0</v>
      </c>
      <c r="AO112" s="328">
        <f t="shared" si="122"/>
        <v>0</v>
      </c>
      <c r="AP112" s="328">
        <f t="shared" si="122"/>
        <v>0</v>
      </c>
      <c r="AQ112" s="328">
        <f t="shared" si="122"/>
        <v>0</v>
      </c>
      <c r="AR112" s="328">
        <f t="shared" si="122"/>
        <v>0</v>
      </c>
      <c r="AS112" s="328">
        <f t="shared" si="122"/>
        <v>0</v>
      </c>
      <c r="AT112" s="328">
        <f t="shared" si="122"/>
        <v>0</v>
      </c>
    </row>
    <row r="113" spans="1:46" ht="15.75" hidden="1" customHeight="1" outlineLevel="1" x14ac:dyDescent="0.25">
      <c r="A113" s="324">
        <v>15</v>
      </c>
      <c r="B113" s="325"/>
      <c r="C113" s="325"/>
      <c r="D113" s="325"/>
      <c r="E113" s="325"/>
      <c r="F113" s="325"/>
      <c r="G113" s="329"/>
      <c r="H113" s="304"/>
      <c r="I113" s="309"/>
      <c r="J113" s="326"/>
      <c r="K113" s="327">
        <f t="shared" ref="K113:AT113" si="123">IF(K$2&gt;=$I113,$H113,0)</f>
        <v>0</v>
      </c>
      <c r="L113" s="328">
        <f t="shared" si="123"/>
        <v>0</v>
      </c>
      <c r="M113" s="328">
        <f t="shared" si="123"/>
        <v>0</v>
      </c>
      <c r="N113" s="328">
        <f t="shared" si="123"/>
        <v>0</v>
      </c>
      <c r="O113" s="328">
        <f t="shared" si="123"/>
        <v>0</v>
      </c>
      <c r="P113" s="328">
        <f t="shared" si="123"/>
        <v>0</v>
      </c>
      <c r="Q113" s="328">
        <f t="shared" si="123"/>
        <v>0</v>
      </c>
      <c r="R113" s="328">
        <f t="shared" si="123"/>
        <v>0</v>
      </c>
      <c r="S113" s="328">
        <f t="shared" si="123"/>
        <v>0</v>
      </c>
      <c r="T113" s="328">
        <f t="shared" si="123"/>
        <v>0</v>
      </c>
      <c r="U113" s="328">
        <f t="shared" si="123"/>
        <v>0</v>
      </c>
      <c r="V113" s="328">
        <f t="shared" si="123"/>
        <v>0</v>
      </c>
      <c r="W113" s="327">
        <f t="shared" si="123"/>
        <v>0</v>
      </c>
      <c r="X113" s="328">
        <f t="shared" si="123"/>
        <v>0</v>
      </c>
      <c r="Y113" s="328">
        <f t="shared" si="123"/>
        <v>0</v>
      </c>
      <c r="Z113" s="328">
        <f t="shared" si="123"/>
        <v>0</v>
      </c>
      <c r="AA113" s="328">
        <f t="shared" si="123"/>
        <v>0</v>
      </c>
      <c r="AB113" s="328">
        <f t="shared" si="123"/>
        <v>0</v>
      </c>
      <c r="AC113" s="328">
        <f t="shared" si="123"/>
        <v>0</v>
      </c>
      <c r="AD113" s="328">
        <f t="shared" si="123"/>
        <v>0</v>
      </c>
      <c r="AE113" s="328">
        <f t="shared" si="123"/>
        <v>0</v>
      </c>
      <c r="AF113" s="328">
        <f t="shared" si="123"/>
        <v>0</v>
      </c>
      <c r="AG113" s="328">
        <f t="shared" si="123"/>
        <v>0</v>
      </c>
      <c r="AH113" s="328">
        <f t="shared" si="123"/>
        <v>0</v>
      </c>
      <c r="AI113" s="327">
        <f t="shared" si="123"/>
        <v>0</v>
      </c>
      <c r="AJ113" s="328">
        <f t="shared" si="123"/>
        <v>0</v>
      </c>
      <c r="AK113" s="328">
        <f t="shared" si="123"/>
        <v>0</v>
      </c>
      <c r="AL113" s="328">
        <f t="shared" si="123"/>
        <v>0</v>
      </c>
      <c r="AM113" s="328">
        <f t="shared" si="123"/>
        <v>0</v>
      </c>
      <c r="AN113" s="328">
        <f t="shared" si="123"/>
        <v>0</v>
      </c>
      <c r="AO113" s="328">
        <f t="shared" si="123"/>
        <v>0</v>
      </c>
      <c r="AP113" s="328">
        <f t="shared" si="123"/>
        <v>0</v>
      </c>
      <c r="AQ113" s="328">
        <f t="shared" si="123"/>
        <v>0</v>
      </c>
      <c r="AR113" s="328">
        <f t="shared" si="123"/>
        <v>0</v>
      </c>
      <c r="AS113" s="328">
        <f t="shared" si="123"/>
        <v>0</v>
      </c>
      <c r="AT113" s="328">
        <f t="shared" si="123"/>
        <v>0</v>
      </c>
    </row>
    <row r="114" spans="1:46" ht="14.25" customHeight="1" collapsed="1" x14ac:dyDescent="0.25">
      <c r="A114" s="289"/>
      <c r="B114" s="289"/>
      <c r="C114" s="289"/>
      <c r="D114" s="289"/>
      <c r="E114" s="289"/>
      <c r="F114" s="289"/>
      <c r="G114" s="330"/>
      <c r="H114" s="330"/>
      <c r="I114" s="117"/>
      <c r="J114" s="289"/>
      <c r="K114" s="331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331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95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</row>
    <row r="115" spans="1:46" ht="14.25" customHeight="1" x14ac:dyDescent="0.25">
      <c r="A115" s="290"/>
      <c r="B115" s="290"/>
      <c r="C115" s="290"/>
      <c r="D115" s="290"/>
      <c r="E115" s="290"/>
      <c r="F115" s="290"/>
      <c r="G115" s="330"/>
      <c r="H115" s="332"/>
      <c r="I115" s="333"/>
      <c r="J115" s="334" t="s">
        <v>568</v>
      </c>
      <c r="K115" s="301">
        <f t="shared" ref="K115:AT115" si="124">SUM(K5:K96)</f>
        <v>64541.666666666672</v>
      </c>
      <c r="L115" s="302">
        <f t="shared" si="124"/>
        <v>64541.666666666672</v>
      </c>
      <c r="M115" s="302">
        <f t="shared" si="124"/>
        <v>82958.333333333343</v>
      </c>
      <c r="N115" s="302">
        <f t="shared" si="124"/>
        <v>94208.333333333343</v>
      </c>
      <c r="O115" s="302">
        <f t="shared" si="124"/>
        <v>104625.00000000001</v>
      </c>
      <c r="P115" s="302">
        <f t="shared" si="124"/>
        <v>115041.66666666669</v>
      </c>
      <c r="Q115" s="302">
        <f t="shared" si="124"/>
        <v>124375.00000000001</v>
      </c>
      <c r="R115" s="302">
        <f t="shared" si="124"/>
        <v>129041.66666666669</v>
      </c>
      <c r="S115" s="302">
        <f t="shared" si="124"/>
        <v>129041.66666666669</v>
      </c>
      <c r="T115" s="302">
        <f t="shared" si="124"/>
        <v>132708.33333333334</v>
      </c>
      <c r="U115" s="302">
        <f t="shared" si="124"/>
        <v>132708.33333333334</v>
      </c>
      <c r="V115" s="302">
        <f t="shared" si="124"/>
        <v>132708.33333333334</v>
      </c>
      <c r="W115" s="301">
        <f t="shared" si="124"/>
        <v>341541.66666666663</v>
      </c>
      <c r="X115" s="302">
        <f t="shared" si="124"/>
        <v>364874.99999999994</v>
      </c>
      <c r="Y115" s="302">
        <f t="shared" si="124"/>
        <v>383624.99999999994</v>
      </c>
      <c r="Z115" s="302">
        <f t="shared" si="124"/>
        <v>408625</v>
      </c>
      <c r="AA115" s="302">
        <f t="shared" si="124"/>
        <v>428624.99999999994</v>
      </c>
      <c r="AB115" s="302">
        <f t="shared" si="124"/>
        <v>439041.66666666657</v>
      </c>
      <c r="AC115" s="302">
        <f t="shared" si="124"/>
        <v>483208.33333333326</v>
      </c>
      <c r="AD115" s="302">
        <f t="shared" si="124"/>
        <v>519041.66666666657</v>
      </c>
      <c r="AE115" s="302">
        <f t="shared" si="124"/>
        <v>534041.66666666651</v>
      </c>
      <c r="AF115" s="302">
        <f t="shared" si="124"/>
        <v>552791.66666666651</v>
      </c>
      <c r="AG115" s="302">
        <f t="shared" si="124"/>
        <v>552791.66666666651</v>
      </c>
      <c r="AH115" s="302">
        <f t="shared" si="124"/>
        <v>575708.33333333314</v>
      </c>
      <c r="AI115" s="301">
        <f t="shared" si="124"/>
        <v>633208.33333333314</v>
      </c>
      <c r="AJ115" s="302">
        <f t="shared" si="124"/>
        <v>643624.99999999988</v>
      </c>
      <c r="AK115" s="302">
        <f t="shared" si="124"/>
        <v>643624.99999999988</v>
      </c>
      <c r="AL115" s="302">
        <f t="shared" si="124"/>
        <v>654041.66666666651</v>
      </c>
      <c r="AM115" s="302">
        <f t="shared" si="124"/>
        <v>658624.99999999977</v>
      </c>
      <c r="AN115" s="302">
        <f t="shared" si="124"/>
        <v>681541.6666666664</v>
      </c>
      <c r="AO115" s="302">
        <f t="shared" si="124"/>
        <v>687791.66666666651</v>
      </c>
      <c r="AP115" s="302">
        <f t="shared" si="124"/>
        <v>696124.99999999988</v>
      </c>
      <c r="AQ115" s="302">
        <f t="shared" si="124"/>
        <v>708624.99999999988</v>
      </c>
      <c r="AR115" s="302">
        <f t="shared" si="124"/>
        <v>726541.66666666651</v>
      </c>
      <c r="AS115" s="302">
        <f t="shared" si="124"/>
        <v>737374.99999999977</v>
      </c>
      <c r="AT115" s="302">
        <f t="shared" si="124"/>
        <v>745708.33333333314</v>
      </c>
    </row>
    <row r="116" spans="1:46" ht="14.25" customHeight="1" x14ac:dyDescent="0.25">
      <c r="A116" s="289"/>
      <c r="B116" s="289"/>
      <c r="C116" s="289"/>
      <c r="D116" s="289"/>
      <c r="E116" s="289"/>
      <c r="F116" s="289"/>
      <c r="G116" s="330"/>
      <c r="H116" s="335">
        <v>0.16</v>
      </c>
      <c r="I116" s="117"/>
      <c r="J116" s="334" t="s">
        <v>569</v>
      </c>
      <c r="K116" s="307">
        <f t="shared" ref="K116:AT116" si="125">$H116*K$115</f>
        <v>10326.666666666668</v>
      </c>
      <c r="L116" s="308">
        <f t="shared" si="125"/>
        <v>10326.666666666668</v>
      </c>
      <c r="M116" s="308">
        <f t="shared" si="125"/>
        <v>13273.333333333336</v>
      </c>
      <c r="N116" s="308">
        <f t="shared" si="125"/>
        <v>15073.333333333336</v>
      </c>
      <c r="O116" s="308">
        <f t="shared" si="125"/>
        <v>16740.000000000004</v>
      </c>
      <c r="P116" s="308">
        <f t="shared" si="125"/>
        <v>18406.666666666672</v>
      </c>
      <c r="Q116" s="308">
        <f t="shared" si="125"/>
        <v>19900.000000000004</v>
      </c>
      <c r="R116" s="308">
        <f t="shared" si="125"/>
        <v>20646.666666666672</v>
      </c>
      <c r="S116" s="308">
        <f t="shared" si="125"/>
        <v>20646.666666666672</v>
      </c>
      <c r="T116" s="308">
        <f t="shared" si="125"/>
        <v>21233.333333333336</v>
      </c>
      <c r="U116" s="308">
        <f t="shared" si="125"/>
        <v>21233.333333333336</v>
      </c>
      <c r="V116" s="308">
        <f t="shared" si="125"/>
        <v>21233.333333333336</v>
      </c>
      <c r="W116" s="307">
        <f t="shared" si="125"/>
        <v>54646.666666666664</v>
      </c>
      <c r="X116" s="308">
        <f t="shared" si="125"/>
        <v>58379.999999999993</v>
      </c>
      <c r="Y116" s="308">
        <f t="shared" si="125"/>
        <v>61379.999999999993</v>
      </c>
      <c r="Z116" s="308">
        <f t="shared" si="125"/>
        <v>65380</v>
      </c>
      <c r="AA116" s="308">
        <f t="shared" si="125"/>
        <v>68579.999999999985</v>
      </c>
      <c r="AB116" s="308">
        <f t="shared" si="125"/>
        <v>70246.666666666657</v>
      </c>
      <c r="AC116" s="308">
        <f t="shared" si="125"/>
        <v>77313.333333333328</v>
      </c>
      <c r="AD116" s="308">
        <f t="shared" si="125"/>
        <v>83046.666666666657</v>
      </c>
      <c r="AE116" s="308">
        <f t="shared" si="125"/>
        <v>85446.666666666642</v>
      </c>
      <c r="AF116" s="308">
        <f t="shared" si="125"/>
        <v>88446.666666666642</v>
      </c>
      <c r="AG116" s="308">
        <f t="shared" si="125"/>
        <v>88446.666666666642</v>
      </c>
      <c r="AH116" s="308">
        <f t="shared" si="125"/>
        <v>92113.333333333299</v>
      </c>
      <c r="AI116" s="307">
        <f t="shared" si="125"/>
        <v>101313.3333333333</v>
      </c>
      <c r="AJ116" s="308">
        <f t="shared" si="125"/>
        <v>102979.99999999999</v>
      </c>
      <c r="AK116" s="308">
        <f t="shared" si="125"/>
        <v>102979.99999999999</v>
      </c>
      <c r="AL116" s="308">
        <f t="shared" si="125"/>
        <v>104646.66666666664</v>
      </c>
      <c r="AM116" s="308">
        <f t="shared" si="125"/>
        <v>105379.99999999997</v>
      </c>
      <c r="AN116" s="308">
        <f t="shared" si="125"/>
        <v>109046.66666666663</v>
      </c>
      <c r="AO116" s="308">
        <f t="shared" si="125"/>
        <v>110046.66666666664</v>
      </c>
      <c r="AP116" s="308">
        <f t="shared" si="125"/>
        <v>111379.99999999999</v>
      </c>
      <c r="AQ116" s="308">
        <f t="shared" si="125"/>
        <v>113379.99999999999</v>
      </c>
      <c r="AR116" s="308">
        <f t="shared" si="125"/>
        <v>116246.66666666664</v>
      </c>
      <c r="AS116" s="308">
        <f t="shared" si="125"/>
        <v>117979.99999999997</v>
      </c>
      <c r="AT116" s="308">
        <f t="shared" si="125"/>
        <v>119313.3333333333</v>
      </c>
    </row>
    <row r="117" spans="1:46" ht="15.75" customHeight="1" x14ac:dyDescent="0.25">
      <c r="A117" s="289"/>
      <c r="B117" s="289"/>
      <c r="C117" s="289"/>
      <c r="D117" s="289"/>
      <c r="E117" s="289"/>
      <c r="F117" s="289"/>
      <c r="G117" s="330"/>
      <c r="H117" s="335">
        <v>7.6499999999999999E-2</v>
      </c>
      <c r="I117" s="117"/>
      <c r="J117" s="334" t="s">
        <v>570</v>
      </c>
      <c r="K117" s="336">
        <f t="shared" ref="K117:AT117" si="126">$H117*K$115</f>
        <v>4937.4375</v>
      </c>
      <c r="L117" s="337">
        <f t="shared" si="126"/>
        <v>4937.4375</v>
      </c>
      <c r="M117" s="337">
        <f t="shared" si="126"/>
        <v>6346.3125000000009</v>
      </c>
      <c r="N117" s="337">
        <f t="shared" si="126"/>
        <v>7206.9375000000009</v>
      </c>
      <c r="O117" s="337">
        <f t="shared" si="126"/>
        <v>8003.8125000000009</v>
      </c>
      <c r="P117" s="337">
        <f t="shared" si="126"/>
        <v>8800.6875000000018</v>
      </c>
      <c r="Q117" s="337">
        <f t="shared" si="126"/>
        <v>9514.6875000000018</v>
      </c>
      <c r="R117" s="337">
        <f t="shared" si="126"/>
        <v>9871.6875000000018</v>
      </c>
      <c r="S117" s="337">
        <f t="shared" si="126"/>
        <v>9871.6875000000018</v>
      </c>
      <c r="T117" s="337">
        <f t="shared" si="126"/>
        <v>10152.1875</v>
      </c>
      <c r="U117" s="337">
        <f t="shared" si="126"/>
        <v>10152.1875</v>
      </c>
      <c r="V117" s="337">
        <f t="shared" si="126"/>
        <v>10152.1875</v>
      </c>
      <c r="W117" s="336">
        <f t="shared" si="126"/>
        <v>26127.937499999996</v>
      </c>
      <c r="X117" s="337">
        <f t="shared" si="126"/>
        <v>27912.937499999996</v>
      </c>
      <c r="Y117" s="337">
        <f t="shared" si="126"/>
        <v>29347.312499999996</v>
      </c>
      <c r="Z117" s="337">
        <f t="shared" si="126"/>
        <v>31259.8125</v>
      </c>
      <c r="AA117" s="337">
        <f t="shared" si="126"/>
        <v>32789.812499999993</v>
      </c>
      <c r="AB117" s="337">
        <f t="shared" si="126"/>
        <v>33586.687499999993</v>
      </c>
      <c r="AC117" s="337">
        <f t="shared" si="126"/>
        <v>36965.437499999993</v>
      </c>
      <c r="AD117" s="337">
        <f t="shared" si="126"/>
        <v>39706.687499999993</v>
      </c>
      <c r="AE117" s="337">
        <f t="shared" si="126"/>
        <v>40854.187499999985</v>
      </c>
      <c r="AF117" s="337">
        <f t="shared" si="126"/>
        <v>42288.562499999985</v>
      </c>
      <c r="AG117" s="337">
        <f t="shared" si="126"/>
        <v>42288.562499999985</v>
      </c>
      <c r="AH117" s="337">
        <f t="shared" si="126"/>
        <v>44041.687499999985</v>
      </c>
      <c r="AI117" s="336">
        <f t="shared" si="126"/>
        <v>48440.437499999985</v>
      </c>
      <c r="AJ117" s="337">
        <f t="shared" si="126"/>
        <v>49237.312499999993</v>
      </c>
      <c r="AK117" s="337">
        <f t="shared" si="126"/>
        <v>49237.312499999993</v>
      </c>
      <c r="AL117" s="337">
        <f t="shared" si="126"/>
        <v>50034.187499999985</v>
      </c>
      <c r="AM117" s="337">
        <f t="shared" si="126"/>
        <v>50384.812499999978</v>
      </c>
      <c r="AN117" s="337">
        <f t="shared" si="126"/>
        <v>52137.937499999978</v>
      </c>
      <c r="AO117" s="337">
        <f t="shared" si="126"/>
        <v>52616.062499999985</v>
      </c>
      <c r="AP117" s="337">
        <f t="shared" si="126"/>
        <v>53253.562499999993</v>
      </c>
      <c r="AQ117" s="337">
        <f t="shared" si="126"/>
        <v>54209.812499999993</v>
      </c>
      <c r="AR117" s="337">
        <f t="shared" si="126"/>
        <v>55580.437499999985</v>
      </c>
      <c r="AS117" s="337">
        <f t="shared" si="126"/>
        <v>56409.187499999978</v>
      </c>
      <c r="AT117" s="337">
        <f t="shared" si="126"/>
        <v>57046.687499999985</v>
      </c>
    </row>
    <row r="118" spans="1:46" ht="15.75" customHeight="1" x14ac:dyDescent="0.25">
      <c r="A118" s="289"/>
      <c r="B118" s="289"/>
      <c r="C118" s="289"/>
      <c r="D118" s="289"/>
      <c r="E118" s="289"/>
      <c r="F118" s="289"/>
      <c r="G118" s="330"/>
      <c r="H118" s="330"/>
      <c r="I118" s="117"/>
      <c r="J118" s="334" t="s">
        <v>571</v>
      </c>
      <c r="K118" s="301">
        <f t="shared" ref="K118:AT118" si="127">SUM(K115:K117)</f>
        <v>79805.770833333343</v>
      </c>
      <c r="L118" s="302">
        <f t="shared" si="127"/>
        <v>79805.770833333343</v>
      </c>
      <c r="M118" s="302">
        <f t="shared" si="127"/>
        <v>102577.97916666669</v>
      </c>
      <c r="N118" s="302">
        <f t="shared" si="127"/>
        <v>116488.60416666669</v>
      </c>
      <c r="O118" s="302">
        <f t="shared" si="127"/>
        <v>129368.81250000001</v>
      </c>
      <c r="P118" s="302">
        <f t="shared" si="127"/>
        <v>142249.02083333337</v>
      </c>
      <c r="Q118" s="302">
        <f t="shared" si="127"/>
        <v>153789.68750000003</v>
      </c>
      <c r="R118" s="302">
        <f t="shared" si="127"/>
        <v>159560.02083333337</v>
      </c>
      <c r="S118" s="302">
        <f t="shared" si="127"/>
        <v>159560.02083333337</v>
      </c>
      <c r="T118" s="302">
        <f t="shared" si="127"/>
        <v>164093.85416666669</v>
      </c>
      <c r="U118" s="302">
        <f t="shared" si="127"/>
        <v>164093.85416666669</v>
      </c>
      <c r="V118" s="302">
        <f t="shared" si="127"/>
        <v>164093.85416666669</v>
      </c>
      <c r="W118" s="301">
        <f t="shared" si="127"/>
        <v>422316.27083333331</v>
      </c>
      <c r="X118" s="302">
        <f t="shared" si="127"/>
        <v>451167.93749999994</v>
      </c>
      <c r="Y118" s="302">
        <f t="shared" si="127"/>
        <v>474352.31249999994</v>
      </c>
      <c r="Z118" s="302">
        <f t="shared" si="127"/>
        <v>505264.8125</v>
      </c>
      <c r="AA118" s="302">
        <f t="shared" si="127"/>
        <v>529994.81249999988</v>
      </c>
      <c r="AB118" s="302">
        <f t="shared" si="127"/>
        <v>542875.02083333326</v>
      </c>
      <c r="AC118" s="302">
        <f t="shared" si="127"/>
        <v>597487.10416666663</v>
      </c>
      <c r="AD118" s="302">
        <f t="shared" si="127"/>
        <v>641795.02083333326</v>
      </c>
      <c r="AE118" s="302">
        <f t="shared" si="127"/>
        <v>660342.52083333314</v>
      </c>
      <c r="AF118" s="302">
        <f t="shared" si="127"/>
        <v>683526.89583333314</v>
      </c>
      <c r="AG118" s="302">
        <f t="shared" si="127"/>
        <v>683526.89583333314</v>
      </c>
      <c r="AH118" s="302">
        <f t="shared" si="127"/>
        <v>711863.3541666664</v>
      </c>
      <c r="AI118" s="301">
        <f t="shared" si="127"/>
        <v>782962.1041666664</v>
      </c>
      <c r="AJ118" s="302">
        <f t="shared" si="127"/>
        <v>795842.31249999988</v>
      </c>
      <c r="AK118" s="302">
        <f t="shared" si="127"/>
        <v>795842.31249999988</v>
      </c>
      <c r="AL118" s="302">
        <f t="shared" si="127"/>
        <v>808722.52083333314</v>
      </c>
      <c r="AM118" s="302">
        <f t="shared" si="127"/>
        <v>814389.81249999977</v>
      </c>
      <c r="AN118" s="302">
        <f t="shared" si="127"/>
        <v>842726.27083333302</v>
      </c>
      <c r="AO118" s="302">
        <f t="shared" si="127"/>
        <v>850454.39583333314</v>
      </c>
      <c r="AP118" s="302">
        <f t="shared" si="127"/>
        <v>860758.56249999988</v>
      </c>
      <c r="AQ118" s="302">
        <f t="shared" si="127"/>
        <v>876214.81249999988</v>
      </c>
      <c r="AR118" s="302">
        <f t="shared" si="127"/>
        <v>898368.77083333314</v>
      </c>
      <c r="AS118" s="302">
        <f t="shared" si="127"/>
        <v>911764.18749999977</v>
      </c>
      <c r="AT118" s="302">
        <f t="shared" si="127"/>
        <v>922068.3541666664</v>
      </c>
    </row>
    <row r="119" spans="1:46" ht="15.75" customHeight="1" x14ac:dyDescent="0.25">
      <c r="A119" s="289"/>
      <c r="B119" s="289"/>
      <c r="C119" s="289"/>
      <c r="D119" s="289"/>
      <c r="E119" s="289"/>
      <c r="F119" s="289"/>
      <c r="G119" s="330"/>
      <c r="H119" s="330"/>
      <c r="I119" s="117"/>
      <c r="J119" s="334"/>
      <c r="K119" s="301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1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1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</row>
    <row r="120" spans="1:46" ht="15.75" hidden="1" customHeight="1" x14ac:dyDescent="0.25">
      <c r="A120" s="289"/>
      <c r="B120" s="289"/>
      <c r="C120" s="289"/>
      <c r="D120" s="289"/>
      <c r="E120" s="289"/>
      <c r="F120" s="289"/>
      <c r="G120" s="330"/>
      <c r="H120" s="330"/>
      <c r="I120" s="117"/>
      <c r="J120" s="334" t="s">
        <v>572</v>
      </c>
      <c r="K120" s="338">
        <f t="shared" ref="K120:AT120" si="128">SUM(K99:K113)</f>
        <v>0</v>
      </c>
      <c r="L120" s="339">
        <f t="shared" si="128"/>
        <v>0</v>
      </c>
      <c r="M120" s="339">
        <f t="shared" si="128"/>
        <v>0</v>
      </c>
      <c r="N120" s="339">
        <f t="shared" si="128"/>
        <v>0</v>
      </c>
      <c r="O120" s="339">
        <f t="shared" si="128"/>
        <v>0</v>
      </c>
      <c r="P120" s="339">
        <f t="shared" si="128"/>
        <v>0</v>
      </c>
      <c r="Q120" s="339">
        <f t="shared" si="128"/>
        <v>0</v>
      </c>
      <c r="R120" s="339">
        <f t="shared" si="128"/>
        <v>0</v>
      </c>
      <c r="S120" s="339">
        <f t="shared" si="128"/>
        <v>0</v>
      </c>
      <c r="T120" s="339">
        <f t="shared" si="128"/>
        <v>0</v>
      </c>
      <c r="U120" s="339">
        <f t="shared" si="128"/>
        <v>0</v>
      </c>
      <c r="V120" s="339">
        <f t="shared" si="128"/>
        <v>0</v>
      </c>
      <c r="W120" s="338">
        <f t="shared" si="128"/>
        <v>0</v>
      </c>
      <c r="X120" s="339">
        <f t="shared" si="128"/>
        <v>0</v>
      </c>
      <c r="Y120" s="339">
        <f t="shared" si="128"/>
        <v>0</v>
      </c>
      <c r="Z120" s="339">
        <f t="shared" si="128"/>
        <v>0</v>
      </c>
      <c r="AA120" s="339">
        <f t="shared" si="128"/>
        <v>0</v>
      </c>
      <c r="AB120" s="339">
        <f t="shared" si="128"/>
        <v>0</v>
      </c>
      <c r="AC120" s="339">
        <f t="shared" si="128"/>
        <v>0</v>
      </c>
      <c r="AD120" s="339">
        <f t="shared" si="128"/>
        <v>0</v>
      </c>
      <c r="AE120" s="339">
        <f t="shared" si="128"/>
        <v>0</v>
      </c>
      <c r="AF120" s="339">
        <f t="shared" si="128"/>
        <v>0</v>
      </c>
      <c r="AG120" s="339">
        <f t="shared" si="128"/>
        <v>0</v>
      </c>
      <c r="AH120" s="339">
        <f t="shared" si="128"/>
        <v>0</v>
      </c>
      <c r="AI120" s="338">
        <f t="shared" si="128"/>
        <v>0</v>
      </c>
      <c r="AJ120" s="339">
        <f t="shared" si="128"/>
        <v>0</v>
      </c>
      <c r="AK120" s="339">
        <f t="shared" si="128"/>
        <v>0</v>
      </c>
      <c r="AL120" s="339">
        <f t="shared" si="128"/>
        <v>0</v>
      </c>
      <c r="AM120" s="339">
        <f t="shared" si="128"/>
        <v>0</v>
      </c>
      <c r="AN120" s="339">
        <f t="shared" si="128"/>
        <v>0</v>
      </c>
      <c r="AO120" s="339">
        <f t="shared" si="128"/>
        <v>0</v>
      </c>
      <c r="AP120" s="339">
        <f t="shared" si="128"/>
        <v>0</v>
      </c>
      <c r="AQ120" s="339">
        <f t="shared" si="128"/>
        <v>0</v>
      </c>
      <c r="AR120" s="339">
        <f t="shared" si="128"/>
        <v>0</v>
      </c>
      <c r="AS120" s="339">
        <f t="shared" si="128"/>
        <v>0</v>
      </c>
      <c r="AT120" s="339">
        <f t="shared" si="128"/>
        <v>0</v>
      </c>
    </row>
    <row r="121" spans="1:46" ht="15.75" hidden="1" customHeight="1" x14ac:dyDescent="0.25">
      <c r="A121" s="289"/>
      <c r="B121" s="289"/>
      <c r="C121" s="289"/>
      <c r="D121" s="289"/>
      <c r="E121" s="289"/>
      <c r="F121" s="289"/>
      <c r="G121" s="330"/>
      <c r="H121" s="330"/>
      <c r="I121" s="117"/>
      <c r="J121" s="334" t="s">
        <v>573</v>
      </c>
      <c r="K121" s="301">
        <f t="shared" ref="K121:AT121" si="129">K118+K120</f>
        <v>79805.770833333343</v>
      </c>
      <c r="L121" s="302">
        <f t="shared" si="129"/>
        <v>79805.770833333343</v>
      </c>
      <c r="M121" s="302">
        <f t="shared" si="129"/>
        <v>102577.97916666669</v>
      </c>
      <c r="N121" s="302">
        <f t="shared" si="129"/>
        <v>116488.60416666669</v>
      </c>
      <c r="O121" s="302">
        <f t="shared" si="129"/>
        <v>129368.81250000001</v>
      </c>
      <c r="P121" s="302">
        <f t="shared" si="129"/>
        <v>142249.02083333337</v>
      </c>
      <c r="Q121" s="302">
        <f t="shared" si="129"/>
        <v>153789.68750000003</v>
      </c>
      <c r="R121" s="302">
        <f t="shared" si="129"/>
        <v>159560.02083333337</v>
      </c>
      <c r="S121" s="302">
        <f t="shared" si="129"/>
        <v>159560.02083333337</v>
      </c>
      <c r="T121" s="302">
        <f t="shared" si="129"/>
        <v>164093.85416666669</v>
      </c>
      <c r="U121" s="302">
        <f t="shared" si="129"/>
        <v>164093.85416666669</v>
      </c>
      <c r="V121" s="302">
        <f t="shared" si="129"/>
        <v>164093.85416666669</v>
      </c>
      <c r="W121" s="301">
        <f t="shared" si="129"/>
        <v>422316.27083333331</v>
      </c>
      <c r="X121" s="302">
        <f t="shared" si="129"/>
        <v>451167.93749999994</v>
      </c>
      <c r="Y121" s="302">
        <f t="shared" si="129"/>
        <v>474352.31249999994</v>
      </c>
      <c r="Z121" s="302">
        <f t="shared" si="129"/>
        <v>505264.8125</v>
      </c>
      <c r="AA121" s="302">
        <f t="shared" si="129"/>
        <v>529994.81249999988</v>
      </c>
      <c r="AB121" s="302">
        <f t="shared" si="129"/>
        <v>542875.02083333326</v>
      </c>
      <c r="AC121" s="302">
        <f t="shared" si="129"/>
        <v>597487.10416666663</v>
      </c>
      <c r="AD121" s="302">
        <f t="shared" si="129"/>
        <v>641795.02083333326</v>
      </c>
      <c r="AE121" s="302">
        <f t="shared" si="129"/>
        <v>660342.52083333314</v>
      </c>
      <c r="AF121" s="302">
        <f t="shared" si="129"/>
        <v>683526.89583333314</v>
      </c>
      <c r="AG121" s="302">
        <f t="shared" si="129"/>
        <v>683526.89583333314</v>
      </c>
      <c r="AH121" s="302">
        <f t="shared" si="129"/>
        <v>711863.3541666664</v>
      </c>
      <c r="AI121" s="301">
        <f t="shared" si="129"/>
        <v>782962.1041666664</v>
      </c>
      <c r="AJ121" s="302">
        <f t="shared" si="129"/>
        <v>795842.31249999988</v>
      </c>
      <c r="AK121" s="302">
        <f t="shared" si="129"/>
        <v>795842.31249999988</v>
      </c>
      <c r="AL121" s="302">
        <f t="shared" si="129"/>
        <v>808722.52083333314</v>
      </c>
      <c r="AM121" s="302">
        <f t="shared" si="129"/>
        <v>814389.81249999977</v>
      </c>
      <c r="AN121" s="302">
        <f t="shared" si="129"/>
        <v>842726.27083333302</v>
      </c>
      <c r="AO121" s="302">
        <f t="shared" si="129"/>
        <v>850454.39583333314</v>
      </c>
      <c r="AP121" s="302">
        <f t="shared" si="129"/>
        <v>860758.56249999988</v>
      </c>
      <c r="AQ121" s="302">
        <f t="shared" si="129"/>
        <v>876214.81249999988</v>
      </c>
      <c r="AR121" s="302">
        <f t="shared" si="129"/>
        <v>898368.77083333314</v>
      </c>
      <c r="AS121" s="302">
        <f t="shared" si="129"/>
        <v>911764.18749999977</v>
      </c>
      <c r="AT121" s="302">
        <f t="shared" si="129"/>
        <v>922068.3541666664</v>
      </c>
    </row>
    <row r="122" spans="1:46" ht="15.75" customHeight="1" x14ac:dyDescent="0.25">
      <c r="A122" s="289"/>
      <c r="B122" s="289"/>
      <c r="C122" s="289"/>
      <c r="D122" s="289"/>
      <c r="E122" s="289"/>
      <c r="F122" s="289"/>
      <c r="G122" s="330"/>
      <c r="H122" s="330"/>
      <c r="I122" s="117"/>
      <c r="J122" s="289"/>
      <c r="K122" s="331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331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95"/>
      <c r="AJ122" s="289"/>
      <c r="AK122" s="289"/>
      <c r="AL122" s="289"/>
      <c r="AM122" s="289"/>
      <c r="AN122" s="289"/>
      <c r="AO122" s="289"/>
      <c r="AP122" s="289"/>
      <c r="AQ122" s="289"/>
      <c r="AR122" s="289"/>
      <c r="AS122" s="289"/>
      <c r="AT122" s="289"/>
    </row>
    <row r="123" spans="1:46" ht="14.25" customHeight="1" x14ac:dyDescent="0.25">
      <c r="A123" s="289"/>
      <c r="B123" s="289"/>
      <c r="C123" s="289"/>
      <c r="D123" s="289"/>
      <c r="E123" s="289"/>
      <c r="F123" s="289"/>
      <c r="G123" s="330"/>
      <c r="H123" s="330"/>
      <c r="I123" s="117"/>
      <c r="J123" s="340" t="s">
        <v>574</v>
      </c>
      <c r="K123" s="331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331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95"/>
      <c r="AJ123" s="289"/>
      <c r="AK123" s="289"/>
      <c r="AL123" s="289"/>
      <c r="AM123" s="289"/>
      <c r="AN123" s="289"/>
      <c r="AO123" s="289"/>
      <c r="AP123" s="289"/>
      <c r="AQ123" s="289"/>
      <c r="AR123" s="289"/>
      <c r="AS123" s="289"/>
      <c r="AT123" s="289"/>
    </row>
    <row r="124" spans="1:46" ht="14.25" customHeight="1" x14ac:dyDescent="0.25">
      <c r="A124" s="118"/>
      <c r="B124" s="118"/>
      <c r="C124" s="289"/>
      <c r="D124" s="289"/>
      <c r="E124" s="118"/>
      <c r="F124" s="118"/>
      <c r="G124" s="330"/>
      <c r="H124" s="330" t="s">
        <v>575</v>
      </c>
      <c r="I124" s="117" t="s">
        <v>213</v>
      </c>
      <c r="J124" s="289"/>
      <c r="K124" s="307">
        <f t="shared" ref="K124:AT124" si="130">SUMIF($F$5:$F$95,$I124,K$5:K$95)</f>
        <v>20416.666666666668</v>
      </c>
      <c r="L124" s="308">
        <f t="shared" si="130"/>
        <v>20416.666666666668</v>
      </c>
      <c r="M124" s="308">
        <f t="shared" si="130"/>
        <v>30416.666666666668</v>
      </c>
      <c r="N124" s="308">
        <f t="shared" si="130"/>
        <v>41666.666666666672</v>
      </c>
      <c r="O124" s="308">
        <f t="shared" si="130"/>
        <v>41666.666666666672</v>
      </c>
      <c r="P124" s="308">
        <f t="shared" si="130"/>
        <v>41666.666666666672</v>
      </c>
      <c r="Q124" s="308">
        <f t="shared" si="130"/>
        <v>41666.666666666672</v>
      </c>
      <c r="R124" s="308">
        <f t="shared" si="130"/>
        <v>46333.333333333336</v>
      </c>
      <c r="S124" s="308">
        <f t="shared" si="130"/>
        <v>46333.333333333336</v>
      </c>
      <c r="T124" s="308">
        <f t="shared" si="130"/>
        <v>50000</v>
      </c>
      <c r="U124" s="308">
        <f t="shared" si="130"/>
        <v>50000</v>
      </c>
      <c r="V124" s="308">
        <f t="shared" si="130"/>
        <v>50000</v>
      </c>
      <c r="W124" s="307">
        <f t="shared" si="130"/>
        <v>155916.66666666663</v>
      </c>
      <c r="X124" s="308">
        <f t="shared" si="130"/>
        <v>162166.66666666663</v>
      </c>
      <c r="Y124" s="308">
        <f t="shared" si="130"/>
        <v>168416.66666666663</v>
      </c>
      <c r="Z124" s="308">
        <f t="shared" si="130"/>
        <v>168416.66666666663</v>
      </c>
      <c r="AA124" s="308">
        <f t="shared" si="130"/>
        <v>168416.66666666663</v>
      </c>
      <c r="AB124" s="308">
        <f t="shared" si="130"/>
        <v>168416.66666666663</v>
      </c>
      <c r="AC124" s="308">
        <f t="shared" si="130"/>
        <v>172583.33333333328</v>
      </c>
      <c r="AD124" s="308">
        <f t="shared" si="130"/>
        <v>172583.33333333328</v>
      </c>
      <c r="AE124" s="308">
        <f t="shared" si="130"/>
        <v>172583.33333333328</v>
      </c>
      <c r="AF124" s="308">
        <f t="shared" si="130"/>
        <v>172583.33333333328</v>
      </c>
      <c r="AG124" s="308">
        <f t="shared" si="130"/>
        <v>172583.33333333328</v>
      </c>
      <c r="AH124" s="308">
        <f t="shared" si="130"/>
        <v>172583.33333333328</v>
      </c>
      <c r="AI124" s="307">
        <f t="shared" si="130"/>
        <v>197583.33333333328</v>
      </c>
      <c r="AJ124" s="308">
        <f t="shared" si="130"/>
        <v>197583.33333333328</v>
      </c>
      <c r="AK124" s="308">
        <f t="shared" si="130"/>
        <v>197583.33333333328</v>
      </c>
      <c r="AL124" s="308">
        <f t="shared" si="130"/>
        <v>197583.33333333328</v>
      </c>
      <c r="AM124" s="308">
        <f t="shared" si="130"/>
        <v>197583.33333333328</v>
      </c>
      <c r="AN124" s="308">
        <f t="shared" si="130"/>
        <v>207999.99999999994</v>
      </c>
      <c r="AO124" s="308">
        <f t="shared" si="130"/>
        <v>207999.99999999994</v>
      </c>
      <c r="AP124" s="308">
        <f t="shared" si="130"/>
        <v>207999.99999999994</v>
      </c>
      <c r="AQ124" s="308">
        <f t="shared" si="130"/>
        <v>207999.99999999994</v>
      </c>
      <c r="AR124" s="308">
        <f t="shared" si="130"/>
        <v>207999.99999999994</v>
      </c>
      <c r="AS124" s="308">
        <f t="shared" si="130"/>
        <v>207999.99999999994</v>
      </c>
      <c r="AT124" s="308">
        <f t="shared" si="130"/>
        <v>207999.99999999994</v>
      </c>
    </row>
    <row r="125" spans="1:46" ht="14.25" customHeight="1" x14ac:dyDescent="0.25">
      <c r="A125" s="118"/>
      <c r="B125" s="118"/>
      <c r="C125" s="289"/>
      <c r="D125" s="289"/>
      <c r="E125" s="118"/>
      <c r="F125" s="118"/>
      <c r="G125" s="330"/>
      <c r="H125" s="330" t="s">
        <v>575</v>
      </c>
      <c r="I125" s="341" t="s">
        <v>214</v>
      </c>
      <c r="J125" s="289"/>
      <c r="K125" s="307">
        <f t="shared" ref="K125:AT125" si="131">SUMIF($F$5:$F$95,$I125,K$5:K$95)</f>
        <v>21208.333333333332</v>
      </c>
      <c r="L125" s="308">
        <f t="shared" si="131"/>
        <v>21208.333333333332</v>
      </c>
      <c r="M125" s="308">
        <f t="shared" si="131"/>
        <v>21208.333333333332</v>
      </c>
      <c r="N125" s="308">
        <f t="shared" si="131"/>
        <v>21208.333333333332</v>
      </c>
      <c r="O125" s="308">
        <f t="shared" si="131"/>
        <v>21208.333333333332</v>
      </c>
      <c r="P125" s="308">
        <f t="shared" si="131"/>
        <v>21208.333333333332</v>
      </c>
      <c r="Q125" s="308">
        <f t="shared" si="131"/>
        <v>21208.333333333332</v>
      </c>
      <c r="R125" s="308">
        <f t="shared" si="131"/>
        <v>21208.333333333332</v>
      </c>
      <c r="S125" s="308">
        <f t="shared" si="131"/>
        <v>21208.333333333332</v>
      </c>
      <c r="T125" s="308">
        <f t="shared" si="131"/>
        <v>21208.333333333332</v>
      </c>
      <c r="U125" s="308">
        <f t="shared" si="131"/>
        <v>21208.333333333332</v>
      </c>
      <c r="V125" s="308">
        <f t="shared" si="131"/>
        <v>21208.333333333332</v>
      </c>
      <c r="W125" s="307">
        <f t="shared" si="131"/>
        <v>39125</v>
      </c>
      <c r="X125" s="308">
        <f t="shared" si="131"/>
        <v>39125</v>
      </c>
      <c r="Y125" s="308">
        <f t="shared" si="131"/>
        <v>39125</v>
      </c>
      <c r="Z125" s="308">
        <f t="shared" si="131"/>
        <v>39125</v>
      </c>
      <c r="AA125" s="308">
        <f t="shared" si="131"/>
        <v>46625</v>
      </c>
      <c r="AB125" s="308">
        <f t="shared" si="131"/>
        <v>57041.666666666664</v>
      </c>
      <c r="AC125" s="308">
        <f t="shared" si="131"/>
        <v>57041.666666666664</v>
      </c>
      <c r="AD125" s="308">
        <f t="shared" si="131"/>
        <v>64541.666666666664</v>
      </c>
      <c r="AE125" s="308">
        <f t="shared" si="131"/>
        <v>74958.333333333328</v>
      </c>
      <c r="AF125" s="308">
        <f t="shared" si="131"/>
        <v>74958.333333333328</v>
      </c>
      <c r="AG125" s="308">
        <f t="shared" si="131"/>
        <v>74958.333333333328</v>
      </c>
      <c r="AH125" s="308">
        <f t="shared" si="131"/>
        <v>74958.333333333328</v>
      </c>
      <c r="AI125" s="307">
        <f t="shared" si="131"/>
        <v>82458.333333333328</v>
      </c>
      <c r="AJ125" s="308">
        <f t="shared" si="131"/>
        <v>92875</v>
      </c>
      <c r="AK125" s="308">
        <f t="shared" si="131"/>
        <v>92875</v>
      </c>
      <c r="AL125" s="308">
        <f t="shared" si="131"/>
        <v>92875</v>
      </c>
      <c r="AM125" s="308">
        <f t="shared" si="131"/>
        <v>92875</v>
      </c>
      <c r="AN125" s="308">
        <f t="shared" si="131"/>
        <v>92875</v>
      </c>
      <c r="AO125" s="308">
        <f t="shared" si="131"/>
        <v>92875</v>
      </c>
      <c r="AP125" s="308">
        <f t="shared" si="131"/>
        <v>92875</v>
      </c>
      <c r="AQ125" s="308">
        <f t="shared" si="131"/>
        <v>92875</v>
      </c>
      <c r="AR125" s="308">
        <f t="shared" si="131"/>
        <v>92875</v>
      </c>
      <c r="AS125" s="308">
        <f t="shared" si="131"/>
        <v>92875</v>
      </c>
      <c r="AT125" s="308">
        <f t="shared" si="131"/>
        <v>92875</v>
      </c>
    </row>
    <row r="126" spans="1:46" ht="14.25" customHeight="1" x14ac:dyDescent="0.25">
      <c r="A126" s="118"/>
      <c r="B126" s="118"/>
      <c r="C126" s="289"/>
      <c r="D126" s="289"/>
      <c r="E126" s="118"/>
      <c r="F126" s="118"/>
      <c r="G126" s="330"/>
      <c r="H126" s="342" t="s">
        <v>575</v>
      </c>
      <c r="I126" s="343" t="s">
        <v>215</v>
      </c>
      <c r="J126" s="344"/>
      <c r="K126" s="307">
        <f t="shared" ref="K126:AT126" si="132">SUMIF($F$5:$F$95,$I126,K$5:K$95)</f>
        <v>0</v>
      </c>
      <c r="L126" s="308">
        <f t="shared" si="132"/>
        <v>0</v>
      </c>
      <c r="M126" s="308">
        <f t="shared" si="132"/>
        <v>0</v>
      </c>
      <c r="N126" s="308">
        <f t="shared" si="132"/>
        <v>0</v>
      </c>
      <c r="O126" s="308">
        <f t="shared" si="132"/>
        <v>0</v>
      </c>
      <c r="P126" s="308">
        <f t="shared" si="132"/>
        <v>0</v>
      </c>
      <c r="Q126" s="308">
        <f t="shared" si="132"/>
        <v>0</v>
      </c>
      <c r="R126" s="308">
        <f t="shared" si="132"/>
        <v>0</v>
      </c>
      <c r="S126" s="308">
        <f t="shared" si="132"/>
        <v>0</v>
      </c>
      <c r="T126" s="308">
        <f t="shared" si="132"/>
        <v>0</v>
      </c>
      <c r="U126" s="308">
        <f t="shared" si="132"/>
        <v>0</v>
      </c>
      <c r="V126" s="308">
        <f t="shared" si="132"/>
        <v>0</v>
      </c>
      <c r="W126" s="307">
        <f t="shared" si="132"/>
        <v>45833.333333333336</v>
      </c>
      <c r="X126" s="308">
        <f t="shared" si="132"/>
        <v>45833.333333333336</v>
      </c>
      <c r="Y126" s="308">
        <f t="shared" si="132"/>
        <v>45833.333333333336</v>
      </c>
      <c r="Z126" s="308">
        <f t="shared" si="132"/>
        <v>56250</v>
      </c>
      <c r="AA126" s="308">
        <f t="shared" si="132"/>
        <v>56250</v>
      </c>
      <c r="AB126" s="308">
        <f t="shared" si="132"/>
        <v>56250</v>
      </c>
      <c r="AC126" s="308">
        <f t="shared" si="132"/>
        <v>66666.666666666657</v>
      </c>
      <c r="AD126" s="308">
        <f t="shared" si="132"/>
        <v>66666.666666666657</v>
      </c>
      <c r="AE126" s="308">
        <f t="shared" si="132"/>
        <v>66666.666666666657</v>
      </c>
      <c r="AF126" s="308">
        <f t="shared" si="132"/>
        <v>77083.333333333328</v>
      </c>
      <c r="AG126" s="308">
        <f t="shared" si="132"/>
        <v>77083.333333333328</v>
      </c>
      <c r="AH126" s="308">
        <f t="shared" si="132"/>
        <v>77083.333333333328</v>
      </c>
      <c r="AI126" s="307">
        <f t="shared" si="132"/>
        <v>77083.333333333328</v>
      </c>
      <c r="AJ126" s="308">
        <f t="shared" si="132"/>
        <v>77083.333333333328</v>
      </c>
      <c r="AK126" s="308">
        <f t="shared" si="132"/>
        <v>77083.333333333328</v>
      </c>
      <c r="AL126" s="308">
        <f t="shared" si="132"/>
        <v>77083.333333333328</v>
      </c>
      <c r="AM126" s="308">
        <f t="shared" si="132"/>
        <v>77083.333333333328</v>
      </c>
      <c r="AN126" s="308">
        <f t="shared" si="132"/>
        <v>77083.333333333328</v>
      </c>
      <c r="AO126" s="308">
        <f t="shared" si="132"/>
        <v>77083.333333333328</v>
      </c>
      <c r="AP126" s="308">
        <f t="shared" si="132"/>
        <v>77083.333333333328</v>
      </c>
      <c r="AQ126" s="308">
        <f t="shared" si="132"/>
        <v>77083.333333333328</v>
      </c>
      <c r="AR126" s="308">
        <f t="shared" si="132"/>
        <v>77083.333333333328</v>
      </c>
      <c r="AS126" s="308">
        <f t="shared" si="132"/>
        <v>77083.333333333328</v>
      </c>
      <c r="AT126" s="308">
        <f t="shared" si="132"/>
        <v>77083.333333333328</v>
      </c>
    </row>
    <row r="127" spans="1:46" ht="14.25" customHeight="1" x14ac:dyDescent="0.25">
      <c r="A127" s="289"/>
      <c r="B127" s="289"/>
      <c r="C127" s="289"/>
      <c r="D127" s="289"/>
      <c r="E127" s="289"/>
      <c r="F127" s="289"/>
      <c r="G127" s="330"/>
      <c r="H127" s="342" t="s">
        <v>575</v>
      </c>
      <c r="I127" s="345" t="s">
        <v>216</v>
      </c>
      <c r="J127" s="344"/>
      <c r="K127" s="307">
        <f t="shared" ref="K127:AT127" si="133">SUMIF($F$5:$F$95,$I127,K$5:K$95)</f>
        <v>16666.666666666668</v>
      </c>
      <c r="L127" s="308">
        <f t="shared" si="133"/>
        <v>16666.666666666668</v>
      </c>
      <c r="M127" s="308">
        <f t="shared" si="133"/>
        <v>16666.666666666668</v>
      </c>
      <c r="N127" s="308">
        <f t="shared" si="133"/>
        <v>16666.666666666668</v>
      </c>
      <c r="O127" s="308">
        <f t="shared" si="133"/>
        <v>16666.666666666668</v>
      </c>
      <c r="P127" s="308">
        <f t="shared" si="133"/>
        <v>16666.666666666668</v>
      </c>
      <c r="Q127" s="308">
        <f t="shared" si="133"/>
        <v>16666.666666666668</v>
      </c>
      <c r="R127" s="308">
        <f t="shared" si="133"/>
        <v>16666.666666666668</v>
      </c>
      <c r="S127" s="308">
        <f t="shared" si="133"/>
        <v>16666.666666666668</v>
      </c>
      <c r="T127" s="308">
        <f t="shared" si="133"/>
        <v>16666.666666666668</v>
      </c>
      <c r="U127" s="308">
        <f t="shared" si="133"/>
        <v>16666.666666666668</v>
      </c>
      <c r="V127" s="308">
        <f t="shared" si="133"/>
        <v>16666.666666666668</v>
      </c>
      <c r="W127" s="307">
        <f t="shared" si="133"/>
        <v>28333.333333333336</v>
      </c>
      <c r="X127" s="308">
        <f t="shared" si="133"/>
        <v>28333.333333333336</v>
      </c>
      <c r="Y127" s="308">
        <f t="shared" si="133"/>
        <v>28333.333333333336</v>
      </c>
      <c r="Z127" s="308">
        <f t="shared" si="133"/>
        <v>38333.333333333336</v>
      </c>
      <c r="AA127" s="308">
        <f t="shared" si="133"/>
        <v>38333.333333333336</v>
      </c>
      <c r="AB127" s="308">
        <f t="shared" si="133"/>
        <v>38333.333333333336</v>
      </c>
      <c r="AC127" s="308">
        <f t="shared" si="133"/>
        <v>46666.666666666672</v>
      </c>
      <c r="AD127" s="308">
        <f t="shared" si="133"/>
        <v>46666.666666666672</v>
      </c>
      <c r="AE127" s="308">
        <f t="shared" si="133"/>
        <v>46666.666666666672</v>
      </c>
      <c r="AF127" s="308">
        <f t="shared" si="133"/>
        <v>55000.000000000007</v>
      </c>
      <c r="AG127" s="308">
        <f t="shared" si="133"/>
        <v>55000.000000000007</v>
      </c>
      <c r="AH127" s="308">
        <f t="shared" si="133"/>
        <v>55000.000000000007</v>
      </c>
      <c r="AI127" s="307">
        <f t="shared" si="133"/>
        <v>63333.333333333343</v>
      </c>
      <c r="AJ127" s="308">
        <f t="shared" si="133"/>
        <v>63333.333333333343</v>
      </c>
      <c r="AK127" s="308">
        <f t="shared" si="133"/>
        <v>63333.333333333343</v>
      </c>
      <c r="AL127" s="308">
        <f t="shared" si="133"/>
        <v>63333.333333333343</v>
      </c>
      <c r="AM127" s="308">
        <f t="shared" si="133"/>
        <v>63333.333333333343</v>
      </c>
      <c r="AN127" s="308">
        <f t="shared" si="133"/>
        <v>63333.333333333343</v>
      </c>
      <c r="AO127" s="308">
        <f t="shared" si="133"/>
        <v>63333.333333333343</v>
      </c>
      <c r="AP127" s="308">
        <f t="shared" si="133"/>
        <v>63333.333333333343</v>
      </c>
      <c r="AQ127" s="308">
        <f t="shared" si="133"/>
        <v>63333.333333333343</v>
      </c>
      <c r="AR127" s="308">
        <f t="shared" si="133"/>
        <v>63333.333333333343</v>
      </c>
      <c r="AS127" s="308">
        <f t="shared" si="133"/>
        <v>63333.333333333343</v>
      </c>
      <c r="AT127" s="308">
        <f t="shared" si="133"/>
        <v>63333.333333333343</v>
      </c>
    </row>
    <row r="128" spans="1:46" ht="14.25" customHeight="1" x14ac:dyDescent="0.25">
      <c r="A128" s="289"/>
      <c r="B128" s="289"/>
      <c r="C128" s="289"/>
      <c r="D128" s="289"/>
      <c r="E128" s="289"/>
      <c r="F128" s="289"/>
      <c r="G128" s="330"/>
      <c r="H128" s="342" t="s">
        <v>575</v>
      </c>
      <c r="I128" s="343" t="s">
        <v>25</v>
      </c>
      <c r="J128" s="344"/>
      <c r="K128" s="307">
        <f t="shared" ref="K128:AT128" si="134">SUMIF($F$5:$F$95,$I128,K$5:K$95)</f>
        <v>6250</v>
      </c>
      <c r="L128" s="308">
        <f t="shared" si="134"/>
        <v>6250</v>
      </c>
      <c r="M128" s="308">
        <f t="shared" si="134"/>
        <v>6250</v>
      </c>
      <c r="N128" s="308">
        <f t="shared" si="134"/>
        <v>6250</v>
      </c>
      <c r="O128" s="308">
        <f t="shared" si="134"/>
        <v>6250</v>
      </c>
      <c r="P128" s="308">
        <f t="shared" si="134"/>
        <v>6250</v>
      </c>
      <c r="Q128" s="308">
        <f t="shared" si="134"/>
        <v>6250</v>
      </c>
      <c r="R128" s="308">
        <f t="shared" si="134"/>
        <v>6250</v>
      </c>
      <c r="S128" s="308">
        <f t="shared" si="134"/>
        <v>6250</v>
      </c>
      <c r="T128" s="308">
        <f t="shared" si="134"/>
        <v>6250</v>
      </c>
      <c r="U128" s="308">
        <f t="shared" si="134"/>
        <v>6250</v>
      </c>
      <c r="V128" s="308">
        <f t="shared" si="134"/>
        <v>6250</v>
      </c>
      <c r="W128" s="307">
        <f t="shared" si="134"/>
        <v>18750</v>
      </c>
      <c r="X128" s="308">
        <f t="shared" si="134"/>
        <v>31250</v>
      </c>
      <c r="Y128" s="308">
        <f t="shared" si="134"/>
        <v>43750</v>
      </c>
      <c r="Z128" s="308">
        <f t="shared" si="134"/>
        <v>43750</v>
      </c>
      <c r="AA128" s="308">
        <f t="shared" si="134"/>
        <v>43750</v>
      </c>
      <c r="AB128" s="308">
        <f t="shared" si="134"/>
        <v>43750</v>
      </c>
      <c r="AC128" s="308">
        <f t="shared" si="134"/>
        <v>43750</v>
      </c>
      <c r="AD128" s="308">
        <f t="shared" si="134"/>
        <v>53333.333333333336</v>
      </c>
      <c r="AE128" s="308">
        <f t="shared" si="134"/>
        <v>53333.333333333336</v>
      </c>
      <c r="AF128" s="308">
        <f t="shared" si="134"/>
        <v>53333.333333333336</v>
      </c>
      <c r="AG128" s="308">
        <f t="shared" si="134"/>
        <v>53333.333333333336</v>
      </c>
      <c r="AH128" s="308">
        <f t="shared" si="134"/>
        <v>53333.333333333336</v>
      </c>
      <c r="AI128" s="307">
        <f t="shared" si="134"/>
        <v>53333.333333333336</v>
      </c>
      <c r="AJ128" s="308">
        <f t="shared" si="134"/>
        <v>53333.333333333336</v>
      </c>
      <c r="AK128" s="308">
        <f t="shared" si="134"/>
        <v>53333.333333333336</v>
      </c>
      <c r="AL128" s="308">
        <f t="shared" si="134"/>
        <v>53333.333333333336</v>
      </c>
      <c r="AM128" s="308">
        <f t="shared" si="134"/>
        <v>53333.333333333336</v>
      </c>
      <c r="AN128" s="308">
        <f t="shared" si="134"/>
        <v>53333.333333333336</v>
      </c>
      <c r="AO128" s="308">
        <f t="shared" si="134"/>
        <v>53333.333333333336</v>
      </c>
      <c r="AP128" s="308">
        <f t="shared" si="134"/>
        <v>53333.333333333336</v>
      </c>
      <c r="AQ128" s="308">
        <f t="shared" si="134"/>
        <v>53333.333333333336</v>
      </c>
      <c r="AR128" s="308">
        <f t="shared" si="134"/>
        <v>62916.666666666672</v>
      </c>
      <c r="AS128" s="308">
        <f t="shared" si="134"/>
        <v>62916.666666666672</v>
      </c>
      <c r="AT128" s="308">
        <f t="shared" si="134"/>
        <v>62916.666666666672</v>
      </c>
    </row>
    <row r="129" spans="1:46" ht="14.25" customHeight="1" x14ac:dyDescent="0.25">
      <c r="A129" s="289"/>
      <c r="B129" s="289"/>
      <c r="C129" s="289"/>
      <c r="D129" s="289"/>
      <c r="E129" s="289"/>
      <c r="F129" s="289"/>
      <c r="G129" s="289"/>
      <c r="H129" s="330" t="s">
        <v>21</v>
      </c>
      <c r="I129" s="346" t="s">
        <v>576</v>
      </c>
      <c r="J129" s="289"/>
      <c r="K129" s="307">
        <f t="shared" ref="K129:AT129" si="135">SUMIF($F$5:$F$95,$I129,K$5:K$95)</f>
        <v>0</v>
      </c>
      <c r="L129" s="308">
        <f t="shared" si="135"/>
        <v>0</v>
      </c>
      <c r="M129" s="308">
        <f t="shared" si="135"/>
        <v>0</v>
      </c>
      <c r="N129" s="308">
        <f t="shared" si="135"/>
        <v>0</v>
      </c>
      <c r="O129" s="308">
        <f t="shared" si="135"/>
        <v>0</v>
      </c>
      <c r="P129" s="308">
        <f t="shared" si="135"/>
        <v>0</v>
      </c>
      <c r="Q129" s="308">
        <f t="shared" si="135"/>
        <v>0</v>
      </c>
      <c r="R129" s="308">
        <f t="shared" si="135"/>
        <v>0</v>
      </c>
      <c r="S129" s="308">
        <f t="shared" si="135"/>
        <v>0</v>
      </c>
      <c r="T129" s="308">
        <f t="shared" si="135"/>
        <v>0</v>
      </c>
      <c r="U129" s="308">
        <f t="shared" si="135"/>
        <v>0</v>
      </c>
      <c r="V129" s="308">
        <f t="shared" si="135"/>
        <v>0</v>
      </c>
      <c r="W129" s="307">
        <f t="shared" si="135"/>
        <v>0</v>
      </c>
      <c r="X129" s="308">
        <f t="shared" si="135"/>
        <v>0</v>
      </c>
      <c r="Y129" s="308">
        <f t="shared" si="135"/>
        <v>0</v>
      </c>
      <c r="Z129" s="308">
        <f t="shared" si="135"/>
        <v>0</v>
      </c>
      <c r="AA129" s="308">
        <f t="shared" si="135"/>
        <v>0</v>
      </c>
      <c r="AB129" s="308">
        <f t="shared" si="135"/>
        <v>0</v>
      </c>
      <c r="AC129" s="308">
        <f t="shared" si="135"/>
        <v>0</v>
      </c>
      <c r="AD129" s="308">
        <f t="shared" si="135"/>
        <v>0</v>
      </c>
      <c r="AE129" s="308">
        <f t="shared" si="135"/>
        <v>0</v>
      </c>
      <c r="AF129" s="308">
        <f t="shared" si="135"/>
        <v>0</v>
      </c>
      <c r="AG129" s="308">
        <f t="shared" si="135"/>
        <v>0</v>
      </c>
      <c r="AH129" s="308">
        <f t="shared" si="135"/>
        <v>0</v>
      </c>
      <c r="AI129" s="307">
        <f t="shared" si="135"/>
        <v>0</v>
      </c>
      <c r="AJ129" s="308">
        <f t="shared" si="135"/>
        <v>0</v>
      </c>
      <c r="AK129" s="308">
        <f t="shared" si="135"/>
        <v>0</v>
      </c>
      <c r="AL129" s="308">
        <f t="shared" si="135"/>
        <v>0</v>
      </c>
      <c r="AM129" s="308">
        <f t="shared" si="135"/>
        <v>0</v>
      </c>
      <c r="AN129" s="308">
        <f t="shared" si="135"/>
        <v>0</v>
      </c>
      <c r="AO129" s="308">
        <f t="shared" si="135"/>
        <v>0</v>
      </c>
      <c r="AP129" s="308">
        <f t="shared" si="135"/>
        <v>0</v>
      </c>
      <c r="AQ129" s="308">
        <f t="shared" si="135"/>
        <v>0</v>
      </c>
      <c r="AR129" s="308">
        <f t="shared" si="135"/>
        <v>0</v>
      </c>
      <c r="AS129" s="308">
        <f t="shared" si="135"/>
        <v>0</v>
      </c>
      <c r="AT129" s="308">
        <f t="shared" si="135"/>
        <v>0</v>
      </c>
    </row>
    <row r="130" spans="1:46" ht="14.25" customHeight="1" x14ac:dyDescent="0.25">
      <c r="A130" s="289"/>
      <c r="B130" s="289"/>
      <c r="C130" s="289"/>
      <c r="D130" s="289"/>
      <c r="E130" s="289"/>
      <c r="F130" s="289"/>
      <c r="G130" s="289"/>
      <c r="H130" s="330" t="s">
        <v>21</v>
      </c>
      <c r="I130" s="117" t="s">
        <v>217</v>
      </c>
      <c r="J130" s="289"/>
      <c r="K130" s="307">
        <f t="shared" ref="K130:AT130" si="136">SUMIF($F$5:$F$95,$I130,K$5:K$95)</f>
        <v>0</v>
      </c>
      <c r="L130" s="308">
        <f t="shared" si="136"/>
        <v>0</v>
      </c>
      <c r="M130" s="308">
        <f t="shared" si="136"/>
        <v>8416.6666666666679</v>
      </c>
      <c r="N130" s="308">
        <f t="shared" si="136"/>
        <v>8416.6666666666679</v>
      </c>
      <c r="O130" s="308">
        <f t="shared" si="136"/>
        <v>18833.333333333332</v>
      </c>
      <c r="P130" s="308">
        <f t="shared" si="136"/>
        <v>29250</v>
      </c>
      <c r="Q130" s="308">
        <f t="shared" si="136"/>
        <v>38583.333333333328</v>
      </c>
      <c r="R130" s="308">
        <f t="shared" si="136"/>
        <v>38583.333333333328</v>
      </c>
      <c r="S130" s="308">
        <f t="shared" si="136"/>
        <v>38583.333333333328</v>
      </c>
      <c r="T130" s="308">
        <f t="shared" si="136"/>
        <v>38583.333333333328</v>
      </c>
      <c r="U130" s="308">
        <f t="shared" si="136"/>
        <v>38583.333333333328</v>
      </c>
      <c r="V130" s="308">
        <f t="shared" si="136"/>
        <v>38583.333333333328</v>
      </c>
      <c r="W130" s="307">
        <f t="shared" si="136"/>
        <v>43166.666666666664</v>
      </c>
      <c r="X130" s="308">
        <f t="shared" si="136"/>
        <v>47750</v>
      </c>
      <c r="Y130" s="308">
        <f t="shared" si="136"/>
        <v>47750</v>
      </c>
      <c r="Z130" s="308">
        <f t="shared" si="136"/>
        <v>52333.333333333336</v>
      </c>
      <c r="AA130" s="308">
        <f t="shared" si="136"/>
        <v>52333.333333333336</v>
      </c>
      <c r="AB130" s="308">
        <f t="shared" si="136"/>
        <v>52333.333333333336</v>
      </c>
      <c r="AC130" s="308">
        <f t="shared" si="136"/>
        <v>56916.666666666672</v>
      </c>
      <c r="AD130" s="308">
        <f t="shared" si="136"/>
        <v>56916.666666666672</v>
      </c>
      <c r="AE130" s="308">
        <f t="shared" si="136"/>
        <v>61500.000000000007</v>
      </c>
      <c r="AF130" s="308">
        <f t="shared" si="136"/>
        <v>61500.000000000007</v>
      </c>
      <c r="AG130" s="308">
        <f t="shared" si="136"/>
        <v>61500.000000000007</v>
      </c>
      <c r="AH130" s="308">
        <f t="shared" si="136"/>
        <v>61500.000000000007</v>
      </c>
      <c r="AI130" s="307">
        <f t="shared" si="136"/>
        <v>71916.666666666672</v>
      </c>
      <c r="AJ130" s="308">
        <f t="shared" si="136"/>
        <v>71916.666666666672</v>
      </c>
      <c r="AK130" s="308">
        <f t="shared" si="136"/>
        <v>71916.666666666672</v>
      </c>
      <c r="AL130" s="308">
        <f t="shared" si="136"/>
        <v>71916.666666666672</v>
      </c>
      <c r="AM130" s="308">
        <f t="shared" si="136"/>
        <v>76500</v>
      </c>
      <c r="AN130" s="308">
        <f t="shared" si="136"/>
        <v>76500</v>
      </c>
      <c r="AO130" s="308">
        <f t="shared" si="136"/>
        <v>76500</v>
      </c>
      <c r="AP130" s="308">
        <f t="shared" si="136"/>
        <v>76500</v>
      </c>
      <c r="AQ130" s="308">
        <f t="shared" si="136"/>
        <v>76500</v>
      </c>
      <c r="AR130" s="308">
        <f t="shared" si="136"/>
        <v>76500</v>
      </c>
      <c r="AS130" s="308">
        <f t="shared" si="136"/>
        <v>81083.333333333328</v>
      </c>
      <c r="AT130" s="308">
        <f t="shared" si="136"/>
        <v>81083.333333333328</v>
      </c>
    </row>
    <row r="131" spans="1:46" ht="14.25" customHeight="1" x14ac:dyDescent="0.25">
      <c r="A131" s="289"/>
      <c r="B131" s="289"/>
      <c r="C131" s="289"/>
      <c r="D131" s="289"/>
      <c r="E131" s="289"/>
      <c r="F131" s="289"/>
      <c r="G131" s="289"/>
      <c r="H131" s="330" t="s">
        <v>21</v>
      </c>
      <c r="I131" s="117" t="s">
        <v>17</v>
      </c>
      <c r="J131" s="289"/>
      <c r="K131" s="307">
        <f t="shared" ref="K131:AT131" si="137">SUMIF($F$5:$F$95,$I131,K$5:K$95)</f>
        <v>0</v>
      </c>
      <c r="L131" s="308">
        <f t="shared" si="137"/>
        <v>0</v>
      </c>
      <c r="M131" s="308">
        <f t="shared" si="137"/>
        <v>0</v>
      </c>
      <c r="N131" s="308">
        <f t="shared" si="137"/>
        <v>0</v>
      </c>
      <c r="O131" s="308">
        <f t="shared" si="137"/>
        <v>0</v>
      </c>
      <c r="P131" s="308">
        <f t="shared" si="137"/>
        <v>0</v>
      </c>
      <c r="Q131" s="308">
        <f t="shared" si="137"/>
        <v>0</v>
      </c>
      <c r="R131" s="308">
        <f t="shared" si="137"/>
        <v>0</v>
      </c>
      <c r="S131" s="308">
        <f t="shared" si="137"/>
        <v>0</v>
      </c>
      <c r="T131" s="308">
        <f t="shared" si="137"/>
        <v>0</v>
      </c>
      <c r="U131" s="308">
        <f t="shared" si="137"/>
        <v>0</v>
      </c>
      <c r="V131" s="308">
        <f t="shared" si="137"/>
        <v>0</v>
      </c>
      <c r="W131" s="307">
        <f t="shared" si="137"/>
        <v>10416.666666666666</v>
      </c>
      <c r="X131" s="308">
        <f t="shared" si="137"/>
        <v>10416.666666666666</v>
      </c>
      <c r="Y131" s="308">
        <f t="shared" si="137"/>
        <v>10416.666666666666</v>
      </c>
      <c r="Z131" s="308">
        <f t="shared" si="137"/>
        <v>10416.666666666666</v>
      </c>
      <c r="AA131" s="308">
        <f t="shared" si="137"/>
        <v>22916.666666666664</v>
      </c>
      <c r="AB131" s="308">
        <f t="shared" si="137"/>
        <v>22916.666666666664</v>
      </c>
      <c r="AC131" s="308">
        <f t="shared" si="137"/>
        <v>22916.666666666664</v>
      </c>
      <c r="AD131" s="308">
        <f t="shared" si="137"/>
        <v>29166.666666666664</v>
      </c>
      <c r="AE131" s="308">
        <f t="shared" si="137"/>
        <v>29166.666666666664</v>
      </c>
      <c r="AF131" s="308">
        <f t="shared" si="137"/>
        <v>29166.666666666664</v>
      </c>
      <c r="AG131" s="308">
        <f t="shared" si="137"/>
        <v>29166.666666666664</v>
      </c>
      <c r="AH131" s="308">
        <f t="shared" si="137"/>
        <v>29166.666666666664</v>
      </c>
      <c r="AI131" s="307">
        <f t="shared" si="137"/>
        <v>35416.666666666664</v>
      </c>
      <c r="AJ131" s="308">
        <f t="shared" si="137"/>
        <v>35416.666666666664</v>
      </c>
      <c r="AK131" s="308">
        <f t="shared" si="137"/>
        <v>35416.666666666664</v>
      </c>
      <c r="AL131" s="308">
        <f t="shared" si="137"/>
        <v>35416.666666666664</v>
      </c>
      <c r="AM131" s="308">
        <f t="shared" si="137"/>
        <v>35416.666666666664</v>
      </c>
      <c r="AN131" s="308">
        <f t="shared" si="137"/>
        <v>35416.666666666664</v>
      </c>
      <c r="AO131" s="308">
        <f t="shared" si="137"/>
        <v>41666.666666666664</v>
      </c>
      <c r="AP131" s="308">
        <f t="shared" si="137"/>
        <v>41666.666666666664</v>
      </c>
      <c r="AQ131" s="308">
        <f t="shared" si="137"/>
        <v>41666.666666666664</v>
      </c>
      <c r="AR131" s="308">
        <f t="shared" si="137"/>
        <v>41666.666666666664</v>
      </c>
      <c r="AS131" s="308">
        <f t="shared" si="137"/>
        <v>47916.666666666664</v>
      </c>
      <c r="AT131" s="308">
        <f t="shared" si="137"/>
        <v>47916.666666666664</v>
      </c>
    </row>
    <row r="132" spans="1:46" ht="14.25" customHeight="1" x14ac:dyDescent="0.25">
      <c r="A132" s="289"/>
      <c r="B132" s="289"/>
      <c r="C132" s="289"/>
      <c r="D132" s="289"/>
      <c r="E132" s="289"/>
      <c r="F132" s="289"/>
      <c r="G132" s="289"/>
      <c r="H132" s="330" t="s">
        <v>21</v>
      </c>
      <c r="I132" s="347" t="s">
        <v>218</v>
      </c>
      <c r="J132" s="289"/>
      <c r="K132" s="336">
        <f t="shared" ref="K132:AT132" si="138">SUMIF($F$5:$F$95,$I132,K$5:K$95)</f>
        <v>0</v>
      </c>
      <c r="L132" s="337">
        <f t="shared" si="138"/>
        <v>0</v>
      </c>
      <c r="M132" s="337">
        <f t="shared" si="138"/>
        <v>0</v>
      </c>
      <c r="N132" s="337">
        <f t="shared" si="138"/>
        <v>0</v>
      </c>
      <c r="O132" s="337">
        <f t="shared" si="138"/>
        <v>0</v>
      </c>
      <c r="P132" s="337">
        <f t="shared" si="138"/>
        <v>0</v>
      </c>
      <c r="Q132" s="337">
        <f t="shared" si="138"/>
        <v>0</v>
      </c>
      <c r="R132" s="337">
        <f t="shared" si="138"/>
        <v>0</v>
      </c>
      <c r="S132" s="337">
        <f t="shared" si="138"/>
        <v>0</v>
      </c>
      <c r="T132" s="337">
        <f t="shared" si="138"/>
        <v>0</v>
      </c>
      <c r="U132" s="337">
        <f t="shared" si="138"/>
        <v>0</v>
      </c>
      <c r="V132" s="337">
        <f t="shared" si="138"/>
        <v>0</v>
      </c>
      <c r="W132" s="336">
        <f t="shared" si="138"/>
        <v>0</v>
      </c>
      <c r="X132" s="337">
        <f t="shared" si="138"/>
        <v>0</v>
      </c>
      <c r="Y132" s="337">
        <f t="shared" si="138"/>
        <v>0</v>
      </c>
      <c r="Z132" s="337">
        <f t="shared" si="138"/>
        <v>0</v>
      </c>
      <c r="AA132" s="337">
        <f t="shared" si="138"/>
        <v>0</v>
      </c>
      <c r="AB132" s="337">
        <f t="shared" si="138"/>
        <v>0</v>
      </c>
      <c r="AC132" s="337">
        <f t="shared" si="138"/>
        <v>16666.666666666668</v>
      </c>
      <c r="AD132" s="337">
        <f t="shared" si="138"/>
        <v>29166.666666666668</v>
      </c>
      <c r="AE132" s="337">
        <f t="shared" si="138"/>
        <v>29166.666666666668</v>
      </c>
      <c r="AF132" s="337">
        <f t="shared" si="138"/>
        <v>29166.666666666668</v>
      </c>
      <c r="AG132" s="337">
        <f t="shared" si="138"/>
        <v>29166.666666666668</v>
      </c>
      <c r="AH132" s="337">
        <f t="shared" si="138"/>
        <v>52083.333333333336</v>
      </c>
      <c r="AI132" s="336">
        <f t="shared" si="138"/>
        <v>52083.333333333336</v>
      </c>
      <c r="AJ132" s="337">
        <f t="shared" si="138"/>
        <v>52083.333333333336</v>
      </c>
      <c r="AK132" s="337">
        <f t="shared" si="138"/>
        <v>52083.333333333336</v>
      </c>
      <c r="AL132" s="337">
        <f t="shared" si="138"/>
        <v>62500</v>
      </c>
      <c r="AM132" s="337">
        <f t="shared" si="138"/>
        <v>62500</v>
      </c>
      <c r="AN132" s="337">
        <f t="shared" si="138"/>
        <v>75000</v>
      </c>
      <c r="AO132" s="337">
        <f t="shared" si="138"/>
        <v>75000</v>
      </c>
      <c r="AP132" s="337">
        <f t="shared" si="138"/>
        <v>83333.333333333328</v>
      </c>
      <c r="AQ132" s="337">
        <f t="shared" si="138"/>
        <v>95833.333333333343</v>
      </c>
      <c r="AR132" s="337">
        <f t="shared" si="138"/>
        <v>104166.66666666667</v>
      </c>
      <c r="AS132" s="337">
        <f t="shared" si="138"/>
        <v>104166.66666666667</v>
      </c>
      <c r="AT132" s="337">
        <f t="shared" si="138"/>
        <v>112500</v>
      </c>
    </row>
    <row r="133" spans="1:46" ht="14.25" customHeight="1" x14ac:dyDescent="0.25">
      <c r="A133" s="289"/>
      <c r="B133" s="289"/>
      <c r="C133" s="289"/>
      <c r="D133" s="289"/>
      <c r="E133" s="289"/>
      <c r="F133" s="289"/>
      <c r="G133" s="289"/>
      <c r="H133" s="330"/>
      <c r="I133" s="333" t="s">
        <v>272</v>
      </c>
      <c r="J133" s="289"/>
      <c r="K133" s="301">
        <f t="shared" ref="K133:AT133" si="139">SUM(K124:K132)</f>
        <v>64541.666666666672</v>
      </c>
      <c r="L133" s="302">
        <f t="shared" si="139"/>
        <v>64541.666666666672</v>
      </c>
      <c r="M133" s="302">
        <f t="shared" si="139"/>
        <v>82958.333333333343</v>
      </c>
      <c r="N133" s="302">
        <f t="shared" si="139"/>
        <v>94208.333333333343</v>
      </c>
      <c r="O133" s="302">
        <f t="shared" si="139"/>
        <v>104625</v>
      </c>
      <c r="P133" s="302">
        <f t="shared" si="139"/>
        <v>115041.66666666667</v>
      </c>
      <c r="Q133" s="302">
        <f t="shared" si="139"/>
        <v>124375</v>
      </c>
      <c r="R133" s="302">
        <f t="shared" si="139"/>
        <v>129041.66666666667</v>
      </c>
      <c r="S133" s="302">
        <f t="shared" si="139"/>
        <v>129041.66666666667</v>
      </c>
      <c r="T133" s="302">
        <f t="shared" si="139"/>
        <v>132708.33333333331</v>
      </c>
      <c r="U133" s="302">
        <f t="shared" si="139"/>
        <v>132708.33333333331</v>
      </c>
      <c r="V133" s="302">
        <f t="shared" si="139"/>
        <v>132708.33333333331</v>
      </c>
      <c r="W133" s="301">
        <f t="shared" si="139"/>
        <v>341541.66666666669</v>
      </c>
      <c r="X133" s="302">
        <f t="shared" si="139"/>
        <v>364875</v>
      </c>
      <c r="Y133" s="302">
        <f t="shared" si="139"/>
        <v>383625</v>
      </c>
      <c r="Z133" s="302">
        <f t="shared" si="139"/>
        <v>408624.99999999994</v>
      </c>
      <c r="AA133" s="302">
        <f t="shared" si="139"/>
        <v>428624.99999999994</v>
      </c>
      <c r="AB133" s="302">
        <f t="shared" si="139"/>
        <v>439041.66666666657</v>
      </c>
      <c r="AC133" s="302">
        <f t="shared" si="139"/>
        <v>483208.33333333337</v>
      </c>
      <c r="AD133" s="302">
        <f t="shared" si="139"/>
        <v>519041.66666666669</v>
      </c>
      <c r="AE133" s="302">
        <f t="shared" si="139"/>
        <v>534041.66666666663</v>
      </c>
      <c r="AF133" s="302">
        <f t="shared" si="139"/>
        <v>552791.66666666663</v>
      </c>
      <c r="AG133" s="302">
        <f t="shared" si="139"/>
        <v>552791.66666666663</v>
      </c>
      <c r="AH133" s="302">
        <f t="shared" si="139"/>
        <v>575708.33333333326</v>
      </c>
      <c r="AI133" s="301">
        <f t="shared" si="139"/>
        <v>633208.33333333326</v>
      </c>
      <c r="AJ133" s="302">
        <f t="shared" si="139"/>
        <v>643624.99999999988</v>
      </c>
      <c r="AK133" s="302">
        <f t="shared" si="139"/>
        <v>643624.99999999988</v>
      </c>
      <c r="AL133" s="302">
        <f t="shared" si="139"/>
        <v>654041.66666666651</v>
      </c>
      <c r="AM133" s="302">
        <f t="shared" si="139"/>
        <v>658624.99999999988</v>
      </c>
      <c r="AN133" s="302">
        <f t="shared" si="139"/>
        <v>681541.66666666663</v>
      </c>
      <c r="AO133" s="302">
        <f t="shared" si="139"/>
        <v>687791.66666666663</v>
      </c>
      <c r="AP133" s="302">
        <f t="shared" si="139"/>
        <v>696125</v>
      </c>
      <c r="AQ133" s="302">
        <f t="shared" si="139"/>
        <v>708625</v>
      </c>
      <c r="AR133" s="302">
        <f t="shared" si="139"/>
        <v>726541.66666666651</v>
      </c>
      <c r="AS133" s="302">
        <f t="shared" si="139"/>
        <v>737374.99999999988</v>
      </c>
      <c r="AT133" s="302">
        <f t="shared" si="139"/>
        <v>745708.33333333326</v>
      </c>
    </row>
    <row r="134" spans="1:46" ht="14.25" customHeight="1" x14ac:dyDescent="0.25">
      <c r="A134" s="289"/>
      <c r="B134" s="289"/>
      <c r="C134" s="289"/>
      <c r="D134" s="289"/>
      <c r="E134" s="289"/>
      <c r="F134" s="289"/>
      <c r="G134" s="289"/>
      <c r="H134" s="332" t="s">
        <v>575</v>
      </c>
      <c r="I134" s="117"/>
      <c r="J134" s="289"/>
      <c r="K134" s="289"/>
      <c r="L134" s="289"/>
      <c r="M134" s="289"/>
      <c r="N134" s="289"/>
      <c r="O134" s="289"/>
      <c r="P134" s="289"/>
      <c r="Q134" s="289"/>
      <c r="R134" s="289"/>
      <c r="S134" s="308">
        <f t="shared" ref="S134:AT134" si="140">SUM(S124:S128)</f>
        <v>90458.333333333343</v>
      </c>
      <c r="T134" s="308">
        <f t="shared" si="140"/>
        <v>94125</v>
      </c>
      <c r="U134" s="308">
        <f t="shared" si="140"/>
        <v>94125</v>
      </c>
      <c r="V134" s="308">
        <f t="shared" si="140"/>
        <v>94125</v>
      </c>
      <c r="W134" s="307">
        <f t="shared" si="140"/>
        <v>287958.33333333331</v>
      </c>
      <c r="X134" s="308">
        <f t="shared" si="140"/>
        <v>306708.33333333331</v>
      </c>
      <c r="Y134" s="308">
        <f t="shared" si="140"/>
        <v>325458.33333333331</v>
      </c>
      <c r="Z134" s="308">
        <f t="shared" si="140"/>
        <v>345874.99999999994</v>
      </c>
      <c r="AA134" s="308">
        <f t="shared" si="140"/>
        <v>353374.99999999994</v>
      </c>
      <c r="AB134" s="308">
        <f t="shared" si="140"/>
        <v>363791.66666666657</v>
      </c>
      <c r="AC134" s="308">
        <f t="shared" si="140"/>
        <v>386708.33333333331</v>
      </c>
      <c r="AD134" s="308">
        <f t="shared" si="140"/>
        <v>403791.66666666663</v>
      </c>
      <c r="AE134" s="308">
        <f t="shared" si="140"/>
        <v>414208.33333333326</v>
      </c>
      <c r="AF134" s="308">
        <f t="shared" si="140"/>
        <v>432958.33333333326</v>
      </c>
      <c r="AG134" s="308">
        <f t="shared" si="140"/>
        <v>432958.33333333326</v>
      </c>
      <c r="AH134" s="308">
        <f t="shared" si="140"/>
        <v>432958.33333333326</v>
      </c>
      <c r="AI134" s="307">
        <f t="shared" si="140"/>
        <v>473791.66666666657</v>
      </c>
      <c r="AJ134" s="308">
        <f t="shared" si="140"/>
        <v>484208.3333333332</v>
      </c>
      <c r="AK134" s="308">
        <f t="shared" si="140"/>
        <v>484208.3333333332</v>
      </c>
      <c r="AL134" s="308">
        <f t="shared" si="140"/>
        <v>484208.3333333332</v>
      </c>
      <c r="AM134" s="308">
        <f t="shared" si="140"/>
        <v>484208.3333333332</v>
      </c>
      <c r="AN134" s="308">
        <f t="shared" si="140"/>
        <v>494624.99999999994</v>
      </c>
      <c r="AO134" s="308">
        <f t="shared" si="140"/>
        <v>494624.99999999994</v>
      </c>
      <c r="AP134" s="308">
        <f t="shared" si="140"/>
        <v>494624.99999999994</v>
      </c>
      <c r="AQ134" s="308">
        <f t="shared" si="140"/>
        <v>494624.99999999994</v>
      </c>
      <c r="AR134" s="308">
        <f t="shared" si="140"/>
        <v>504208.33333333331</v>
      </c>
      <c r="AS134" s="308">
        <f t="shared" si="140"/>
        <v>504208.33333333331</v>
      </c>
      <c r="AT134" s="308">
        <f t="shared" si="140"/>
        <v>504208.33333333331</v>
      </c>
    </row>
    <row r="135" spans="1:46" ht="14.25" customHeight="1" x14ac:dyDescent="0.25">
      <c r="A135" s="289"/>
      <c r="B135" s="289"/>
      <c r="C135" s="289"/>
      <c r="D135" s="289"/>
      <c r="E135" s="289"/>
      <c r="F135" s="289"/>
      <c r="G135" s="289"/>
      <c r="H135" s="332" t="s">
        <v>21</v>
      </c>
      <c r="I135" s="117"/>
      <c r="J135" s="289"/>
      <c r="K135" s="289"/>
      <c r="L135" s="289"/>
      <c r="M135" s="289"/>
      <c r="N135" s="289"/>
      <c r="O135" s="289"/>
      <c r="P135" s="289"/>
      <c r="Q135" s="289"/>
      <c r="R135" s="289"/>
      <c r="S135" s="308">
        <f t="shared" ref="S135:AT135" si="141">SUM(S129:S132)</f>
        <v>38583.333333333328</v>
      </c>
      <c r="T135" s="308">
        <f t="shared" si="141"/>
        <v>38583.333333333328</v>
      </c>
      <c r="U135" s="308">
        <f t="shared" si="141"/>
        <v>38583.333333333328</v>
      </c>
      <c r="V135" s="308">
        <f t="shared" si="141"/>
        <v>38583.333333333328</v>
      </c>
      <c r="W135" s="307">
        <f t="shared" si="141"/>
        <v>53583.333333333328</v>
      </c>
      <c r="X135" s="308">
        <f t="shared" si="141"/>
        <v>58166.666666666664</v>
      </c>
      <c r="Y135" s="308">
        <f t="shared" si="141"/>
        <v>58166.666666666664</v>
      </c>
      <c r="Z135" s="308">
        <f t="shared" si="141"/>
        <v>62750</v>
      </c>
      <c r="AA135" s="308">
        <f t="shared" si="141"/>
        <v>75250</v>
      </c>
      <c r="AB135" s="308">
        <f t="shared" si="141"/>
        <v>75250</v>
      </c>
      <c r="AC135" s="308">
        <f t="shared" si="141"/>
        <v>96500.000000000015</v>
      </c>
      <c r="AD135" s="308">
        <f t="shared" si="141"/>
        <v>115250.00000000001</v>
      </c>
      <c r="AE135" s="308">
        <f t="shared" si="141"/>
        <v>119833.33333333334</v>
      </c>
      <c r="AF135" s="308">
        <f t="shared" si="141"/>
        <v>119833.33333333334</v>
      </c>
      <c r="AG135" s="308">
        <f t="shared" si="141"/>
        <v>119833.33333333334</v>
      </c>
      <c r="AH135" s="308">
        <f t="shared" si="141"/>
        <v>142750</v>
      </c>
      <c r="AI135" s="307">
        <f t="shared" si="141"/>
        <v>159416.66666666669</v>
      </c>
      <c r="AJ135" s="308">
        <f t="shared" si="141"/>
        <v>159416.66666666669</v>
      </c>
      <c r="AK135" s="308">
        <f t="shared" si="141"/>
        <v>159416.66666666669</v>
      </c>
      <c r="AL135" s="308">
        <f t="shared" si="141"/>
        <v>169833.33333333334</v>
      </c>
      <c r="AM135" s="308">
        <f t="shared" si="141"/>
        <v>174416.66666666666</v>
      </c>
      <c r="AN135" s="308">
        <f t="shared" si="141"/>
        <v>186916.66666666666</v>
      </c>
      <c r="AO135" s="308">
        <f t="shared" si="141"/>
        <v>193166.66666666666</v>
      </c>
      <c r="AP135" s="308">
        <f t="shared" si="141"/>
        <v>201500</v>
      </c>
      <c r="AQ135" s="308">
        <f t="shared" si="141"/>
        <v>214000</v>
      </c>
      <c r="AR135" s="308">
        <f t="shared" si="141"/>
        <v>222333.33333333331</v>
      </c>
      <c r="AS135" s="308">
        <f t="shared" si="141"/>
        <v>233166.66666666669</v>
      </c>
      <c r="AT135" s="308">
        <f t="shared" si="141"/>
        <v>241500</v>
      </c>
    </row>
    <row r="136" spans="1:46" ht="14.25" customHeight="1" x14ac:dyDescent="0.25">
      <c r="A136" s="289"/>
      <c r="B136" s="289"/>
      <c r="C136" s="289"/>
      <c r="D136" s="289"/>
      <c r="E136" s="289"/>
      <c r="F136" s="289"/>
      <c r="G136" s="289"/>
      <c r="H136" s="330"/>
      <c r="I136" s="117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95"/>
      <c r="X136" s="289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95"/>
      <c r="AJ136" s="289"/>
      <c r="AK136" s="289"/>
      <c r="AL136" s="289"/>
      <c r="AM136" s="289"/>
      <c r="AN136" s="289"/>
      <c r="AO136" s="289"/>
      <c r="AP136" s="289"/>
      <c r="AQ136" s="289"/>
      <c r="AR136" s="289"/>
      <c r="AS136" s="289"/>
      <c r="AT136" s="289"/>
    </row>
    <row r="137" spans="1:46" ht="14.25" customHeight="1" x14ac:dyDescent="0.25">
      <c r="A137" s="289"/>
      <c r="B137" s="289"/>
      <c r="C137" s="289"/>
      <c r="D137" s="289"/>
      <c r="E137" s="289"/>
      <c r="F137" s="289"/>
      <c r="G137" s="289"/>
      <c r="H137" s="330"/>
      <c r="I137" s="117"/>
      <c r="J137" s="340" t="s">
        <v>577</v>
      </c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95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95"/>
      <c r="AJ137" s="289"/>
      <c r="AK137" s="289"/>
      <c r="AL137" s="289"/>
      <c r="AM137" s="289"/>
      <c r="AN137" s="289"/>
      <c r="AO137" s="289"/>
      <c r="AP137" s="289"/>
      <c r="AQ137" s="289"/>
      <c r="AR137" s="289"/>
      <c r="AS137" s="289"/>
      <c r="AT137" s="289"/>
    </row>
    <row r="138" spans="1:46" ht="14.25" customHeight="1" x14ac:dyDescent="0.25">
      <c r="A138" s="289"/>
      <c r="B138" s="289"/>
      <c r="C138" s="289"/>
      <c r="D138" s="289"/>
      <c r="E138" s="289"/>
      <c r="F138" s="289"/>
      <c r="G138" s="289"/>
      <c r="H138" s="330" t="s">
        <v>575</v>
      </c>
      <c r="I138" s="117" t="s">
        <v>213</v>
      </c>
      <c r="J138" s="289"/>
      <c r="K138" s="307">
        <f t="shared" ref="K138:AT138" si="142">K124*(1+$H$116+$H$117)</f>
        <v>25245.208333333332</v>
      </c>
      <c r="L138" s="308">
        <f t="shared" si="142"/>
        <v>25245.208333333332</v>
      </c>
      <c r="M138" s="308">
        <f t="shared" si="142"/>
        <v>37610.208333333336</v>
      </c>
      <c r="N138" s="308">
        <f t="shared" si="142"/>
        <v>51520.833333333336</v>
      </c>
      <c r="O138" s="308">
        <f t="shared" si="142"/>
        <v>51520.833333333336</v>
      </c>
      <c r="P138" s="308">
        <f t="shared" si="142"/>
        <v>51520.833333333336</v>
      </c>
      <c r="Q138" s="308">
        <f t="shared" si="142"/>
        <v>51520.833333333336</v>
      </c>
      <c r="R138" s="308">
        <f t="shared" si="142"/>
        <v>57291.166666666664</v>
      </c>
      <c r="S138" s="308">
        <f t="shared" si="142"/>
        <v>57291.166666666664</v>
      </c>
      <c r="T138" s="308">
        <f t="shared" si="142"/>
        <v>61825</v>
      </c>
      <c r="U138" s="308">
        <f t="shared" si="142"/>
        <v>61825</v>
      </c>
      <c r="V138" s="308">
        <f t="shared" si="142"/>
        <v>61825</v>
      </c>
      <c r="W138" s="307">
        <f t="shared" si="142"/>
        <v>192790.95833333328</v>
      </c>
      <c r="X138" s="308">
        <f t="shared" si="142"/>
        <v>200519.08333333328</v>
      </c>
      <c r="Y138" s="308">
        <f t="shared" si="142"/>
        <v>208247.20833333328</v>
      </c>
      <c r="Z138" s="308">
        <f t="shared" si="142"/>
        <v>208247.20833333328</v>
      </c>
      <c r="AA138" s="308">
        <f t="shared" si="142"/>
        <v>208247.20833333328</v>
      </c>
      <c r="AB138" s="308">
        <f t="shared" si="142"/>
        <v>208247.20833333328</v>
      </c>
      <c r="AC138" s="308">
        <f t="shared" si="142"/>
        <v>213399.2916666666</v>
      </c>
      <c r="AD138" s="308">
        <f t="shared" si="142"/>
        <v>213399.2916666666</v>
      </c>
      <c r="AE138" s="308">
        <f t="shared" si="142"/>
        <v>213399.2916666666</v>
      </c>
      <c r="AF138" s="308">
        <f t="shared" si="142"/>
        <v>213399.2916666666</v>
      </c>
      <c r="AG138" s="308">
        <f t="shared" si="142"/>
        <v>213399.2916666666</v>
      </c>
      <c r="AH138" s="308">
        <f t="shared" si="142"/>
        <v>213399.2916666666</v>
      </c>
      <c r="AI138" s="307">
        <f t="shared" si="142"/>
        <v>244311.7916666666</v>
      </c>
      <c r="AJ138" s="308">
        <f t="shared" si="142"/>
        <v>244311.7916666666</v>
      </c>
      <c r="AK138" s="308">
        <f t="shared" si="142"/>
        <v>244311.7916666666</v>
      </c>
      <c r="AL138" s="308">
        <f t="shared" si="142"/>
        <v>244311.7916666666</v>
      </c>
      <c r="AM138" s="308">
        <f t="shared" si="142"/>
        <v>244311.7916666666</v>
      </c>
      <c r="AN138" s="308">
        <f t="shared" si="142"/>
        <v>257191.99999999991</v>
      </c>
      <c r="AO138" s="308">
        <f t="shared" si="142"/>
        <v>257191.99999999991</v>
      </c>
      <c r="AP138" s="308">
        <f t="shared" si="142"/>
        <v>257191.99999999991</v>
      </c>
      <c r="AQ138" s="308">
        <f t="shared" si="142"/>
        <v>257191.99999999991</v>
      </c>
      <c r="AR138" s="308">
        <f t="shared" si="142"/>
        <v>257191.99999999991</v>
      </c>
      <c r="AS138" s="308">
        <f t="shared" si="142"/>
        <v>257191.99999999991</v>
      </c>
      <c r="AT138" s="308">
        <f t="shared" si="142"/>
        <v>257191.99999999991</v>
      </c>
    </row>
    <row r="139" spans="1:46" ht="14.25" customHeight="1" x14ac:dyDescent="0.25">
      <c r="A139" s="289"/>
      <c r="B139" s="289"/>
      <c r="C139" s="289"/>
      <c r="D139" s="289"/>
      <c r="E139" s="289"/>
      <c r="F139" s="289"/>
      <c r="G139" s="289"/>
      <c r="H139" s="330" t="s">
        <v>575</v>
      </c>
      <c r="I139" s="117" t="s">
        <v>214</v>
      </c>
      <c r="J139" s="289"/>
      <c r="K139" s="307">
        <f t="shared" ref="K139:AT139" si="143">K125*(1+$H$116+$H$117)</f>
        <v>26224.104166666664</v>
      </c>
      <c r="L139" s="308">
        <f t="shared" si="143"/>
        <v>26224.104166666664</v>
      </c>
      <c r="M139" s="308">
        <f t="shared" si="143"/>
        <v>26224.104166666664</v>
      </c>
      <c r="N139" s="308">
        <f t="shared" si="143"/>
        <v>26224.104166666664</v>
      </c>
      <c r="O139" s="308">
        <f t="shared" si="143"/>
        <v>26224.104166666664</v>
      </c>
      <c r="P139" s="308">
        <f t="shared" si="143"/>
        <v>26224.104166666664</v>
      </c>
      <c r="Q139" s="308">
        <f t="shared" si="143"/>
        <v>26224.104166666664</v>
      </c>
      <c r="R139" s="308">
        <f t="shared" si="143"/>
        <v>26224.104166666664</v>
      </c>
      <c r="S139" s="308">
        <f t="shared" si="143"/>
        <v>26224.104166666664</v>
      </c>
      <c r="T139" s="308">
        <f t="shared" si="143"/>
        <v>26224.104166666664</v>
      </c>
      <c r="U139" s="308">
        <f t="shared" si="143"/>
        <v>26224.104166666664</v>
      </c>
      <c r="V139" s="308">
        <f t="shared" si="143"/>
        <v>26224.104166666664</v>
      </c>
      <c r="W139" s="307">
        <f t="shared" si="143"/>
        <v>48378.0625</v>
      </c>
      <c r="X139" s="308">
        <f t="shared" si="143"/>
        <v>48378.0625</v>
      </c>
      <c r="Y139" s="308">
        <f t="shared" si="143"/>
        <v>48378.0625</v>
      </c>
      <c r="Z139" s="308">
        <f t="shared" si="143"/>
        <v>48378.0625</v>
      </c>
      <c r="AA139" s="308">
        <f t="shared" si="143"/>
        <v>57651.8125</v>
      </c>
      <c r="AB139" s="308">
        <f t="shared" si="143"/>
        <v>70532.020833333328</v>
      </c>
      <c r="AC139" s="308">
        <f t="shared" si="143"/>
        <v>70532.020833333328</v>
      </c>
      <c r="AD139" s="308">
        <f t="shared" si="143"/>
        <v>79805.770833333328</v>
      </c>
      <c r="AE139" s="308">
        <f t="shared" si="143"/>
        <v>92685.979166666657</v>
      </c>
      <c r="AF139" s="308">
        <f t="shared" si="143"/>
        <v>92685.979166666657</v>
      </c>
      <c r="AG139" s="308">
        <f t="shared" si="143"/>
        <v>92685.979166666657</v>
      </c>
      <c r="AH139" s="308">
        <f t="shared" si="143"/>
        <v>92685.979166666657</v>
      </c>
      <c r="AI139" s="307">
        <f t="shared" si="143"/>
        <v>101959.72916666666</v>
      </c>
      <c r="AJ139" s="308">
        <f t="shared" si="143"/>
        <v>114839.9375</v>
      </c>
      <c r="AK139" s="308">
        <f t="shared" si="143"/>
        <v>114839.9375</v>
      </c>
      <c r="AL139" s="308">
        <f t="shared" si="143"/>
        <v>114839.9375</v>
      </c>
      <c r="AM139" s="308">
        <f t="shared" si="143"/>
        <v>114839.9375</v>
      </c>
      <c r="AN139" s="308">
        <f t="shared" si="143"/>
        <v>114839.9375</v>
      </c>
      <c r="AO139" s="308">
        <f t="shared" si="143"/>
        <v>114839.9375</v>
      </c>
      <c r="AP139" s="308">
        <f t="shared" si="143"/>
        <v>114839.9375</v>
      </c>
      <c r="AQ139" s="308">
        <f t="shared" si="143"/>
        <v>114839.9375</v>
      </c>
      <c r="AR139" s="308">
        <f t="shared" si="143"/>
        <v>114839.9375</v>
      </c>
      <c r="AS139" s="308">
        <f t="shared" si="143"/>
        <v>114839.9375</v>
      </c>
      <c r="AT139" s="308">
        <f t="shared" si="143"/>
        <v>114839.9375</v>
      </c>
    </row>
    <row r="140" spans="1:46" ht="14.25" customHeight="1" x14ac:dyDescent="0.25">
      <c r="A140" s="289"/>
      <c r="B140" s="289"/>
      <c r="C140" s="289"/>
      <c r="D140" s="289"/>
      <c r="E140" s="289"/>
      <c r="F140" s="289"/>
      <c r="G140" s="289"/>
      <c r="H140" s="330" t="s">
        <v>575</v>
      </c>
      <c r="I140" s="341" t="s">
        <v>215</v>
      </c>
      <c r="J140" s="289"/>
      <c r="K140" s="307">
        <f t="shared" ref="K140:AT140" si="144">K126*(1+$H$116+$H$117)</f>
        <v>0</v>
      </c>
      <c r="L140" s="308">
        <f t="shared" si="144"/>
        <v>0</v>
      </c>
      <c r="M140" s="308">
        <f t="shared" si="144"/>
        <v>0</v>
      </c>
      <c r="N140" s="308">
        <f t="shared" si="144"/>
        <v>0</v>
      </c>
      <c r="O140" s="308">
        <f t="shared" si="144"/>
        <v>0</v>
      </c>
      <c r="P140" s="308">
        <f t="shared" si="144"/>
        <v>0</v>
      </c>
      <c r="Q140" s="308">
        <f t="shared" si="144"/>
        <v>0</v>
      </c>
      <c r="R140" s="308">
        <f t="shared" si="144"/>
        <v>0</v>
      </c>
      <c r="S140" s="308">
        <f t="shared" si="144"/>
        <v>0</v>
      </c>
      <c r="T140" s="308">
        <f t="shared" si="144"/>
        <v>0</v>
      </c>
      <c r="U140" s="308">
        <f t="shared" si="144"/>
        <v>0</v>
      </c>
      <c r="V140" s="308">
        <f t="shared" si="144"/>
        <v>0</v>
      </c>
      <c r="W140" s="307">
        <f t="shared" si="144"/>
        <v>56672.916666666664</v>
      </c>
      <c r="X140" s="308">
        <f t="shared" si="144"/>
        <v>56672.916666666664</v>
      </c>
      <c r="Y140" s="308">
        <f t="shared" si="144"/>
        <v>56672.916666666664</v>
      </c>
      <c r="Z140" s="308">
        <f t="shared" si="144"/>
        <v>69553.125</v>
      </c>
      <c r="AA140" s="308">
        <f t="shared" si="144"/>
        <v>69553.125</v>
      </c>
      <c r="AB140" s="308">
        <f t="shared" si="144"/>
        <v>69553.125</v>
      </c>
      <c r="AC140" s="308">
        <f t="shared" si="144"/>
        <v>82433.333333333314</v>
      </c>
      <c r="AD140" s="308">
        <f t="shared" si="144"/>
        <v>82433.333333333314</v>
      </c>
      <c r="AE140" s="308">
        <f t="shared" si="144"/>
        <v>82433.333333333314</v>
      </c>
      <c r="AF140" s="308">
        <f t="shared" si="144"/>
        <v>95313.541666666657</v>
      </c>
      <c r="AG140" s="308">
        <f t="shared" si="144"/>
        <v>95313.541666666657</v>
      </c>
      <c r="AH140" s="308">
        <f t="shared" si="144"/>
        <v>95313.541666666657</v>
      </c>
      <c r="AI140" s="307">
        <f t="shared" si="144"/>
        <v>95313.541666666657</v>
      </c>
      <c r="AJ140" s="308">
        <f t="shared" si="144"/>
        <v>95313.541666666657</v>
      </c>
      <c r="AK140" s="308">
        <f t="shared" si="144"/>
        <v>95313.541666666657</v>
      </c>
      <c r="AL140" s="308">
        <f t="shared" si="144"/>
        <v>95313.541666666657</v>
      </c>
      <c r="AM140" s="308">
        <f t="shared" si="144"/>
        <v>95313.541666666657</v>
      </c>
      <c r="AN140" s="308">
        <f t="shared" si="144"/>
        <v>95313.541666666657</v>
      </c>
      <c r="AO140" s="308">
        <f t="shared" si="144"/>
        <v>95313.541666666657</v>
      </c>
      <c r="AP140" s="308">
        <f t="shared" si="144"/>
        <v>95313.541666666657</v>
      </c>
      <c r="AQ140" s="308">
        <f t="shared" si="144"/>
        <v>95313.541666666657</v>
      </c>
      <c r="AR140" s="308">
        <f t="shared" si="144"/>
        <v>95313.541666666657</v>
      </c>
      <c r="AS140" s="308">
        <f t="shared" si="144"/>
        <v>95313.541666666657</v>
      </c>
      <c r="AT140" s="308">
        <f t="shared" si="144"/>
        <v>95313.541666666657</v>
      </c>
    </row>
    <row r="141" spans="1:46" ht="14.25" customHeight="1" x14ac:dyDescent="0.25">
      <c r="A141" s="289"/>
      <c r="B141" s="289"/>
      <c r="C141" s="289"/>
      <c r="D141" s="289"/>
      <c r="E141" s="289"/>
      <c r="F141" s="289"/>
      <c r="G141" s="289"/>
      <c r="H141" s="342" t="s">
        <v>575</v>
      </c>
      <c r="I141" s="345" t="s">
        <v>216</v>
      </c>
      <c r="J141" s="344"/>
      <c r="K141" s="307">
        <f t="shared" ref="K141:P141" si="145">K127*(1+$H$116+$H$117)</f>
        <v>20608.333333333332</v>
      </c>
      <c r="L141" s="308">
        <f t="shared" si="145"/>
        <v>20608.333333333332</v>
      </c>
      <c r="M141" s="308">
        <f t="shared" si="145"/>
        <v>20608.333333333332</v>
      </c>
      <c r="N141" s="308">
        <f t="shared" si="145"/>
        <v>20608.333333333332</v>
      </c>
      <c r="O141" s="308">
        <f t="shared" si="145"/>
        <v>20608.333333333332</v>
      </c>
      <c r="P141" s="308">
        <f t="shared" si="145"/>
        <v>20608.333333333332</v>
      </c>
      <c r="Q141" s="308"/>
      <c r="R141" s="308"/>
      <c r="S141" s="308"/>
      <c r="T141" s="308"/>
      <c r="U141" s="308"/>
      <c r="V141" s="308"/>
      <c r="W141" s="307">
        <f t="shared" ref="W141:AT141" si="146">W127*(1+$H$116+$H$117)</f>
        <v>35034.166666666664</v>
      </c>
      <c r="X141" s="308">
        <f t="shared" si="146"/>
        <v>35034.166666666664</v>
      </c>
      <c r="Y141" s="308">
        <f t="shared" si="146"/>
        <v>35034.166666666664</v>
      </c>
      <c r="Z141" s="308">
        <f t="shared" si="146"/>
        <v>47399.166666666664</v>
      </c>
      <c r="AA141" s="308">
        <f t="shared" si="146"/>
        <v>47399.166666666664</v>
      </c>
      <c r="AB141" s="308">
        <f t="shared" si="146"/>
        <v>47399.166666666664</v>
      </c>
      <c r="AC141" s="308">
        <f t="shared" si="146"/>
        <v>57703.333333333336</v>
      </c>
      <c r="AD141" s="308">
        <f t="shared" si="146"/>
        <v>57703.333333333336</v>
      </c>
      <c r="AE141" s="308">
        <f t="shared" si="146"/>
        <v>57703.333333333336</v>
      </c>
      <c r="AF141" s="308">
        <f t="shared" si="146"/>
        <v>68007.5</v>
      </c>
      <c r="AG141" s="308">
        <f t="shared" si="146"/>
        <v>68007.5</v>
      </c>
      <c r="AH141" s="308">
        <f t="shared" si="146"/>
        <v>68007.5</v>
      </c>
      <c r="AI141" s="307">
        <f t="shared" si="146"/>
        <v>78311.666666666672</v>
      </c>
      <c r="AJ141" s="308">
        <f t="shared" si="146"/>
        <v>78311.666666666672</v>
      </c>
      <c r="AK141" s="308">
        <f t="shared" si="146"/>
        <v>78311.666666666672</v>
      </c>
      <c r="AL141" s="308">
        <f t="shared" si="146"/>
        <v>78311.666666666672</v>
      </c>
      <c r="AM141" s="308">
        <f t="shared" si="146"/>
        <v>78311.666666666672</v>
      </c>
      <c r="AN141" s="308">
        <f t="shared" si="146"/>
        <v>78311.666666666672</v>
      </c>
      <c r="AO141" s="308">
        <f t="shared" si="146"/>
        <v>78311.666666666672</v>
      </c>
      <c r="AP141" s="308">
        <f t="shared" si="146"/>
        <v>78311.666666666672</v>
      </c>
      <c r="AQ141" s="308">
        <f t="shared" si="146"/>
        <v>78311.666666666672</v>
      </c>
      <c r="AR141" s="308">
        <f t="shared" si="146"/>
        <v>78311.666666666672</v>
      </c>
      <c r="AS141" s="308">
        <f t="shared" si="146"/>
        <v>78311.666666666672</v>
      </c>
      <c r="AT141" s="308">
        <f t="shared" si="146"/>
        <v>78311.666666666672</v>
      </c>
    </row>
    <row r="142" spans="1:46" ht="14.25" customHeight="1" x14ac:dyDescent="0.25">
      <c r="A142" s="289"/>
      <c r="B142" s="289"/>
      <c r="C142" s="289"/>
      <c r="D142" s="289"/>
      <c r="E142" s="289"/>
      <c r="F142" s="289"/>
      <c r="G142" s="289"/>
      <c r="H142" s="330" t="s">
        <v>575</v>
      </c>
      <c r="I142" s="346" t="s">
        <v>25</v>
      </c>
      <c r="J142" s="289"/>
      <c r="K142" s="307">
        <f t="shared" ref="K142:AT142" si="147">K128*(1+$H$116+$H$117)</f>
        <v>7728.125</v>
      </c>
      <c r="L142" s="308">
        <f t="shared" si="147"/>
        <v>7728.125</v>
      </c>
      <c r="M142" s="308">
        <f t="shared" si="147"/>
        <v>7728.125</v>
      </c>
      <c r="N142" s="308">
        <f t="shared" si="147"/>
        <v>7728.125</v>
      </c>
      <c r="O142" s="308">
        <f t="shared" si="147"/>
        <v>7728.125</v>
      </c>
      <c r="P142" s="308">
        <f t="shared" si="147"/>
        <v>7728.125</v>
      </c>
      <c r="Q142" s="308">
        <f t="shared" si="147"/>
        <v>7728.125</v>
      </c>
      <c r="R142" s="308">
        <f t="shared" si="147"/>
        <v>7728.125</v>
      </c>
      <c r="S142" s="308">
        <f t="shared" si="147"/>
        <v>7728.125</v>
      </c>
      <c r="T142" s="308">
        <f t="shared" si="147"/>
        <v>7728.125</v>
      </c>
      <c r="U142" s="308">
        <f t="shared" si="147"/>
        <v>7728.125</v>
      </c>
      <c r="V142" s="308">
        <f t="shared" si="147"/>
        <v>7728.125</v>
      </c>
      <c r="W142" s="307">
        <f t="shared" si="147"/>
        <v>23184.375</v>
      </c>
      <c r="X142" s="308">
        <f t="shared" si="147"/>
        <v>38640.625</v>
      </c>
      <c r="Y142" s="308">
        <f t="shared" si="147"/>
        <v>54096.875</v>
      </c>
      <c r="Z142" s="308">
        <f t="shared" si="147"/>
        <v>54096.875</v>
      </c>
      <c r="AA142" s="308">
        <f t="shared" si="147"/>
        <v>54096.875</v>
      </c>
      <c r="AB142" s="308">
        <f t="shared" si="147"/>
        <v>54096.875</v>
      </c>
      <c r="AC142" s="308">
        <f t="shared" si="147"/>
        <v>54096.875</v>
      </c>
      <c r="AD142" s="308">
        <f t="shared" si="147"/>
        <v>65946.666666666672</v>
      </c>
      <c r="AE142" s="308">
        <f t="shared" si="147"/>
        <v>65946.666666666672</v>
      </c>
      <c r="AF142" s="308">
        <f t="shared" si="147"/>
        <v>65946.666666666672</v>
      </c>
      <c r="AG142" s="308">
        <f t="shared" si="147"/>
        <v>65946.666666666672</v>
      </c>
      <c r="AH142" s="308">
        <f t="shared" si="147"/>
        <v>65946.666666666672</v>
      </c>
      <c r="AI142" s="307">
        <f t="shared" si="147"/>
        <v>65946.666666666672</v>
      </c>
      <c r="AJ142" s="308">
        <f t="shared" si="147"/>
        <v>65946.666666666672</v>
      </c>
      <c r="AK142" s="308">
        <f t="shared" si="147"/>
        <v>65946.666666666672</v>
      </c>
      <c r="AL142" s="308">
        <f t="shared" si="147"/>
        <v>65946.666666666672</v>
      </c>
      <c r="AM142" s="308">
        <f t="shared" si="147"/>
        <v>65946.666666666672</v>
      </c>
      <c r="AN142" s="308">
        <f t="shared" si="147"/>
        <v>65946.666666666672</v>
      </c>
      <c r="AO142" s="308">
        <f t="shared" si="147"/>
        <v>65946.666666666672</v>
      </c>
      <c r="AP142" s="308">
        <f t="shared" si="147"/>
        <v>65946.666666666672</v>
      </c>
      <c r="AQ142" s="308">
        <f t="shared" si="147"/>
        <v>65946.666666666672</v>
      </c>
      <c r="AR142" s="308">
        <f t="shared" si="147"/>
        <v>77796.458333333328</v>
      </c>
      <c r="AS142" s="308">
        <f t="shared" si="147"/>
        <v>77796.458333333328</v>
      </c>
      <c r="AT142" s="308">
        <f t="shared" si="147"/>
        <v>77796.458333333328</v>
      </c>
    </row>
    <row r="143" spans="1:46" ht="14.25" customHeight="1" x14ac:dyDescent="0.25">
      <c r="A143" s="289"/>
      <c r="B143" s="289"/>
      <c r="C143" s="289"/>
      <c r="D143" s="289"/>
      <c r="E143" s="289"/>
      <c r="F143" s="289"/>
      <c r="G143" s="289"/>
      <c r="H143" s="330" t="s">
        <v>21</v>
      </c>
      <c r="I143" s="117" t="s">
        <v>576</v>
      </c>
      <c r="J143" s="289"/>
      <c r="K143" s="307">
        <f t="shared" ref="K143:AT143" si="148">K129*(1+$H$116+$H$117)</f>
        <v>0</v>
      </c>
      <c r="L143" s="308">
        <f t="shared" si="148"/>
        <v>0</v>
      </c>
      <c r="M143" s="308">
        <f t="shared" si="148"/>
        <v>0</v>
      </c>
      <c r="N143" s="308">
        <f t="shared" si="148"/>
        <v>0</v>
      </c>
      <c r="O143" s="308">
        <f t="shared" si="148"/>
        <v>0</v>
      </c>
      <c r="P143" s="308">
        <f t="shared" si="148"/>
        <v>0</v>
      </c>
      <c r="Q143" s="308">
        <f t="shared" si="148"/>
        <v>0</v>
      </c>
      <c r="R143" s="308">
        <f t="shared" si="148"/>
        <v>0</v>
      </c>
      <c r="S143" s="308">
        <f t="shared" si="148"/>
        <v>0</v>
      </c>
      <c r="T143" s="308">
        <f t="shared" si="148"/>
        <v>0</v>
      </c>
      <c r="U143" s="308">
        <f t="shared" si="148"/>
        <v>0</v>
      </c>
      <c r="V143" s="308">
        <f t="shared" si="148"/>
        <v>0</v>
      </c>
      <c r="W143" s="307">
        <f t="shared" si="148"/>
        <v>0</v>
      </c>
      <c r="X143" s="308">
        <f t="shared" si="148"/>
        <v>0</v>
      </c>
      <c r="Y143" s="308">
        <f t="shared" si="148"/>
        <v>0</v>
      </c>
      <c r="Z143" s="308">
        <f t="shared" si="148"/>
        <v>0</v>
      </c>
      <c r="AA143" s="308">
        <f t="shared" si="148"/>
        <v>0</v>
      </c>
      <c r="AB143" s="308">
        <f t="shared" si="148"/>
        <v>0</v>
      </c>
      <c r="AC143" s="308">
        <f t="shared" si="148"/>
        <v>0</v>
      </c>
      <c r="AD143" s="308">
        <f t="shared" si="148"/>
        <v>0</v>
      </c>
      <c r="AE143" s="308">
        <f t="shared" si="148"/>
        <v>0</v>
      </c>
      <c r="AF143" s="308">
        <f t="shared" si="148"/>
        <v>0</v>
      </c>
      <c r="AG143" s="308">
        <f t="shared" si="148"/>
        <v>0</v>
      </c>
      <c r="AH143" s="308">
        <f t="shared" si="148"/>
        <v>0</v>
      </c>
      <c r="AI143" s="307">
        <f t="shared" si="148"/>
        <v>0</v>
      </c>
      <c r="AJ143" s="308">
        <f t="shared" si="148"/>
        <v>0</v>
      </c>
      <c r="AK143" s="308">
        <f t="shared" si="148"/>
        <v>0</v>
      </c>
      <c r="AL143" s="308">
        <f t="shared" si="148"/>
        <v>0</v>
      </c>
      <c r="AM143" s="308">
        <f t="shared" si="148"/>
        <v>0</v>
      </c>
      <c r="AN143" s="308">
        <f t="shared" si="148"/>
        <v>0</v>
      </c>
      <c r="AO143" s="308">
        <f t="shared" si="148"/>
        <v>0</v>
      </c>
      <c r="AP143" s="308">
        <f t="shared" si="148"/>
        <v>0</v>
      </c>
      <c r="AQ143" s="308">
        <f t="shared" si="148"/>
        <v>0</v>
      </c>
      <c r="AR143" s="308">
        <f t="shared" si="148"/>
        <v>0</v>
      </c>
      <c r="AS143" s="308">
        <f t="shared" si="148"/>
        <v>0</v>
      </c>
      <c r="AT143" s="308">
        <f t="shared" si="148"/>
        <v>0</v>
      </c>
    </row>
    <row r="144" spans="1:46" ht="14.25" customHeight="1" x14ac:dyDescent="0.25">
      <c r="A144" s="289"/>
      <c r="B144" s="289"/>
      <c r="C144" s="289"/>
      <c r="D144" s="289"/>
      <c r="E144" s="289"/>
      <c r="F144" s="289"/>
      <c r="G144" s="289"/>
      <c r="H144" s="330" t="s">
        <v>21</v>
      </c>
      <c r="I144" s="117" t="s">
        <v>217</v>
      </c>
      <c r="J144" s="289"/>
      <c r="K144" s="307">
        <f t="shared" ref="K144:AT144" si="149">K130*(1+$H$116+$H$117)</f>
        <v>0</v>
      </c>
      <c r="L144" s="308">
        <f t="shared" si="149"/>
        <v>0</v>
      </c>
      <c r="M144" s="308">
        <f t="shared" si="149"/>
        <v>10407.208333333334</v>
      </c>
      <c r="N144" s="308">
        <f t="shared" si="149"/>
        <v>10407.208333333334</v>
      </c>
      <c r="O144" s="308">
        <f t="shared" si="149"/>
        <v>23287.416666666664</v>
      </c>
      <c r="P144" s="308">
        <f t="shared" si="149"/>
        <v>36167.625</v>
      </c>
      <c r="Q144" s="308">
        <f t="shared" si="149"/>
        <v>47708.291666666657</v>
      </c>
      <c r="R144" s="308">
        <f t="shared" si="149"/>
        <v>47708.291666666657</v>
      </c>
      <c r="S144" s="308">
        <f t="shared" si="149"/>
        <v>47708.291666666657</v>
      </c>
      <c r="T144" s="308">
        <f t="shared" si="149"/>
        <v>47708.291666666657</v>
      </c>
      <c r="U144" s="308">
        <f t="shared" si="149"/>
        <v>47708.291666666657</v>
      </c>
      <c r="V144" s="308">
        <f t="shared" si="149"/>
        <v>47708.291666666657</v>
      </c>
      <c r="W144" s="307">
        <f t="shared" si="149"/>
        <v>53375.583333333328</v>
      </c>
      <c r="X144" s="308">
        <f t="shared" si="149"/>
        <v>59042.875</v>
      </c>
      <c r="Y144" s="308">
        <f t="shared" si="149"/>
        <v>59042.875</v>
      </c>
      <c r="Z144" s="308">
        <f t="shared" si="149"/>
        <v>64710.166666666664</v>
      </c>
      <c r="AA144" s="308">
        <f t="shared" si="149"/>
        <v>64710.166666666664</v>
      </c>
      <c r="AB144" s="308">
        <f t="shared" si="149"/>
        <v>64710.166666666664</v>
      </c>
      <c r="AC144" s="308">
        <f t="shared" si="149"/>
        <v>70377.458333333328</v>
      </c>
      <c r="AD144" s="308">
        <f t="shared" si="149"/>
        <v>70377.458333333328</v>
      </c>
      <c r="AE144" s="308">
        <f t="shared" si="149"/>
        <v>76044.75</v>
      </c>
      <c r="AF144" s="308">
        <f t="shared" si="149"/>
        <v>76044.75</v>
      </c>
      <c r="AG144" s="308">
        <f t="shared" si="149"/>
        <v>76044.75</v>
      </c>
      <c r="AH144" s="308">
        <f t="shared" si="149"/>
        <v>76044.75</v>
      </c>
      <c r="AI144" s="307">
        <f t="shared" si="149"/>
        <v>88924.958333333328</v>
      </c>
      <c r="AJ144" s="308">
        <f t="shared" si="149"/>
        <v>88924.958333333328</v>
      </c>
      <c r="AK144" s="308">
        <f t="shared" si="149"/>
        <v>88924.958333333328</v>
      </c>
      <c r="AL144" s="308">
        <f t="shared" si="149"/>
        <v>88924.958333333328</v>
      </c>
      <c r="AM144" s="308">
        <f t="shared" si="149"/>
        <v>94592.25</v>
      </c>
      <c r="AN144" s="308">
        <f t="shared" si="149"/>
        <v>94592.25</v>
      </c>
      <c r="AO144" s="308">
        <f t="shared" si="149"/>
        <v>94592.25</v>
      </c>
      <c r="AP144" s="308">
        <f t="shared" si="149"/>
        <v>94592.25</v>
      </c>
      <c r="AQ144" s="308">
        <f t="shared" si="149"/>
        <v>94592.25</v>
      </c>
      <c r="AR144" s="308">
        <f t="shared" si="149"/>
        <v>94592.25</v>
      </c>
      <c r="AS144" s="308">
        <f t="shared" si="149"/>
        <v>100259.54166666666</v>
      </c>
      <c r="AT144" s="308">
        <f t="shared" si="149"/>
        <v>100259.54166666666</v>
      </c>
    </row>
    <row r="145" spans="1:46" ht="14.25" customHeight="1" x14ac:dyDescent="0.25">
      <c r="A145" s="289"/>
      <c r="B145" s="289"/>
      <c r="C145" s="289"/>
      <c r="D145" s="289"/>
      <c r="E145" s="289"/>
      <c r="F145" s="289"/>
      <c r="G145" s="289"/>
      <c r="H145" s="330" t="s">
        <v>21</v>
      </c>
      <c r="I145" s="117" t="s">
        <v>17</v>
      </c>
      <c r="J145" s="289"/>
      <c r="K145" s="307">
        <f t="shared" ref="K145:AT145" si="150">K131*(1+$H$116+$H$117)</f>
        <v>0</v>
      </c>
      <c r="L145" s="308">
        <f t="shared" si="150"/>
        <v>0</v>
      </c>
      <c r="M145" s="308">
        <f t="shared" si="150"/>
        <v>0</v>
      </c>
      <c r="N145" s="308">
        <f t="shared" si="150"/>
        <v>0</v>
      </c>
      <c r="O145" s="308">
        <f t="shared" si="150"/>
        <v>0</v>
      </c>
      <c r="P145" s="308">
        <f t="shared" si="150"/>
        <v>0</v>
      </c>
      <c r="Q145" s="308">
        <f t="shared" si="150"/>
        <v>0</v>
      </c>
      <c r="R145" s="308">
        <f t="shared" si="150"/>
        <v>0</v>
      </c>
      <c r="S145" s="308">
        <f t="shared" si="150"/>
        <v>0</v>
      </c>
      <c r="T145" s="308">
        <f t="shared" si="150"/>
        <v>0</v>
      </c>
      <c r="U145" s="308">
        <f t="shared" si="150"/>
        <v>0</v>
      </c>
      <c r="V145" s="308">
        <f t="shared" si="150"/>
        <v>0</v>
      </c>
      <c r="W145" s="307">
        <f t="shared" si="150"/>
        <v>12880.208333333332</v>
      </c>
      <c r="X145" s="308">
        <f t="shared" si="150"/>
        <v>12880.208333333332</v>
      </c>
      <c r="Y145" s="308">
        <f t="shared" si="150"/>
        <v>12880.208333333332</v>
      </c>
      <c r="Z145" s="308">
        <f t="shared" si="150"/>
        <v>12880.208333333332</v>
      </c>
      <c r="AA145" s="308">
        <f t="shared" si="150"/>
        <v>28336.458333333328</v>
      </c>
      <c r="AB145" s="308">
        <f t="shared" si="150"/>
        <v>28336.458333333328</v>
      </c>
      <c r="AC145" s="308">
        <f t="shared" si="150"/>
        <v>28336.458333333328</v>
      </c>
      <c r="AD145" s="308">
        <f t="shared" si="150"/>
        <v>36064.583333333328</v>
      </c>
      <c r="AE145" s="308">
        <f t="shared" si="150"/>
        <v>36064.583333333328</v>
      </c>
      <c r="AF145" s="308">
        <f t="shared" si="150"/>
        <v>36064.583333333328</v>
      </c>
      <c r="AG145" s="308">
        <f t="shared" si="150"/>
        <v>36064.583333333328</v>
      </c>
      <c r="AH145" s="308">
        <f t="shared" si="150"/>
        <v>36064.583333333328</v>
      </c>
      <c r="AI145" s="307">
        <f t="shared" si="150"/>
        <v>43792.708333333328</v>
      </c>
      <c r="AJ145" s="308">
        <f t="shared" si="150"/>
        <v>43792.708333333328</v>
      </c>
      <c r="AK145" s="308">
        <f t="shared" si="150"/>
        <v>43792.708333333328</v>
      </c>
      <c r="AL145" s="308">
        <f t="shared" si="150"/>
        <v>43792.708333333328</v>
      </c>
      <c r="AM145" s="308">
        <f t="shared" si="150"/>
        <v>43792.708333333328</v>
      </c>
      <c r="AN145" s="308">
        <f t="shared" si="150"/>
        <v>43792.708333333328</v>
      </c>
      <c r="AO145" s="308">
        <f t="shared" si="150"/>
        <v>51520.833333333328</v>
      </c>
      <c r="AP145" s="308">
        <f t="shared" si="150"/>
        <v>51520.833333333328</v>
      </c>
      <c r="AQ145" s="308">
        <f t="shared" si="150"/>
        <v>51520.833333333328</v>
      </c>
      <c r="AR145" s="308">
        <f t="shared" si="150"/>
        <v>51520.833333333328</v>
      </c>
      <c r="AS145" s="308">
        <f t="shared" si="150"/>
        <v>59248.958333333328</v>
      </c>
      <c r="AT145" s="308">
        <f t="shared" si="150"/>
        <v>59248.958333333328</v>
      </c>
    </row>
    <row r="146" spans="1:46" ht="14.25" customHeight="1" x14ac:dyDescent="0.25">
      <c r="A146" s="289"/>
      <c r="B146" s="289"/>
      <c r="C146" s="289"/>
      <c r="D146" s="289"/>
      <c r="E146" s="289"/>
      <c r="F146" s="289"/>
      <c r="G146" s="289"/>
      <c r="H146" s="330" t="s">
        <v>21</v>
      </c>
      <c r="I146" s="347" t="s">
        <v>218</v>
      </c>
      <c r="J146" s="289"/>
      <c r="K146" s="336">
        <f t="shared" ref="K146:AT146" si="151">K132*(1+$H$116+$H$117)</f>
        <v>0</v>
      </c>
      <c r="L146" s="337">
        <f t="shared" si="151"/>
        <v>0</v>
      </c>
      <c r="M146" s="337">
        <f t="shared" si="151"/>
        <v>0</v>
      </c>
      <c r="N146" s="337">
        <f t="shared" si="151"/>
        <v>0</v>
      </c>
      <c r="O146" s="337">
        <f t="shared" si="151"/>
        <v>0</v>
      </c>
      <c r="P146" s="337">
        <f t="shared" si="151"/>
        <v>0</v>
      </c>
      <c r="Q146" s="337">
        <f t="shared" si="151"/>
        <v>0</v>
      </c>
      <c r="R146" s="337">
        <f t="shared" si="151"/>
        <v>0</v>
      </c>
      <c r="S146" s="337">
        <f t="shared" si="151"/>
        <v>0</v>
      </c>
      <c r="T146" s="337">
        <f t="shared" si="151"/>
        <v>0</v>
      </c>
      <c r="U146" s="337">
        <f t="shared" si="151"/>
        <v>0</v>
      </c>
      <c r="V146" s="337">
        <f t="shared" si="151"/>
        <v>0</v>
      </c>
      <c r="W146" s="336">
        <f t="shared" si="151"/>
        <v>0</v>
      </c>
      <c r="X146" s="337">
        <f t="shared" si="151"/>
        <v>0</v>
      </c>
      <c r="Y146" s="337">
        <f t="shared" si="151"/>
        <v>0</v>
      </c>
      <c r="Z146" s="337">
        <f t="shared" si="151"/>
        <v>0</v>
      </c>
      <c r="AA146" s="337">
        <f t="shared" si="151"/>
        <v>0</v>
      </c>
      <c r="AB146" s="337">
        <f t="shared" si="151"/>
        <v>0</v>
      </c>
      <c r="AC146" s="337">
        <f t="shared" si="151"/>
        <v>20608.333333333332</v>
      </c>
      <c r="AD146" s="337">
        <f t="shared" si="151"/>
        <v>36064.583333333336</v>
      </c>
      <c r="AE146" s="337">
        <f t="shared" si="151"/>
        <v>36064.583333333336</v>
      </c>
      <c r="AF146" s="337">
        <f t="shared" si="151"/>
        <v>36064.583333333336</v>
      </c>
      <c r="AG146" s="337">
        <f t="shared" si="151"/>
        <v>36064.583333333336</v>
      </c>
      <c r="AH146" s="337">
        <f t="shared" si="151"/>
        <v>64401.041666666664</v>
      </c>
      <c r="AI146" s="336">
        <f t="shared" si="151"/>
        <v>64401.041666666664</v>
      </c>
      <c r="AJ146" s="337">
        <f t="shared" si="151"/>
        <v>64401.041666666664</v>
      </c>
      <c r="AK146" s="337">
        <f t="shared" si="151"/>
        <v>64401.041666666664</v>
      </c>
      <c r="AL146" s="337">
        <f t="shared" si="151"/>
        <v>77281.25</v>
      </c>
      <c r="AM146" s="337">
        <f t="shared" si="151"/>
        <v>77281.25</v>
      </c>
      <c r="AN146" s="337">
        <f t="shared" si="151"/>
        <v>92737.5</v>
      </c>
      <c r="AO146" s="337">
        <f t="shared" si="151"/>
        <v>92737.5</v>
      </c>
      <c r="AP146" s="337">
        <f t="shared" si="151"/>
        <v>103041.66666666666</v>
      </c>
      <c r="AQ146" s="337">
        <f t="shared" si="151"/>
        <v>118497.91666666667</v>
      </c>
      <c r="AR146" s="337">
        <f t="shared" si="151"/>
        <v>128802.08333333333</v>
      </c>
      <c r="AS146" s="337">
        <f t="shared" si="151"/>
        <v>128802.08333333333</v>
      </c>
      <c r="AT146" s="337">
        <f t="shared" si="151"/>
        <v>139106.25</v>
      </c>
    </row>
    <row r="147" spans="1:46" ht="14.25" customHeight="1" x14ac:dyDescent="0.25">
      <c r="A147" s="289"/>
      <c r="B147" s="289"/>
      <c r="C147" s="289"/>
      <c r="D147" s="289"/>
      <c r="E147" s="289"/>
      <c r="F147" s="289"/>
      <c r="G147" s="289"/>
      <c r="H147" s="330"/>
      <c r="I147" s="333" t="s">
        <v>272</v>
      </c>
      <c r="J147" s="289"/>
      <c r="K147" s="301">
        <f t="shared" ref="K147:AT147" si="152">SUM(K138:K146)</f>
        <v>79805.770833333328</v>
      </c>
      <c r="L147" s="302">
        <f t="shared" si="152"/>
        <v>79805.770833333328</v>
      </c>
      <c r="M147" s="302">
        <f t="shared" si="152"/>
        <v>102577.97916666666</v>
      </c>
      <c r="N147" s="302">
        <f t="shared" si="152"/>
        <v>116488.60416666666</v>
      </c>
      <c r="O147" s="302">
        <f t="shared" si="152"/>
        <v>129368.8125</v>
      </c>
      <c r="P147" s="302">
        <f t="shared" si="152"/>
        <v>142249.02083333331</v>
      </c>
      <c r="Q147" s="302">
        <f t="shared" si="152"/>
        <v>133181.35416666666</v>
      </c>
      <c r="R147" s="302">
        <f t="shared" si="152"/>
        <v>138951.6875</v>
      </c>
      <c r="S147" s="302">
        <f t="shared" si="152"/>
        <v>138951.6875</v>
      </c>
      <c r="T147" s="302">
        <f t="shared" si="152"/>
        <v>143485.52083333331</v>
      </c>
      <c r="U147" s="302">
        <f t="shared" si="152"/>
        <v>143485.52083333331</v>
      </c>
      <c r="V147" s="302">
        <f t="shared" si="152"/>
        <v>143485.52083333331</v>
      </c>
      <c r="W147" s="301">
        <f t="shared" si="152"/>
        <v>422316.27083333326</v>
      </c>
      <c r="X147" s="302">
        <f t="shared" si="152"/>
        <v>451167.93749999994</v>
      </c>
      <c r="Y147" s="302">
        <f t="shared" si="152"/>
        <v>474352.31249999994</v>
      </c>
      <c r="Z147" s="302">
        <f t="shared" si="152"/>
        <v>505264.81249999994</v>
      </c>
      <c r="AA147" s="302">
        <f t="shared" si="152"/>
        <v>529994.8125</v>
      </c>
      <c r="AB147" s="302">
        <f t="shared" si="152"/>
        <v>542875.02083333337</v>
      </c>
      <c r="AC147" s="302">
        <f t="shared" si="152"/>
        <v>597487.10416666663</v>
      </c>
      <c r="AD147" s="302">
        <f t="shared" si="152"/>
        <v>641795.02083333337</v>
      </c>
      <c r="AE147" s="302">
        <f t="shared" si="152"/>
        <v>660342.52083333326</v>
      </c>
      <c r="AF147" s="302">
        <f t="shared" si="152"/>
        <v>683526.89583333326</v>
      </c>
      <c r="AG147" s="302">
        <f t="shared" si="152"/>
        <v>683526.89583333326</v>
      </c>
      <c r="AH147" s="302">
        <f t="shared" si="152"/>
        <v>711863.35416666651</v>
      </c>
      <c r="AI147" s="301">
        <f t="shared" si="152"/>
        <v>782962.10416666663</v>
      </c>
      <c r="AJ147" s="302">
        <f t="shared" si="152"/>
        <v>795842.31249999988</v>
      </c>
      <c r="AK147" s="302">
        <f t="shared" si="152"/>
        <v>795842.31249999988</v>
      </c>
      <c r="AL147" s="302">
        <f t="shared" si="152"/>
        <v>808722.52083333326</v>
      </c>
      <c r="AM147" s="302">
        <f t="shared" si="152"/>
        <v>814389.81249999988</v>
      </c>
      <c r="AN147" s="302">
        <f t="shared" si="152"/>
        <v>842726.27083333314</v>
      </c>
      <c r="AO147" s="302">
        <f t="shared" si="152"/>
        <v>850454.39583333314</v>
      </c>
      <c r="AP147" s="302">
        <f t="shared" si="152"/>
        <v>860758.56249999977</v>
      </c>
      <c r="AQ147" s="302">
        <f t="shared" si="152"/>
        <v>876214.81249999977</v>
      </c>
      <c r="AR147" s="302">
        <f t="shared" si="152"/>
        <v>898368.77083333326</v>
      </c>
      <c r="AS147" s="302">
        <f t="shared" si="152"/>
        <v>911764.18749999988</v>
      </c>
      <c r="AT147" s="302">
        <f t="shared" si="152"/>
        <v>922068.35416666651</v>
      </c>
    </row>
    <row r="148" spans="1:46" ht="14.25" customHeight="1" x14ac:dyDescent="0.25">
      <c r="A148" s="289"/>
      <c r="B148" s="289"/>
      <c r="C148" s="289"/>
      <c r="D148" s="289"/>
      <c r="E148" s="289"/>
      <c r="F148" s="289"/>
      <c r="G148" s="289"/>
      <c r="H148" s="332" t="s">
        <v>575</v>
      </c>
      <c r="I148" s="117"/>
      <c r="J148" s="289"/>
      <c r="K148" s="307">
        <f t="shared" ref="K148:AT148" si="153">SUM(K138:K142)</f>
        <v>79805.770833333328</v>
      </c>
      <c r="L148" s="308">
        <f t="shared" si="153"/>
        <v>79805.770833333328</v>
      </c>
      <c r="M148" s="308">
        <f t="shared" si="153"/>
        <v>92170.770833333328</v>
      </c>
      <c r="N148" s="308">
        <f t="shared" si="153"/>
        <v>106081.39583333333</v>
      </c>
      <c r="O148" s="308">
        <f t="shared" si="153"/>
        <v>106081.39583333333</v>
      </c>
      <c r="P148" s="308">
        <f t="shared" si="153"/>
        <v>106081.39583333333</v>
      </c>
      <c r="Q148" s="308">
        <f t="shared" si="153"/>
        <v>85473.0625</v>
      </c>
      <c r="R148" s="308">
        <f t="shared" si="153"/>
        <v>91243.395833333328</v>
      </c>
      <c r="S148" s="308">
        <f t="shared" si="153"/>
        <v>91243.395833333328</v>
      </c>
      <c r="T148" s="308">
        <f t="shared" si="153"/>
        <v>95777.229166666657</v>
      </c>
      <c r="U148" s="308">
        <f t="shared" si="153"/>
        <v>95777.229166666657</v>
      </c>
      <c r="V148" s="308">
        <f t="shared" si="153"/>
        <v>95777.229166666657</v>
      </c>
      <c r="W148" s="307">
        <f t="shared" si="153"/>
        <v>356060.47916666663</v>
      </c>
      <c r="X148" s="308">
        <f t="shared" si="153"/>
        <v>379244.85416666663</v>
      </c>
      <c r="Y148" s="308">
        <f t="shared" si="153"/>
        <v>402429.22916666663</v>
      </c>
      <c r="Z148" s="308">
        <f t="shared" si="153"/>
        <v>427674.43749999994</v>
      </c>
      <c r="AA148" s="308">
        <f t="shared" si="153"/>
        <v>436948.18749999994</v>
      </c>
      <c r="AB148" s="308">
        <f t="shared" si="153"/>
        <v>449828.39583333331</v>
      </c>
      <c r="AC148" s="308">
        <f t="shared" si="153"/>
        <v>478164.85416666657</v>
      </c>
      <c r="AD148" s="308">
        <f t="shared" si="153"/>
        <v>499288.39583333326</v>
      </c>
      <c r="AE148" s="308">
        <f t="shared" si="153"/>
        <v>512168.60416666657</v>
      </c>
      <c r="AF148" s="308">
        <f t="shared" si="153"/>
        <v>535352.97916666651</v>
      </c>
      <c r="AG148" s="308">
        <f t="shared" si="153"/>
        <v>535352.97916666651</v>
      </c>
      <c r="AH148" s="308">
        <f t="shared" si="153"/>
        <v>535352.97916666651</v>
      </c>
      <c r="AI148" s="307">
        <f t="shared" si="153"/>
        <v>585843.39583333326</v>
      </c>
      <c r="AJ148" s="308">
        <f t="shared" si="153"/>
        <v>598723.60416666651</v>
      </c>
      <c r="AK148" s="308">
        <f t="shared" si="153"/>
        <v>598723.60416666651</v>
      </c>
      <c r="AL148" s="308">
        <f t="shared" si="153"/>
        <v>598723.60416666651</v>
      </c>
      <c r="AM148" s="308">
        <f t="shared" si="153"/>
        <v>598723.60416666651</v>
      </c>
      <c r="AN148" s="308">
        <f t="shared" si="153"/>
        <v>611603.81249999977</v>
      </c>
      <c r="AO148" s="308">
        <f t="shared" si="153"/>
        <v>611603.81249999977</v>
      </c>
      <c r="AP148" s="308">
        <f t="shared" si="153"/>
        <v>611603.81249999977</v>
      </c>
      <c r="AQ148" s="308">
        <f t="shared" si="153"/>
        <v>611603.81249999977</v>
      </c>
      <c r="AR148" s="308">
        <f t="shared" si="153"/>
        <v>623453.60416666651</v>
      </c>
      <c r="AS148" s="308">
        <f t="shared" si="153"/>
        <v>623453.60416666651</v>
      </c>
      <c r="AT148" s="308">
        <f t="shared" si="153"/>
        <v>623453.60416666651</v>
      </c>
    </row>
    <row r="149" spans="1:46" ht="14.25" customHeight="1" x14ac:dyDescent="0.25">
      <c r="A149" s="289"/>
      <c r="B149" s="289"/>
      <c r="C149" s="289"/>
      <c r="D149" s="289"/>
      <c r="E149" s="289"/>
      <c r="F149" s="289"/>
      <c r="G149" s="289"/>
      <c r="H149" s="332" t="s">
        <v>21</v>
      </c>
      <c r="I149" s="117"/>
      <c r="J149" s="289"/>
      <c r="K149" s="307">
        <f t="shared" ref="K149:AT149" si="154">SUM(K143:K146)</f>
        <v>0</v>
      </c>
      <c r="L149" s="308">
        <f t="shared" si="154"/>
        <v>0</v>
      </c>
      <c r="M149" s="308">
        <f t="shared" si="154"/>
        <v>10407.208333333334</v>
      </c>
      <c r="N149" s="308">
        <f t="shared" si="154"/>
        <v>10407.208333333334</v>
      </c>
      <c r="O149" s="308">
        <f t="shared" si="154"/>
        <v>23287.416666666664</v>
      </c>
      <c r="P149" s="308">
        <f t="shared" si="154"/>
        <v>36167.625</v>
      </c>
      <c r="Q149" s="308">
        <f t="shared" si="154"/>
        <v>47708.291666666657</v>
      </c>
      <c r="R149" s="308">
        <f t="shared" si="154"/>
        <v>47708.291666666657</v>
      </c>
      <c r="S149" s="308">
        <f t="shared" si="154"/>
        <v>47708.291666666657</v>
      </c>
      <c r="T149" s="308">
        <f t="shared" si="154"/>
        <v>47708.291666666657</v>
      </c>
      <c r="U149" s="308">
        <f t="shared" si="154"/>
        <v>47708.291666666657</v>
      </c>
      <c r="V149" s="308">
        <f t="shared" si="154"/>
        <v>47708.291666666657</v>
      </c>
      <c r="W149" s="307">
        <f t="shared" si="154"/>
        <v>66255.791666666657</v>
      </c>
      <c r="X149" s="308">
        <f t="shared" si="154"/>
        <v>71923.083333333328</v>
      </c>
      <c r="Y149" s="308">
        <f t="shared" si="154"/>
        <v>71923.083333333328</v>
      </c>
      <c r="Z149" s="308">
        <f t="shared" si="154"/>
        <v>77590.375</v>
      </c>
      <c r="AA149" s="308">
        <f t="shared" si="154"/>
        <v>93046.625</v>
      </c>
      <c r="AB149" s="308">
        <f t="shared" si="154"/>
        <v>93046.625</v>
      </c>
      <c r="AC149" s="308">
        <f t="shared" si="154"/>
        <v>119322.24999999999</v>
      </c>
      <c r="AD149" s="308">
        <f t="shared" si="154"/>
        <v>142506.625</v>
      </c>
      <c r="AE149" s="308">
        <f t="shared" si="154"/>
        <v>148173.91666666666</v>
      </c>
      <c r="AF149" s="308">
        <f t="shared" si="154"/>
        <v>148173.91666666666</v>
      </c>
      <c r="AG149" s="308">
        <f t="shared" si="154"/>
        <v>148173.91666666666</v>
      </c>
      <c r="AH149" s="308">
        <f t="shared" si="154"/>
        <v>176510.375</v>
      </c>
      <c r="AI149" s="307">
        <f t="shared" si="154"/>
        <v>197118.70833333331</v>
      </c>
      <c r="AJ149" s="308">
        <f t="shared" si="154"/>
        <v>197118.70833333331</v>
      </c>
      <c r="AK149" s="308">
        <f t="shared" si="154"/>
        <v>197118.70833333331</v>
      </c>
      <c r="AL149" s="308">
        <f t="shared" si="154"/>
        <v>209998.91666666666</v>
      </c>
      <c r="AM149" s="308">
        <f t="shared" si="154"/>
        <v>215666.20833333331</v>
      </c>
      <c r="AN149" s="308">
        <f t="shared" si="154"/>
        <v>231122.45833333331</v>
      </c>
      <c r="AO149" s="308">
        <f t="shared" si="154"/>
        <v>238850.58333333331</v>
      </c>
      <c r="AP149" s="308">
        <f t="shared" si="154"/>
        <v>249154.74999999997</v>
      </c>
      <c r="AQ149" s="308">
        <f t="shared" si="154"/>
        <v>264611</v>
      </c>
      <c r="AR149" s="308">
        <f t="shared" si="154"/>
        <v>274915.16666666663</v>
      </c>
      <c r="AS149" s="308">
        <f t="shared" si="154"/>
        <v>288310.58333333331</v>
      </c>
      <c r="AT149" s="308">
        <f t="shared" si="154"/>
        <v>298614.75</v>
      </c>
    </row>
    <row r="150" spans="1:46" ht="15.75" customHeight="1" x14ac:dyDescent="0.25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  <c r="AC150" s="289"/>
      <c r="AD150" s="289"/>
      <c r="AE150" s="289"/>
      <c r="AF150" s="289"/>
      <c r="AG150" s="289"/>
      <c r="AH150" s="289"/>
      <c r="AI150" s="289"/>
      <c r="AJ150" s="289"/>
      <c r="AK150" s="289"/>
      <c r="AL150" s="289"/>
      <c r="AM150" s="289"/>
      <c r="AN150" s="289"/>
      <c r="AO150" s="289"/>
      <c r="AP150" s="289"/>
      <c r="AQ150" s="289"/>
      <c r="AR150" s="289"/>
      <c r="AS150" s="289"/>
      <c r="AT150" s="289"/>
    </row>
    <row r="151" spans="1:46" ht="15.75" customHeight="1" x14ac:dyDescent="0.25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  <c r="AC151" s="289"/>
      <c r="AD151" s="289"/>
      <c r="AE151" s="289"/>
      <c r="AF151" s="289"/>
      <c r="AG151" s="289"/>
      <c r="AH151" s="289"/>
      <c r="AI151" s="289"/>
      <c r="AJ151" s="289"/>
      <c r="AK151" s="289"/>
      <c r="AL151" s="289"/>
      <c r="AM151" s="289"/>
      <c r="AN151" s="289"/>
      <c r="AO151" s="289"/>
      <c r="AP151" s="289"/>
      <c r="AQ151" s="289"/>
      <c r="AR151" s="289"/>
      <c r="AS151" s="289"/>
      <c r="AT151" s="289"/>
    </row>
    <row r="152" spans="1:46" ht="15.75" customHeight="1" x14ac:dyDescent="0.25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  <c r="AC152" s="289"/>
      <c r="AD152" s="289"/>
      <c r="AE152" s="289"/>
      <c r="AF152" s="289"/>
      <c r="AG152" s="289"/>
      <c r="AH152" s="289"/>
      <c r="AI152" s="289"/>
      <c r="AJ152" s="289"/>
      <c r="AK152" s="289"/>
      <c r="AL152" s="289"/>
      <c r="AM152" s="289"/>
      <c r="AN152" s="289"/>
      <c r="AO152" s="289"/>
      <c r="AP152" s="289"/>
      <c r="AQ152" s="289"/>
      <c r="AR152" s="289"/>
      <c r="AS152" s="289"/>
      <c r="AT152" s="289"/>
    </row>
    <row r="153" spans="1:46" ht="15.75" customHeight="1" x14ac:dyDescent="0.25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  <c r="AC153" s="289"/>
      <c r="AD153" s="289"/>
      <c r="AE153" s="289"/>
      <c r="AF153" s="289"/>
      <c r="AG153" s="289"/>
      <c r="AH153" s="289"/>
      <c r="AI153" s="289"/>
      <c r="AJ153" s="289"/>
      <c r="AK153" s="289"/>
      <c r="AL153" s="289"/>
      <c r="AM153" s="289"/>
      <c r="AN153" s="289"/>
      <c r="AO153" s="289"/>
      <c r="AP153" s="289"/>
      <c r="AQ153" s="289"/>
      <c r="AR153" s="289"/>
      <c r="AS153" s="289"/>
      <c r="AT153" s="289"/>
    </row>
    <row r="154" spans="1:46" ht="15.75" customHeight="1" x14ac:dyDescent="0.25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  <c r="AC154" s="289"/>
      <c r="AD154" s="289"/>
      <c r="AE154" s="289"/>
      <c r="AF154" s="289"/>
      <c r="AG154" s="289"/>
      <c r="AH154" s="289"/>
      <c r="AI154" s="289"/>
      <c r="AJ154" s="289"/>
      <c r="AK154" s="289"/>
      <c r="AL154" s="289"/>
      <c r="AM154" s="289"/>
      <c r="AN154" s="289"/>
      <c r="AO154" s="289"/>
      <c r="AP154" s="289"/>
      <c r="AQ154" s="289"/>
      <c r="AR154" s="289"/>
      <c r="AS154" s="289"/>
      <c r="AT154" s="289"/>
    </row>
    <row r="155" spans="1:46" ht="15.75" customHeight="1" x14ac:dyDescent="0.25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  <c r="AC155" s="289"/>
      <c r="AD155" s="289"/>
      <c r="AE155" s="289"/>
      <c r="AF155" s="289"/>
      <c r="AG155" s="289"/>
      <c r="AH155" s="289"/>
      <c r="AI155" s="289"/>
      <c r="AJ155" s="289"/>
      <c r="AK155" s="289"/>
      <c r="AL155" s="289"/>
      <c r="AM155" s="289"/>
      <c r="AN155" s="289"/>
      <c r="AO155" s="289"/>
      <c r="AP155" s="289"/>
      <c r="AQ155" s="289"/>
      <c r="AR155" s="289"/>
      <c r="AS155" s="289"/>
      <c r="AT155" s="289"/>
    </row>
    <row r="156" spans="1:46" ht="15.75" customHeight="1" x14ac:dyDescent="0.25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  <c r="AC156" s="289"/>
      <c r="AD156" s="289"/>
      <c r="AE156" s="289"/>
      <c r="AF156" s="289"/>
      <c r="AG156" s="289"/>
      <c r="AH156" s="289"/>
      <c r="AI156" s="289"/>
      <c r="AJ156" s="289"/>
      <c r="AK156" s="289"/>
      <c r="AL156" s="289"/>
      <c r="AM156" s="289"/>
      <c r="AN156" s="289"/>
      <c r="AO156" s="289"/>
      <c r="AP156" s="289"/>
      <c r="AQ156" s="289"/>
      <c r="AR156" s="289"/>
      <c r="AS156" s="289"/>
      <c r="AT156" s="289"/>
    </row>
    <row r="157" spans="1:46" ht="15.75" customHeight="1" x14ac:dyDescent="0.25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  <c r="AC157" s="289"/>
      <c r="AD157" s="289"/>
      <c r="AE157" s="289"/>
      <c r="AF157" s="289"/>
      <c r="AG157" s="289"/>
      <c r="AH157" s="289"/>
      <c r="AI157" s="289"/>
      <c r="AJ157" s="289"/>
      <c r="AK157" s="289"/>
      <c r="AL157" s="289"/>
      <c r="AM157" s="289"/>
      <c r="AN157" s="289"/>
      <c r="AO157" s="289"/>
      <c r="AP157" s="289"/>
      <c r="AQ157" s="289"/>
      <c r="AR157" s="289"/>
      <c r="AS157" s="289"/>
      <c r="AT157" s="289"/>
    </row>
    <row r="158" spans="1:46" ht="15.75" customHeight="1" x14ac:dyDescent="0.25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  <c r="AC158" s="289"/>
      <c r="AD158" s="289"/>
      <c r="AE158" s="289"/>
      <c r="AF158" s="289"/>
      <c r="AG158" s="289"/>
      <c r="AH158" s="289"/>
      <c r="AI158" s="289"/>
      <c r="AJ158" s="289"/>
      <c r="AK158" s="289"/>
      <c r="AL158" s="289"/>
      <c r="AM158" s="289"/>
      <c r="AN158" s="289"/>
      <c r="AO158" s="289"/>
      <c r="AP158" s="289"/>
      <c r="AQ158" s="289"/>
      <c r="AR158" s="289"/>
      <c r="AS158" s="289"/>
      <c r="AT158" s="289"/>
    </row>
    <row r="159" spans="1:46" ht="15.75" customHeight="1" x14ac:dyDescent="0.25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  <c r="AC159" s="289"/>
      <c r="AD159" s="289"/>
      <c r="AE159" s="289"/>
      <c r="AF159" s="289"/>
      <c r="AG159" s="289"/>
      <c r="AH159" s="289"/>
      <c r="AI159" s="289"/>
      <c r="AJ159" s="289"/>
      <c r="AK159" s="289"/>
      <c r="AL159" s="289"/>
      <c r="AM159" s="289"/>
      <c r="AN159" s="289"/>
      <c r="AO159" s="289"/>
      <c r="AP159" s="289"/>
      <c r="AQ159" s="289"/>
      <c r="AR159" s="289"/>
      <c r="AS159" s="289"/>
      <c r="AT159" s="289"/>
    </row>
    <row r="160" spans="1:46" ht="15.75" customHeight="1" x14ac:dyDescent="0.25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  <c r="AC160" s="289"/>
      <c r="AD160" s="289"/>
      <c r="AE160" s="289"/>
      <c r="AF160" s="289"/>
      <c r="AG160" s="289"/>
      <c r="AH160" s="289"/>
      <c r="AI160" s="289"/>
      <c r="AJ160" s="289"/>
      <c r="AK160" s="289"/>
      <c r="AL160" s="289"/>
      <c r="AM160" s="289"/>
      <c r="AN160" s="289"/>
      <c r="AO160" s="289"/>
      <c r="AP160" s="289"/>
      <c r="AQ160" s="289"/>
      <c r="AR160" s="289"/>
      <c r="AS160" s="289"/>
      <c r="AT160" s="289"/>
    </row>
    <row r="161" spans="1:46" ht="15.75" customHeight="1" x14ac:dyDescent="0.25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  <c r="AC161" s="289"/>
      <c r="AD161" s="289"/>
      <c r="AE161" s="289"/>
      <c r="AF161" s="289"/>
      <c r="AG161" s="289"/>
      <c r="AH161" s="289"/>
      <c r="AI161" s="289"/>
      <c r="AJ161" s="289"/>
      <c r="AK161" s="289"/>
      <c r="AL161" s="289"/>
      <c r="AM161" s="289"/>
      <c r="AN161" s="289"/>
      <c r="AO161" s="289"/>
      <c r="AP161" s="289"/>
      <c r="AQ161" s="289"/>
      <c r="AR161" s="289"/>
      <c r="AS161" s="289"/>
      <c r="AT161" s="289"/>
    </row>
    <row r="162" spans="1:46" ht="15.75" customHeight="1" x14ac:dyDescent="0.25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  <c r="AC162" s="289"/>
      <c r="AD162" s="289"/>
      <c r="AE162" s="289"/>
      <c r="AF162" s="289"/>
      <c r="AG162" s="289"/>
      <c r="AH162" s="289"/>
      <c r="AI162" s="289"/>
      <c r="AJ162" s="289"/>
      <c r="AK162" s="289"/>
      <c r="AL162" s="289"/>
      <c r="AM162" s="289"/>
      <c r="AN162" s="289"/>
      <c r="AO162" s="289"/>
      <c r="AP162" s="289"/>
      <c r="AQ162" s="289"/>
      <c r="AR162" s="289"/>
      <c r="AS162" s="289"/>
      <c r="AT162" s="289"/>
    </row>
    <row r="163" spans="1:46" ht="15.75" customHeight="1" x14ac:dyDescent="0.25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  <c r="AC163" s="289"/>
      <c r="AD163" s="289"/>
      <c r="AE163" s="289"/>
      <c r="AF163" s="289"/>
      <c r="AG163" s="289"/>
      <c r="AH163" s="289"/>
      <c r="AI163" s="289"/>
      <c r="AJ163" s="289"/>
      <c r="AK163" s="289"/>
      <c r="AL163" s="289"/>
      <c r="AM163" s="289"/>
      <c r="AN163" s="289"/>
      <c r="AO163" s="289"/>
      <c r="AP163" s="289"/>
      <c r="AQ163" s="289"/>
      <c r="AR163" s="289"/>
      <c r="AS163" s="289"/>
      <c r="AT163" s="289"/>
    </row>
    <row r="164" spans="1:46" ht="15.75" customHeight="1" x14ac:dyDescent="0.25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  <c r="AC164" s="289"/>
      <c r="AD164" s="289"/>
      <c r="AE164" s="289"/>
      <c r="AF164" s="289"/>
      <c r="AG164" s="289"/>
      <c r="AH164" s="289"/>
      <c r="AI164" s="289"/>
      <c r="AJ164" s="289"/>
      <c r="AK164" s="289"/>
      <c r="AL164" s="289"/>
      <c r="AM164" s="289"/>
      <c r="AN164" s="289"/>
      <c r="AO164" s="289"/>
      <c r="AP164" s="289"/>
      <c r="AQ164" s="289"/>
      <c r="AR164" s="289"/>
      <c r="AS164" s="289"/>
      <c r="AT164" s="289"/>
    </row>
    <row r="165" spans="1:46" ht="15.75" customHeight="1" x14ac:dyDescent="0.25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  <c r="AC165" s="289"/>
      <c r="AD165" s="289"/>
      <c r="AE165" s="289"/>
      <c r="AF165" s="289"/>
      <c r="AG165" s="289"/>
      <c r="AH165" s="289"/>
      <c r="AI165" s="289"/>
      <c r="AJ165" s="289"/>
      <c r="AK165" s="289"/>
      <c r="AL165" s="289"/>
      <c r="AM165" s="289"/>
      <c r="AN165" s="289"/>
      <c r="AO165" s="289"/>
      <c r="AP165" s="289"/>
      <c r="AQ165" s="289"/>
      <c r="AR165" s="289"/>
      <c r="AS165" s="289"/>
      <c r="AT165" s="289"/>
    </row>
    <row r="166" spans="1:46" ht="15.75" customHeight="1" x14ac:dyDescent="0.25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  <c r="AC166" s="289"/>
      <c r="AD166" s="289"/>
      <c r="AE166" s="289"/>
      <c r="AF166" s="289"/>
      <c r="AG166" s="289"/>
      <c r="AH166" s="289"/>
      <c r="AI166" s="289"/>
      <c r="AJ166" s="289"/>
      <c r="AK166" s="289"/>
      <c r="AL166" s="289"/>
      <c r="AM166" s="289"/>
      <c r="AN166" s="289"/>
      <c r="AO166" s="289"/>
      <c r="AP166" s="289"/>
      <c r="AQ166" s="289"/>
      <c r="AR166" s="289"/>
      <c r="AS166" s="289"/>
      <c r="AT166" s="289"/>
    </row>
    <row r="167" spans="1:46" ht="15.75" customHeight="1" x14ac:dyDescent="0.25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  <c r="AC167" s="289"/>
      <c r="AD167" s="289"/>
      <c r="AE167" s="289"/>
      <c r="AF167" s="289"/>
      <c r="AG167" s="289"/>
      <c r="AH167" s="289"/>
      <c r="AI167" s="289"/>
      <c r="AJ167" s="289"/>
      <c r="AK167" s="289"/>
      <c r="AL167" s="289"/>
      <c r="AM167" s="289"/>
      <c r="AN167" s="289"/>
      <c r="AO167" s="289"/>
      <c r="AP167" s="289"/>
      <c r="AQ167" s="289"/>
      <c r="AR167" s="289"/>
      <c r="AS167" s="289"/>
      <c r="AT167" s="289"/>
    </row>
    <row r="168" spans="1:46" ht="15.75" customHeight="1" x14ac:dyDescent="0.25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  <c r="AC168" s="289"/>
      <c r="AD168" s="289"/>
      <c r="AE168" s="289"/>
      <c r="AF168" s="289"/>
      <c r="AG168" s="289"/>
      <c r="AH168" s="289"/>
      <c r="AI168" s="289"/>
      <c r="AJ168" s="289"/>
      <c r="AK168" s="289"/>
      <c r="AL168" s="289"/>
      <c r="AM168" s="289"/>
      <c r="AN168" s="289"/>
      <c r="AO168" s="289"/>
      <c r="AP168" s="289"/>
      <c r="AQ168" s="289"/>
      <c r="AR168" s="289"/>
      <c r="AS168" s="289"/>
      <c r="AT168" s="289"/>
    </row>
    <row r="169" spans="1:46" ht="15.75" customHeight="1" x14ac:dyDescent="0.25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  <c r="AC169" s="289"/>
      <c r="AD169" s="289"/>
      <c r="AE169" s="289"/>
      <c r="AF169" s="289"/>
      <c r="AG169" s="289"/>
      <c r="AH169" s="289"/>
      <c r="AI169" s="289"/>
      <c r="AJ169" s="289"/>
      <c r="AK169" s="289"/>
      <c r="AL169" s="289"/>
      <c r="AM169" s="289"/>
      <c r="AN169" s="289"/>
      <c r="AO169" s="289"/>
      <c r="AP169" s="289"/>
      <c r="AQ169" s="289"/>
      <c r="AR169" s="289"/>
      <c r="AS169" s="289"/>
      <c r="AT169" s="289"/>
    </row>
    <row r="170" spans="1:46" ht="15.75" customHeight="1" x14ac:dyDescent="0.25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  <c r="AC170" s="289"/>
      <c r="AD170" s="289"/>
      <c r="AE170" s="289"/>
      <c r="AF170" s="289"/>
      <c r="AG170" s="289"/>
      <c r="AH170" s="289"/>
      <c r="AI170" s="289"/>
      <c r="AJ170" s="289"/>
      <c r="AK170" s="289"/>
      <c r="AL170" s="289"/>
      <c r="AM170" s="289"/>
      <c r="AN170" s="289"/>
      <c r="AO170" s="289"/>
      <c r="AP170" s="289"/>
      <c r="AQ170" s="289"/>
      <c r="AR170" s="289"/>
      <c r="AS170" s="289"/>
      <c r="AT170" s="289"/>
    </row>
    <row r="171" spans="1:46" ht="15.75" customHeight="1" x14ac:dyDescent="0.25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  <c r="AC171" s="289"/>
      <c r="AD171" s="289"/>
      <c r="AE171" s="289"/>
      <c r="AF171" s="289"/>
      <c r="AG171" s="289"/>
      <c r="AH171" s="289"/>
      <c r="AI171" s="289"/>
      <c r="AJ171" s="289"/>
      <c r="AK171" s="289"/>
      <c r="AL171" s="289"/>
      <c r="AM171" s="289"/>
      <c r="AN171" s="289"/>
      <c r="AO171" s="289"/>
      <c r="AP171" s="289"/>
      <c r="AQ171" s="289"/>
      <c r="AR171" s="289"/>
      <c r="AS171" s="289"/>
      <c r="AT171" s="289"/>
    </row>
    <row r="172" spans="1:46" ht="15.75" customHeight="1" x14ac:dyDescent="0.25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  <c r="AC172" s="289"/>
      <c r="AD172" s="289"/>
      <c r="AE172" s="289"/>
      <c r="AF172" s="289"/>
      <c r="AG172" s="289"/>
      <c r="AH172" s="289"/>
      <c r="AI172" s="289"/>
      <c r="AJ172" s="289"/>
      <c r="AK172" s="289"/>
      <c r="AL172" s="289"/>
      <c r="AM172" s="289"/>
      <c r="AN172" s="289"/>
      <c r="AO172" s="289"/>
      <c r="AP172" s="289"/>
      <c r="AQ172" s="289"/>
      <c r="AR172" s="289"/>
      <c r="AS172" s="289"/>
      <c r="AT172" s="289"/>
    </row>
    <row r="173" spans="1:46" ht="15.75" customHeight="1" x14ac:dyDescent="0.25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  <c r="AC173" s="289"/>
      <c r="AD173" s="289"/>
      <c r="AE173" s="289"/>
      <c r="AF173" s="289"/>
      <c r="AG173" s="289"/>
      <c r="AH173" s="289"/>
      <c r="AI173" s="289"/>
      <c r="AJ173" s="289"/>
      <c r="AK173" s="289"/>
      <c r="AL173" s="289"/>
      <c r="AM173" s="289"/>
      <c r="AN173" s="289"/>
      <c r="AO173" s="289"/>
      <c r="AP173" s="289"/>
      <c r="AQ173" s="289"/>
      <c r="AR173" s="289"/>
      <c r="AS173" s="289"/>
      <c r="AT173" s="289"/>
    </row>
    <row r="174" spans="1:46" ht="15.75" customHeight="1" x14ac:dyDescent="0.25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  <c r="AC174" s="289"/>
      <c r="AD174" s="289"/>
      <c r="AE174" s="289"/>
      <c r="AF174" s="289"/>
      <c r="AG174" s="289"/>
      <c r="AH174" s="289"/>
      <c r="AI174" s="289"/>
      <c r="AJ174" s="289"/>
      <c r="AK174" s="289"/>
      <c r="AL174" s="289"/>
      <c r="AM174" s="289"/>
      <c r="AN174" s="289"/>
      <c r="AO174" s="289"/>
      <c r="AP174" s="289"/>
      <c r="AQ174" s="289"/>
      <c r="AR174" s="289"/>
      <c r="AS174" s="289"/>
      <c r="AT174" s="289"/>
    </row>
    <row r="175" spans="1:46" ht="15.75" customHeight="1" x14ac:dyDescent="0.25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  <c r="AC175" s="289"/>
      <c r="AD175" s="289"/>
      <c r="AE175" s="289"/>
      <c r="AF175" s="289"/>
      <c r="AG175" s="289"/>
      <c r="AH175" s="289"/>
      <c r="AI175" s="289"/>
      <c r="AJ175" s="289"/>
      <c r="AK175" s="289"/>
      <c r="AL175" s="289"/>
      <c r="AM175" s="289"/>
      <c r="AN175" s="289"/>
      <c r="AO175" s="289"/>
      <c r="AP175" s="289"/>
      <c r="AQ175" s="289"/>
      <c r="AR175" s="289"/>
      <c r="AS175" s="289"/>
      <c r="AT175" s="289"/>
    </row>
    <row r="176" spans="1:46" ht="15.75" customHeight="1" x14ac:dyDescent="0.25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  <c r="AC176" s="289"/>
      <c r="AD176" s="289"/>
      <c r="AE176" s="289"/>
      <c r="AF176" s="289"/>
      <c r="AG176" s="289"/>
      <c r="AH176" s="289"/>
      <c r="AI176" s="289"/>
      <c r="AJ176" s="289"/>
      <c r="AK176" s="289"/>
      <c r="AL176" s="289"/>
      <c r="AM176" s="289"/>
      <c r="AN176" s="289"/>
      <c r="AO176" s="289"/>
      <c r="AP176" s="289"/>
      <c r="AQ176" s="289"/>
      <c r="AR176" s="289"/>
      <c r="AS176" s="289"/>
      <c r="AT176" s="289"/>
    </row>
    <row r="177" spans="1:46" ht="15.75" customHeight="1" x14ac:dyDescent="0.25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  <c r="AC177" s="289"/>
      <c r="AD177" s="289"/>
      <c r="AE177" s="289"/>
      <c r="AF177" s="289"/>
      <c r="AG177" s="289"/>
      <c r="AH177" s="289"/>
      <c r="AI177" s="289"/>
      <c r="AJ177" s="289"/>
      <c r="AK177" s="289"/>
      <c r="AL177" s="289"/>
      <c r="AM177" s="289"/>
      <c r="AN177" s="289"/>
      <c r="AO177" s="289"/>
      <c r="AP177" s="289"/>
      <c r="AQ177" s="289"/>
      <c r="AR177" s="289"/>
      <c r="AS177" s="289"/>
      <c r="AT177" s="289"/>
    </row>
    <row r="178" spans="1:46" ht="15.75" customHeight="1" x14ac:dyDescent="0.25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</row>
    <row r="179" spans="1:46" ht="15.75" customHeight="1" x14ac:dyDescent="0.25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  <c r="AC179" s="289"/>
      <c r="AD179" s="289"/>
      <c r="AE179" s="289"/>
      <c r="AF179" s="289"/>
      <c r="AG179" s="289"/>
      <c r="AH179" s="289"/>
      <c r="AI179" s="289"/>
      <c r="AJ179" s="289"/>
      <c r="AK179" s="289"/>
      <c r="AL179" s="289"/>
      <c r="AM179" s="289"/>
      <c r="AN179" s="289"/>
      <c r="AO179" s="289"/>
      <c r="AP179" s="289"/>
      <c r="AQ179" s="289"/>
      <c r="AR179" s="289"/>
      <c r="AS179" s="289"/>
      <c r="AT179" s="289"/>
    </row>
    <row r="180" spans="1:46" ht="15.75" customHeight="1" x14ac:dyDescent="0.25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  <c r="AC180" s="289"/>
      <c r="AD180" s="289"/>
      <c r="AE180" s="289"/>
      <c r="AF180" s="289"/>
      <c r="AG180" s="289"/>
      <c r="AH180" s="289"/>
      <c r="AI180" s="289"/>
      <c r="AJ180" s="289"/>
      <c r="AK180" s="289"/>
      <c r="AL180" s="289"/>
      <c r="AM180" s="289"/>
      <c r="AN180" s="289"/>
      <c r="AO180" s="289"/>
      <c r="AP180" s="289"/>
      <c r="AQ180" s="289"/>
      <c r="AR180" s="289"/>
      <c r="AS180" s="289"/>
      <c r="AT180" s="289"/>
    </row>
    <row r="181" spans="1:46" ht="15.75" customHeight="1" x14ac:dyDescent="0.25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89"/>
      <c r="AP181" s="289"/>
      <c r="AQ181" s="289"/>
      <c r="AR181" s="289"/>
      <c r="AS181" s="289"/>
      <c r="AT181" s="289"/>
    </row>
    <row r="182" spans="1:46" ht="15.75" customHeight="1" x14ac:dyDescent="0.25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</row>
    <row r="183" spans="1:46" ht="15.75" customHeight="1" x14ac:dyDescent="0.25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  <c r="AC183" s="289"/>
      <c r="AD183" s="289"/>
      <c r="AE183" s="289"/>
      <c r="AF183" s="289"/>
      <c r="AG183" s="289"/>
      <c r="AH183" s="289"/>
      <c r="AI183" s="289"/>
      <c r="AJ183" s="289"/>
      <c r="AK183" s="289"/>
      <c r="AL183" s="289"/>
      <c r="AM183" s="289"/>
      <c r="AN183" s="289"/>
      <c r="AO183" s="289"/>
      <c r="AP183" s="289"/>
      <c r="AQ183" s="289"/>
      <c r="AR183" s="289"/>
      <c r="AS183" s="289"/>
      <c r="AT183" s="289"/>
    </row>
    <row r="184" spans="1:46" ht="15.75" customHeight="1" x14ac:dyDescent="0.25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  <c r="AC184" s="289"/>
      <c r="AD184" s="289"/>
      <c r="AE184" s="289"/>
      <c r="AF184" s="289"/>
      <c r="AG184" s="289"/>
      <c r="AH184" s="289"/>
      <c r="AI184" s="289"/>
      <c r="AJ184" s="289"/>
      <c r="AK184" s="289"/>
      <c r="AL184" s="289"/>
      <c r="AM184" s="289"/>
      <c r="AN184" s="289"/>
      <c r="AO184" s="289"/>
      <c r="AP184" s="289"/>
      <c r="AQ184" s="289"/>
      <c r="AR184" s="289"/>
      <c r="AS184" s="289"/>
      <c r="AT184" s="289"/>
    </row>
    <row r="185" spans="1:46" ht="15.75" customHeight="1" x14ac:dyDescent="0.25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  <c r="AC185" s="289"/>
      <c r="AD185" s="289"/>
      <c r="AE185" s="289"/>
      <c r="AF185" s="289"/>
      <c r="AG185" s="289"/>
      <c r="AH185" s="289"/>
      <c r="AI185" s="289"/>
      <c r="AJ185" s="289"/>
      <c r="AK185" s="289"/>
      <c r="AL185" s="289"/>
      <c r="AM185" s="289"/>
      <c r="AN185" s="289"/>
      <c r="AO185" s="289"/>
      <c r="AP185" s="289"/>
      <c r="AQ185" s="289"/>
      <c r="AR185" s="289"/>
      <c r="AS185" s="289"/>
      <c r="AT185" s="289"/>
    </row>
    <row r="186" spans="1:46" ht="15.75" customHeight="1" x14ac:dyDescent="0.25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</row>
    <row r="187" spans="1:46" ht="15.75" customHeight="1" x14ac:dyDescent="0.25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  <c r="AC187" s="289"/>
      <c r="AD187" s="289"/>
      <c r="AE187" s="289"/>
      <c r="AF187" s="289"/>
      <c r="AG187" s="289"/>
      <c r="AH187" s="289"/>
      <c r="AI187" s="289"/>
      <c r="AJ187" s="289"/>
      <c r="AK187" s="289"/>
      <c r="AL187" s="289"/>
      <c r="AM187" s="289"/>
      <c r="AN187" s="289"/>
      <c r="AO187" s="289"/>
      <c r="AP187" s="289"/>
      <c r="AQ187" s="289"/>
      <c r="AR187" s="289"/>
      <c r="AS187" s="289"/>
      <c r="AT187" s="289"/>
    </row>
    <row r="188" spans="1:46" ht="15.75" customHeight="1" x14ac:dyDescent="0.25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  <c r="AC188" s="289"/>
      <c r="AD188" s="289"/>
      <c r="AE188" s="289"/>
      <c r="AF188" s="289"/>
      <c r="AG188" s="289"/>
      <c r="AH188" s="289"/>
      <c r="AI188" s="289"/>
      <c r="AJ188" s="289"/>
      <c r="AK188" s="289"/>
      <c r="AL188" s="289"/>
      <c r="AM188" s="289"/>
      <c r="AN188" s="289"/>
      <c r="AO188" s="289"/>
      <c r="AP188" s="289"/>
      <c r="AQ188" s="289"/>
      <c r="AR188" s="289"/>
      <c r="AS188" s="289"/>
      <c r="AT188" s="289"/>
    </row>
    <row r="189" spans="1:46" ht="15.75" customHeight="1" x14ac:dyDescent="0.25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  <c r="AC189" s="289"/>
      <c r="AD189" s="289"/>
      <c r="AE189" s="289"/>
      <c r="AF189" s="289"/>
      <c r="AG189" s="289"/>
      <c r="AH189" s="289"/>
      <c r="AI189" s="289"/>
      <c r="AJ189" s="289"/>
      <c r="AK189" s="289"/>
      <c r="AL189" s="289"/>
      <c r="AM189" s="289"/>
      <c r="AN189" s="289"/>
      <c r="AO189" s="289"/>
      <c r="AP189" s="289"/>
      <c r="AQ189" s="289"/>
      <c r="AR189" s="289"/>
      <c r="AS189" s="289"/>
      <c r="AT189" s="289"/>
    </row>
    <row r="190" spans="1:46" ht="15.75" customHeight="1" x14ac:dyDescent="0.25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  <c r="AC190" s="289"/>
      <c r="AD190" s="289"/>
      <c r="AE190" s="289"/>
      <c r="AF190" s="289"/>
      <c r="AG190" s="289"/>
      <c r="AH190" s="289"/>
      <c r="AI190" s="289"/>
      <c r="AJ190" s="289"/>
      <c r="AK190" s="289"/>
      <c r="AL190" s="289"/>
      <c r="AM190" s="289"/>
      <c r="AN190" s="289"/>
      <c r="AO190" s="289"/>
      <c r="AP190" s="289"/>
      <c r="AQ190" s="289"/>
      <c r="AR190" s="289"/>
      <c r="AS190" s="289"/>
      <c r="AT190" s="289"/>
    </row>
    <row r="191" spans="1:46" ht="15.75" customHeight="1" x14ac:dyDescent="0.25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  <c r="AC191" s="289"/>
      <c r="AD191" s="289"/>
      <c r="AE191" s="289"/>
      <c r="AF191" s="289"/>
      <c r="AG191" s="289"/>
      <c r="AH191" s="289"/>
      <c r="AI191" s="289"/>
      <c r="AJ191" s="289"/>
      <c r="AK191" s="289"/>
      <c r="AL191" s="289"/>
      <c r="AM191" s="289"/>
      <c r="AN191" s="289"/>
      <c r="AO191" s="289"/>
      <c r="AP191" s="289"/>
      <c r="AQ191" s="289"/>
      <c r="AR191" s="289"/>
      <c r="AS191" s="289"/>
      <c r="AT191" s="289"/>
    </row>
    <row r="192" spans="1:46" ht="15.75" customHeight="1" x14ac:dyDescent="0.25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  <c r="AC192" s="289"/>
      <c r="AD192" s="289"/>
      <c r="AE192" s="289"/>
      <c r="AF192" s="289"/>
      <c r="AG192" s="289"/>
      <c r="AH192" s="289"/>
      <c r="AI192" s="289"/>
      <c r="AJ192" s="289"/>
      <c r="AK192" s="289"/>
      <c r="AL192" s="289"/>
      <c r="AM192" s="289"/>
      <c r="AN192" s="289"/>
      <c r="AO192" s="289"/>
      <c r="AP192" s="289"/>
      <c r="AQ192" s="289"/>
      <c r="AR192" s="289"/>
      <c r="AS192" s="289"/>
      <c r="AT192" s="289"/>
    </row>
    <row r="193" spans="1:46" ht="15.75" customHeight="1" x14ac:dyDescent="0.25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  <c r="AC193" s="289"/>
      <c r="AD193" s="289"/>
      <c r="AE193" s="289"/>
      <c r="AF193" s="289"/>
      <c r="AG193" s="289"/>
      <c r="AH193" s="289"/>
      <c r="AI193" s="289"/>
      <c r="AJ193" s="289"/>
      <c r="AK193" s="289"/>
      <c r="AL193" s="289"/>
      <c r="AM193" s="289"/>
      <c r="AN193" s="289"/>
      <c r="AO193" s="289"/>
      <c r="AP193" s="289"/>
      <c r="AQ193" s="289"/>
      <c r="AR193" s="289"/>
      <c r="AS193" s="289"/>
      <c r="AT193" s="289"/>
    </row>
    <row r="194" spans="1:46" ht="15.75" customHeight="1" x14ac:dyDescent="0.25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  <c r="AC194" s="289"/>
      <c r="AD194" s="289"/>
      <c r="AE194" s="289"/>
      <c r="AF194" s="289"/>
      <c r="AG194" s="289"/>
      <c r="AH194" s="289"/>
      <c r="AI194" s="289"/>
      <c r="AJ194" s="289"/>
      <c r="AK194" s="289"/>
      <c r="AL194" s="289"/>
      <c r="AM194" s="289"/>
      <c r="AN194" s="289"/>
      <c r="AO194" s="289"/>
      <c r="AP194" s="289"/>
      <c r="AQ194" s="289"/>
      <c r="AR194" s="289"/>
      <c r="AS194" s="289"/>
      <c r="AT194" s="289"/>
    </row>
    <row r="195" spans="1:46" ht="15.75" customHeight="1" x14ac:dyDescent="0.25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  <c r="AD195" s="289"/>
      <c r="AE195" s="289"/>
      <c r="AF195" s="289"/>
      <c r="AG195" s="289"/>
      <c r="AH195" s="289"/>
      <c r="AI195" s="289"/>
      <c r="AJ195" s="289"/>
      <c r="AK195" s="289"/>
      <c r="AL195" s="289"/>
      <c r="AM195" s="289"/>
      <c r="AN195" s="289"/>
      <c r="AO195" s="289"/>
      <c r="AP195" s="289"/>
      <c r="AQ195" s="289"/>
      <c r="AR195" s="289"/>
      <c r="AS195" s="289"/>
      <c r="AT195" s="289"/>
    </row>
    <row r="196" spans="1:46" ht="15.75" customHeight="1" x14ac:dyDescent="0.25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  <c r="AC196" s="289"/>
      <c r="AD196" s="289"/>
      <c r="AE196" s="289"/>
      <c r="AF196" s="289"/>
      <c r="AG196" s="289"/>
      <c r="AH196" s="289"/>
      <c r="AI196" s="289"/>
      <c r="AJ196" s="289"/>
      <c r="AK196" s="289"/>
      <c r="AL196" s="289"/>
      <c r="AM196" s="289"/>
      <c r="AN196" s="289"/>
      <c r="AO196" s="289"/>
      <c r="AP196" s="289"/>
      <c r="AQ196" s="289"/>
      <c r="AR196" s="289"/>
      <c r="AS196" s="289"/>
      <c r="AT196" s="289"/>
    </row>
    <row r="197" spans="1:46" ht="15.75" customHeight="1" x14ac:dyDescent="0.25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  <c r="AD197" s="289"/>
      <c r="AE197" s="289"/>
      <c r="AF197" s="289"/>
      <c r="AG197" s="289"/>
      <c r="AH197" s="289"/>
      <c r="AI197" s="289"/>
      <c r="AJ197" s="289"/>
      <c r="AK197" s="289"/>
      <c r="AL197" s="289"/>
      <c r="AM197" s="289"/>
      <c r="AN197" s="289"/>
      <c r="AO197" s="289"/>
      <c r="AP197" s="289"/>
      <c r="AQ197" s="289"/>
      <c r="AR197" s="289"/>
      <c r="AS197" s="289"/>
      <c r="AT197" s="289"/>
    </row>
    <row r="198" spans="1:46" ht="15.75" customHeight="1" x14ac:dyDescent="0.25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  <c r="AC198" s="289"/>
      <c r="AD198" s="289"/>
      <c r="AE198" s="289"/>
      <c r="AF198" s="289"/>
      <c r="AG198" s="289"/>
      <c r="AH198" s="289"/>
      <c r="AI198" s="289"/>
      <c r="AJ198" s="289"/>
      <c r="AK198" s="289"/>
      <c r="AL198" s="289"/>
      <c r="AM198" s="289"/>
      <c r="AN198" s="289"/>
      <c r="AO198" s="289"/>
      <c r="AP198" s="289"/>
      <c r="AQ198" s="289"/>
      <c r="AR198" s="289"/>
      <c r="AS198" s="289"/>
      <c r="AT198" s="289"/>
    </row>
    <row r="199" spans="1:46" ht="15.75" customHeight="1" x14ac:dyDescent="0.25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  <c r="AC199" s="289"/>
      <c r="AD199" s="289"/>
      <c r="AE199" s="289"/>
      <c r="AF199" s="289"/>
      <c r="AG199" s="289"/>
      <c r="AH199" s="289"/>
      <c r="AI199" s="289"/>
      <c r="AJ199" s="289"/>
      <c r="AK199" s="289"/>
      <c r="AL199" s="289"/>
      <c r="AM199" s="289"/>
      <c r="AN199" s="289"/>
      <c r="AO199" s="289"/>
      <c r="AP199" s="289"/>
      <c r="AQ199" s="289"/>
      <c r="AR199" s="289"/>
      <c r="AS199" s="289"/>
      <c r="AT199" s="289"/>
    </row>
    <row r="200" spans="1:46" ht="15.75" customHeight="1" x14ac:dyDescent="0.25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  <c r="AC200" s="289"/>
      <c r="AD200" s="289"/>
      <c r="AE200" s="289"/>
      <c r="AF200" s="289"/>
      <c r="AG200" s="289"/>
      <c r="AH200" s="289"/>
      <c r="AI200" s="289"/>
      <c r="AJ200" s="289"/>
      <c r="AK200" s="289"/>
      <c r="AL200" s="289"/>
      <c r="AM200" s="289"/>
      <c r="AN200" s="289"/>
      <c r="AO200" s="289"/>
      <c r="AP200" s="289"/>
      <c r="AQ200" s="289"/>
      <c r="AR200" s="289"/>
      <c r="AS200" s="289"/>
      <c r="AT200" s="289"/>
    </row>
    <row r="201" spans="1:46" ht="15.75" customHeight="1" x14ac:dyDescent="0.25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  <c r="AC201" s="289"/>
      <c r="AD201" s="289"/>
      <c r="AE201" s="289"/>
      <c r="AF201" s="289"/>
      <c r="AG201" s="289"/>
      <c r="AH201" s="289"/>
      <c r="AI201" s="289"/>
      <c r="AJ201" s="289"/>
      <c r="AK201" s="289"/>
      <c r="AL201" s="289"/>
      <c r="AM201" s="289"/>
      <c r="AN201" s="289"/>
      <c r="AO201" s="289"/>
      <c r="AP201" s="289"/>
      <c r="AQ201" s="289"/>
      <c r="AR201" s="289"/>
      <c r="AS201" s="289"/>
      <c r="AT201" s="289"/>
    </row>
    <row r="202" spans="1:46" ht="15.75" customHeight="1" x14ac:dyDescent="0.25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  <c r="AC202" s="289"/>
      <c r="AD202" s="289"/>
      <c r="AE202" s="289"/>
      <c r="AF202" s="289"/>
      <c r="AG202" s="289"/>
      <c r="AH202" s="289"/>
      <c r="AI202" s="289"/>
      <c r="AJ202" s="289"/>
      <c r="AK202" s="289"/>
      <c r="AL202" s="289"/>
      <c r="AM202" s="289"/>
      <c r="AN202" s="289"/>
      <c r="AO202" s="289"/>
      <c r="AP202" s="289"/>
      <c r="AQ202" s="289"/>
      <c r="AR202" s="289"/>
      <c r="AS202" s="289"/>
      <c r="AT202" s="289"/>
    </row>
    <row r="203" spans="1:46" ht="15.75" customHeight="1" x14ac:dyDescent="0.25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  <c r="AC203" s="289"/>
      <c r="AD203" s="289"/>
      <c r="AE203" s="289"/>
      <c r="AF203" s="289"/>
      <c r="AG203" s="289"/>
      <c r="AH203" s="289"/>
      <c r="AI203" s="289"/>
      <c r="AJ203" s="289"/>
      <c r="AK203" s="289"/>
      <c r="AL203" s="289"/>
      <c r="AM203" s="289"/>
      <c r="AN203" s="289"/>
      <c r="AO203" s="289"/>
      <c r="AP203" s="289"/>
      <c r="AQ203" s="289"/>
      <c r="AR203" s="289"/>
      <c r="AS203" s="289"/>
      <c r="AT203" s="289"/>
    </row>
    <row r="204" spans="1:46" ht="15.75" customHeight="1" x14ac:dyDescent="0.25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  <c r="AC204" s="289"/>
      <c r="AD204" s="289"/>
      <c r="AE204" s="289"/>
      <c r="AF204" s="289"/>
      <c r="AG204" s="289"/>
      <c r="AH204" s="289"/>
      <c r="AI204" s="289"/>
      <c r="AJ204" s="289"/>
      <c r="AK204" s="289"/>
      <c r="AL204" s="289"/>
      <c r="AM204" s="289"/>
      <c r="AN204" s="289"/>
      <c r="AO204" s="289"/>
      <c r="AP204" s="289"/>
      <c r="AQ204" s="289"/>
      <c r="AR204" s="289"/>
      <c r="AS204" s="289"/>
      <c r="AT204" s="289"/>
    </row>
    <row r="205" spans="1:46" ht="15.75" customHeight="1" x14ac:dyDescent="0.25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  <c r="AC205" s="289"/>
      <c r="AD205" s="289"/>
      <c r="AE205" s="289"/>
      <c r="AF205" s="289"/>
      <c r="AG205" s="289"/>
      <c r="AH205" s="289"/>
      <c r="AI205" s="289"/>
      <c r="AJ205" s="289"/>
      <c r="AK205" s="289"/>
      <c r="AL205" s="289"/>
      <c r="AM205" s="289"/>
      <c r="AN205" s="289"/>
      <c r="AO205" s="289"/>
      <c r="AP205" s="289"/>
      <c r="AQ205" s="289"/>
      <c r="AR205" s="289"/>
      <c r="AS205" s="289"/>
      <c r="AT205" s="289"/>
    </row>
    <row r="206" spans="1:46" ht="15.75" customHeight="1" x14ac:dyDescent="0.25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  <c r="AC206" s="289"/>
      <c r="AD206" s="289"/>
      <c r="AE206" s="289"/>
      <c r="AF206" s="289"/>
      <c r="AG206" s="289"/>
      <c r="AH206" s="289"/>
      <c r="AI206" s="289"/>
      <c r="AJ206" s="289"/>
      <c r="AK206" s="289"/>
      <c r="AL206" s="289"/>
      <c r="AM206" s="289"/>
      <c r="AN206" s="289"/>
      <c r="AO206" s="289"/>
      <c r="AP206" s="289"/>
      <c r="AQ206" s="289"/>
      <c r="AR206" s="289"/>
      <c r="AS206" s="289"/>
      <c r="AT206" s="289"/>
    </row>
    <row r="207" spans="1:46" ht="15.75" customHeight="1" x14ac:dyDescent="0.25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  <c r="AC207" s="289"/>
      <c r="AD207" s="289"/>
      <c r="AE207" s="289"/>
      <c r="AF207" s="289"/>
      <c r="AG207" s="289"/>
      <c r="AH207" s="289"/>
      <c r="AI207" s="289"/>
      <c r="AJ207" s="289"/>
      <c r="AK207" s="289"/>
      <c r="AL207" s="289"/>
      <c r="AM207" s="289"/>
      <c r="AN207" s="289"/>
      <c r="AO207" s="289"/>
      <c r="AP207" s="289"/>
      <c r="AQ207" s="289"/>
      <c r="AR207" s="289"/>
      <c r="AS207" s="289"/>
      <c r="AT207" s="289"/>
    </row>
    <row r="208" spans="1:46" ht="15.75" customHeight="1" x14ac:dyDescent="0.25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  <c r="AC208" s="289"/>
      <c r="AD208" s="289"/>
      <c r="AE208" s="289"/>
      <c r="AF208" s="289"/>
      <c r="AG208" s="289"/>
      <c r="AH208" s="289"/>
      <c r="AI208" s="289"/>
      <c r="AJ208" s="289"/>
      <c r="AK208" s="289"/>
      <c r="AL208" s="289"/>
      <c r="AM208" s="289"/>
      <c r="AN208" s="289"/>
      <c r="AO208" s="289"/>
      <c r="AP208" s="289"/>
      <c r="AQ208" s="289"/>
      <c r="AR208" s="289"/>
      <c r="AS208" s="289"/>
      <c r="AT208" s="289"/>
    </row>
    <row r="209" spans="1:46" ht="15.75" customHeight="1" x14ac:dyDescent="0.25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  <c r="AD209" s="289"/>
      <c r="AE209" s="289"/>
      <c r="AF209" s="289"/>
      <c r="AG209" s="289"/>
      <c r="AH209" s="289"/>
      <c r="AI209" s="289"/>
      <c r="AJ209" s="289"/>
      <c r="AK209" s="289"/>
      <c r="AL209" s="289"/>
      <c r="AM209" s="289"/>
      <c r="AN209" s="289"/>
      <c r="AO209" s="289"/>
      <c r="AP209" s="289"/>
      <c r="AQ209" s="289"/>
      <c r="AR209" s="289"/>
      <c r="AS209" s="289"/>
      <c r="AT209" s="289"/>
    </row>
    <row r="210" spans="1:46" ht="15.75" customHeight="1" x14ac:dyDescent="0.25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  <c r="AC210" s="289"/>
      <c r="AD210" s="289"/>
      <c r="AE210" s="289"/>
      <c r="AF210" s="289"/>
      <c r="AG210" s="289"/>
      <c r="AH210" s="289"/>
      <c r="AI210" s="289"/>
      <c r="AJ210" s="289"/>
      <c r="AK210" s="289"/>
      <c r="AL210" s="289"/>
      <c r="AM210" s="289"/>
      <c r="AN210" s="289"/>
      <c r="AO210" s="289"/>
      <c r="AP210" s="289"/>
      <c r="AQ210" s="289"/>
      <c r="AR210" s="289"/>
      <c r="AS210" s="289"/>
      <c r="AT210" s="289"/>
    </row>
    <row r="211" spans="1:46" ht="15.75" customHeight="1" x14ac:dyDescent="0.25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  <c r="AC211" s="289"/>
      <c r="AD211" s="289"/>
      <c r="AE211" s="289"/>
      <c r="AF211" s="289"/>
      <c r="AG211" s="289"/>
      <c r="AH211" s="289"/>
      <c r="AI211" s="289"/>
      <c r="AJ211" s="289"/>
      <c r="AK211" s="289"/>
      <c r="AL211" s="289"/>
      <c r="AM211" s="289"/>
      <c r="AN211" s="289"/>
      <c r="AO211" s="289"/>
      <c r="AP211" s="289"/>
      <c r="AQ211" s="289"/>
      <c r="AR211" s="289"/>
      <c r="AS211" s="289"/>
      <c r="AT211" s="289"/>
    </row>
    <row r="212" spans="1:46" ht="15.75" customHeight="1" x14ac:dyDescent="0.25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  <c r="AC212" s="289"/>
      <c r="AD212" s="289"/>
      <c r="AE212" s="289"/>
      <c r="AF212" s="289"/>
      <c r="AG212" s="289"/>
      <c r="AH212" s="289"/>
      <c r="AI212" s="289"/>
      <c r="AJ212" s="289"/>
      <c r="AK212" s="289"/>
      <c r="AL212" s="289"/>
      <c r="AM212" s="289"/>
      <c r="AN212" s="289"/>
      <c r="AO212" s="289"/>
      <c r="AP212" s="289"/>
      <c r="AQ212" s="289"/>
      <c r="AR212" s="289"/>
      <c r="AS212" s="289"/>
      <c r="AT212" s="289"/>
    </row>
    <row r="213" spans="1:46" ht="15.75" customHeight="1" x14ac:dyDescent="0.25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  <c r="AC213" s="289"/>
      <c r="AD213" s="289"/>
      <c r="AE213" s="289"/>
      <c r="AF213" s="289"/>
      <c r="AG213" s="289"/>
      <c r="AH213" s="289"/>
      <c r="AI213" s="289"/>
      <c r="AJ213" s="289"/>
      <c r="AK213" s="289"/>
      <c r="AL213" s="289"/>
      <c r="AM213" s="289"/>
      <c r="AN213" s="289"/>
      <c r="AO213" s="289"/>
      <c r="AP213" s="289"/>
      <c r="AQ213" s="289"/>
      <c r="AR213" s="289"/>
      <c r="AS213" s="289"/>
      <c r="AT213" s="289"/>
    </row>
    <row r="214" spans="1:46" ht="15.75" customHeight="1" x14ac:dyDescent="0.25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  <c r="AC214" s="289"/>
      <c r="AD214" s="289"/>
      <c r="AE214" s="289"/>
      <c r="AF214" s="289"/>
      <c r="AG214" s="289"/>
      <c r="AH214" s="289"/>
      <c r="AI214" s="289"/>
      <c r="AJ214" s="289"/>
      <c r="AK214" s="289"/>
      <c r="AL214" s="289"/>
      <c r="AM214" s="289"/>
      <c r="AN214" s="289"/>
      <c r="AO214" s="289"/>
      <c r="AP214" s="289"/>
      <c r="AQ214" s="289"/>
      <c r="AR214" s="289"/>
      <c r="AS214" s="289"/>
      <c r="AT214" s="289"/>
    </row>
    <row r="215" spans="1:46" ht="15.75" customHeight="1" x14ac:dyDescent="0.25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  <c r="AC215" s="289"/>
      <c r="AD215" s="289"/>
      <c r="AE215" s="289"/>
      <c r="AF215" s="289"/>
      <c r="AG215" s="289"/>
      <c r="AH215" s="289"/>
      <c r="AI215" s="289"/>
      <c r="AJ215" s="289"/>
      <c r="AK215" s="289"/>
      <c r="AL215" s="289"/>
      <c r="AM215" s="289"/>
      <c r="AN215" s="289"/>
      <c r="AO215" s="289"/>
      <c r="AP215" s="289"/>
      <c r="AQ215" s="289"/>
      <c r="AR215" s="289"/>
      <c r="AS215" s="289"/>
      <c r="AT215" s="289"/>
    </row>
    <row r="216" spans="1:46" ht="15.75" customHeight="1" x14ac:dyDescent="0.25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  <c r="AC216" s="289"/>
      <c r="AD216" s="289"/>
      <c r="AE216" s="289"/>
      <c r="AF216" s="289"/>
      <c r="AG216" s="289"/>
      <c r="AH216" s="289"/>
      <c r="AI216" s="289"/>
      <c r="AJ216" s="289"/>
      <c r="AK216" s="289"/>
      <c r="AL216" s="289"/>
      <c r="AM216" s="289"/>
      <c r="AN216" s="289"/>
      <c r="AO216" s="289"/>
      <c r="AP216" s="289"/>
      <c r="AQ216" s="289"/>
      <c r="AR216" s="289"/>
      <c r="AS216" s="289"/>
      <c r="AT216" s="289"/>
    </row>
    <row r="217" spans="1:46" ht="15.75" customHeight="1" x14ac:dyDescent="0.25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  <c r="AC217" s="289"/>
      <c r="AD217" s="289"/>
      <c r="AE217" s="289"/>
      <c r="AF217" s="289"/>
      <c r="AG217" s="289"/>
      <c r="AH217" s="289"/>
      <c r="AI217" s="289"/>
      <c r="AJ217" s="289"/>
      <c r="AK217" s="289"/>
      <c r="AL217" s="289"/>
      <c r="AM217" s="289"/>
      <c r="AN217" s="289"/>
      <c r="AO217" s="289"/>
      <c r="AP217" s="289"/>
      <c r="AQ217" s="289"/>
      <c r="AR217" s="289"/>
      <c r="AS217" s="289"/>
      <c r="AT217" s="289"/>
    </row>
    <row r="218" spans="1:46" ht="15.75" customHeight="1" x14ac:dyDescent="0.25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  <c r="AC218" s="289"/>
      <c r="AD218" s="289"/>
      <c r="AE218" s="289"/>
      <c r="AF218" s="289"/>
      <c r="AG218" s="289"/>
      <c r="AH218" s="289"/>
      <c r="AI218" s="289"/>
      <c r="AJ218" s="289"/>
      <c r="AK218" s="289"/>
      <c r="AL218" s="289"/>
      <c r="AM218" s="289"/>
      <c r="AN218" s="289"/>
      <c r="AO218" s="289"/>
      <c r="AP218" s="289"/>
      <c r="AQ218" s="289"/>
      <c r="AR218" s="289"/>
      <c r="AS218" s="289"/>
      <c r="AT218" s="289"/>
    </row>
    <row r="219" spans="1:46" ht="15.75" customHeight="1" x14ac:dyDescent="0.25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  <c r="AC219" s="289"/>
      <c r="AD219" s="289"/>
      <c r="AE219" s="289"/>
      <c r="AF219" s="289"/>
      <c r="AG219" s="289"/>
      <c r="AH219" s="289"/>
      <c r="AI219" s="289"/>
      <c r="AJ219" s="289"/>
      <c r="AK219" s="289"/>
      <c r="AL219" s="289"/>
      <c r="AM219" s="289"/>
      <c r="AN219" s="289"/>
      <c r="AO219" s="289"/>
      <c r="AP219" s="289"/>
      <c r="AQ219" s="289"/>
      <c r="AR219" s="289"/>
      <c r="AS219" s="289"/>
      <c r="AT219" s="289"/>
    </row>
    <row r="220" spans="1:46" ht="15.75" customHeight="1" x14ac:dyDescent="0.25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  <c r="AC220" s="289"/>
      <c r="AD220" s="289"/>
      <c r="AE220" s="289"/>
      <c r="AF220" s="289"/>
      <c r="AG220" s="289"/>
      <c r="AH220" s="289"/>
      <c r="AI220" s="289"/>
      <c r="AJ220" s="289"/>
      <c r="AK220" s="289"/>
      <c r="AL220" s="289"/>
      <c r="AM220" s="289"/>
      <c r="AN220" s="289"/>
      <c r="AO220" s="289"/>
      <c r="AP220" s="289"/>
      <c r="AQ220" s="289"/>
      <c r="AR220" s="289"/>
      <c r="AS220" s="289"/>
      <c r="AT220" s="289"/>
    </row>
    <row r="221" spans="1:46" ht="15.75" customHeight="1" x14ac:dyDescent="0.25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  <c r="AC221" s="289"/>
      <c r="AD221" s="289"/>
      <c r="AE221" s="289"/>
      <c r="AF221" s="289"/>
      <c r="AG221" s="289"/>
      <c r="AH221" s="289"/>
      <c r="AI221" s="289"/>
      <c r="AJ221" s="289"/>
      <c r="AK221" s="289"/>
      <c r="AL221" s="289"/>
      <c r="AM221" s="289"/>
      <c r="AN221" s="289"/>
      <c r="AO221" s="289"/>
      <c r="AP221" s="289"/>
      <c r="AQ221" s="289"/>
      <c r="AR221" s="289"/>
      <c r="AS221" s="289"/>
      <c r="AT221" s="289"/>
    </row>
    <row r="222" spans="1:46" ht="15.75" customHeight="1" x14ac:dyDescent="0.25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  <c r="AC222" s="289"/>
      <c r="AD222" s="289"/>
      <c r="AE222" s="289"/>
      <c r="AF222" s="289"/>
      <c r="AG222" s="289"/>
      <c r="AH222" s="289"/>
      <c r="AI222" s="289"/>
      <c r="AJ222" s="289"/>
      <c r="AK222" s="289"/>
      <c r="AL222" s="289"/>
      <c r="AM222" s="289"/>
      <c r="AN222" s="289"/>
      <c r="AO222" s="289"/>
      <c r="AP222" s="289"/>
      <c r="AQ222" s="289"/>
      <c r="AR222" s="289"/>
      <c r="AS222" s="289"/>
      <c r="AT222" s="289"/>
    </row>
    <row r="223" spans="1:46" ht="15.75" customHeight="1" x14ac:dyDescent="0.25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  <c r="AC223" s="289"/>
      <c r="AD223" s="289"/>
      <c r="AE223" s="289"/>
      <c r="AF223" s="289"/>
      <c r="AG223" s="289"/>
      <c r="AH223" s="289"/>
      <c r="AI223" s="289"/>
      <c r="AJ223" s="289"/>
      <c r="AK223" s="289"/>
      <c r="AL223" s="289"/>
      <c r="AM223" s="289"/>
      <c r="AN223" s="289"/>
      <c r="AO223" s="289"/>
      <c r="AP223" s="289"/>
      <c r="AQ223" s="289"/>
      <c r="AR223" s="289"/>
      <c r="AS223" s="289"/>
      <c r="AT223" s="289"/>
    </row>
    <row r="224" spans="1:46" ht="15.75" customHeight="1" x14ac:dyDescent="0.25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  <c r="AC224" s="289"/>
      <c r="AD224" s="289"/>
      <c r="AE224" s="289"/>
      <c r="AF224" s="289"/>
      <c r="AG224" s="289"/>
      <c r="AH224" s="289"/>
      <c r="AI224" s="289"/>
      <c r="AJ224" s="289"/>
      <c r="AK224" s="289"/>
      <c r="AL224" s="289"/>
      <c r="AM224" s="289"/>
      <c r="AN224" s="289"/>
      <c r="AO224" s="289"/>
      <c r="AP224" s="289"/>
      <c r="AQ224" s="289"/>
      <c r="AR224" s="289"/>
      <c r="AS224" s="289"/>
      <c r="AT224" s="289"/>
    </row>
    <row r="225" spans="1:46" ht="15.75" customHeight="1" x14ac:dyDescent="0.25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  <c r="AC225" s="289"/>
      <c r="AD225" s="289"/>
      <c r="AE225" s="289"/>
      <c r="AF225" s="289"/>
      <c r="AG225" s="289"/>
      <c r="AH225" s="289"/>
      <c r="AI225" s="289"/>
      <c r="AJ225" s="289"/>
      <c r="AK225" s="289"/>
      <c r="AL225" s="289"/>
      <c r="AM225" s="289"/>
      <c r="AN225" s="289"/>
      <c r="AO225" s="289"/>
      <c r="AP225" s="289"/>
      <c r="AQ225" s="289"/>
      <c r="AR225" s="289"/>
      <c r="AS225" s="289"/>
      <c r="AT225" s="289"/>
    </row>
    <row r="226" spans="1:46" ht="15.75" customHeight="1" x14ac:dyDescent="0.25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  <c r="AC226" s="289"/>
      <c r="AD226" s="289"/>
      <c r="AE226" s="289"/>
      <c r="AF226" s="289"/>
      <c r="AG226" s="289"/>
      <c r="AH226" s="289"/>
      <c r="AI226" s="289"/>
      <c r="AJ226" s="289"/>
      <c r="AK226" s="289"/>
      <c r="AL226" s="289"/>
      <c r="AM226" s="289"/>
      <c r="AN226" s="289"/>
      <c r="AO226" s="289"/>
      <c r="AP226" s="289"/>
      <c r="AQ226" s="289"/>
      <c r="AR226" s="289"/>
      <c r="AS226" s="289"/>
      <c r="AT226" s="289"/>
    </row>
    <row r="227" spans="1:46" ht="15.75" customHeight="1" x14ac:dyDescent="0.25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  <c r="AC227" s="289"/>
      <c r="AD227" s="289"/>
      <c r="AE227" s="289"/>
      <c r="AF227" s="289"/>
      <c r="AG227" s="289"/>
      <c r="AH227" s="289"/>
      <c r="AI227" s="289"/>
      <c r="AJ227" s="289"/>
      <c r="AK227" s="289"/>
      <c r="AL227" s="289"/>
      <c r="AM227" s="289"/>
      <c r="AN227" s="289"/>
      <c r="AO227" s="289"/>
      <c r="AP227" s="289"/>
      <c r="AQ227" s="289"/>
      <c r="AR227" s="289"/>
      <c r="AS227" s="289"/>
      <c r="AT227" s="289"/>
    </row>
    <row r="228" spans="1:46" ht="15.75" customHeight="1" x14ac:dyDescent="0.25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  <c r="AC228" s="289"/>
      <c r="AD228" s="289"/>
      <c r="AE228" s="289"/>
      <c r="AF228" s="289"/>
      <c r="AG228" s="289"/>
      <c r="AH228" s="289"/>
      <c r="AI228" s="289"/>
      <c r="AJ228" s="289"/>
      <c r="AK228" s="289"/>
      <c r="AL228" s="289"/>
      <c r="AM228" s="289"/>
      <c r="AN228" s="289"/>
      <c r="AO228" s="289"/>
      <c r="AP228" s="289"/>
      <c r="AQ228" s="289"/>
      <c r="AR228" s="289"/>
      <c r="AS228" s="289"/>
      <c r="AT228" s="289"/>
    </row>
    <row r="229" spans="1:46" ht="15.75" customHeight="1" x14ac:dyDescent="0.25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  <c r="AC229" s="289"/>
      <c r="AD229" s="289"/>
      <c r="AE229" s="289"/>
      <c r="AF229" s="289"/>
      <c r="AG229" s="289"/>
      <c r="AH229" s="289"/>
      <c r="AI229" s="289"/>
      <c r="AJ229" s="289"/>
      <c r="AK229" s="289"/>
      <c r="AL229" s="289"/>
      <c r="AM229" s="289"/>
      <c r="AN229" s="289"/>
      <c r="AO229" s="289"/>
      <c r="AP229" s="289"/>
      <c r="AQ229" s="289"/>
      <c r="AR229" s="289"/>
      <c r="AS229" s="289"/>
      <c r="AT229" s="289"/>
    </row>
    <row r="230" spans="1:46" ht="15.75" customHeight="1" x14ac:dyDescent="0.25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  <c r="AC230" s="289"/>
      <c r="AD230" s="289"/>
      <c r="AE230" s="289"/>
      <c r="AF230" s="289"/>
      <c r="AG230" s="289"/>
      <c r="AH230" s="289"/>
      <c r="AI230" s="289"/>
      <c r="AJ230" s="289"/>
      <c r="AK230" s="289"/>
      <c r="AL230" s="289"/>
      <c r="AM230" s="289"/>
      <c r="AN230" s="289"/>
      <c r="AO230" s="289"/>
      <c r="AP230" s="289"/>
      <c r="AQ230" s="289"/>
      <c r="AR230" s="289"/>
      <c r="AS230" s="289"/>
      <c r="AT230" s="289"/>
    </row>
    <row r="231" spans="1:46" ht="15.75" customHeight="1" x14ac:dyDescent="0.25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  <c r="AC231" s="289"/>
      <c r="AD231" s="289"/>
      <c r="AE231" s="289"/>
      <c r="AF231" s="289"/>
      <c r="AG231" s="289"/>
      <c r="AH231" s="289"/>
      <c r="AI231" s="289"/>
      <c r="AJ231" s="289"/>
      <c r="AK231" s="289"/>
      <c r="AL231" s="289"/>
      <c r="AM231" s="289"/>
      <c r="AN231" s="289"/>
      <c r="AO231" s="289"/>
      <c r="AP231" s="289"/>
      <c r="AQ231" s="289"/>
      <c r="AR231" s="289"/>
      <c r="AS231" s="289"/>
      <c r="AT231" s="289"/>
    </row>
    <row r="232" spans="1:46" ht="15.75" customHeight="1" x14ac:dyDescent="0.25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  <c r="AC232" s="289"/>
      <c r="AD232" s="289"/>
      <c r="AE232" s="289"/>
      <c r="AF232" s="289"/>
      <c r="AG232" s="289"/>
      <c r="AH232" s="289"/>
      <c r="AI232" s="289"/>
      <c r="AJ232" s="289"/>
      <c r="AK232" s="289"/>
      <c r="AL232" s="289"/>
      <c r="AM232" s="289"/>
      <c r="AN232" s="289"/>
      <c r="AO232" s="289"/>
      <c r="AP232" s="289"/>
      <c r="AQ232" s="289"/>
      <c r="AR232" s="289"/>
      <c r="AS232" s="289"/>
      <c r="AT232" s="289"/>
    </row>
    <row r="233" spans="1:46" ht="15.75" customHeight="1" x14ac:dyDescent="0.25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  <c r="AC233" s="289"/>
      <c r="AD233" s="289"/>
      <c r="AE233" s="289"/>
      <c r="AF233" s="289"/>
      <c r="AG233" s="289"/>
      <c r="AH233" s="289"/>
      <c r="AI233" s="289"/>
      <c r="AJ233" s="289"/>
      <c r="AK233" s="289"/>
      <c r="AL233" s="289"/>
      <c r="AM233" s="289"/>
      <c r="AN233" s="289"/>
      <c r="AO233" s="289"/>
      <c r="AP233" s="289"/>
      <c r="AQ233" s="289"/>
      <c r="AR233" s="289"/>
      <c r="AS233" s="289"/>
      <c r="AT233" s="289"/>
    </row>
    <row r="234" spans="1:46" ht="15.75" customHeight="1" x14ac:dyDescent="0.25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  <c r="AC234" s="289"/>
      <c r="AD234" s="289"/>
      <c r="AE234" s="289"/>
      <c r="AF234" s="289"/>
      <c r="AG234" s="289"/>
      <c r="AH234" s="289"/>
      <c r="AI234" s="289"/>
      <c r="AJ234" s="289"/>
      <c r="AK234" s="289"/>
      <c r="AL234" s="289"/>
      <c r="AM234" s="289"/>
      <c r="AN234" s="289"/>
      <c r="AO234" s="289"/>
      <c r="AP234" s="289"/>
      <c r="AQ234" s="289"/>
      <c r="AR234" s="289"/>
      <c r="AS234" s="289"/>
      <c r="AT234" s="289"/>
    </row>
    <row r="235" spans="1:46" ht="15.75" customHeight="1" x14ac:dyDescent="0.25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  <c r="AC235" s="289"/>
      <c r="AD235" s="289"/>
      <c r="AE235" s="289"/>
      <c r="AF235" s="289"/>
      <c r="AG235" s="289"/>
      <c r="AH235" s="289"/>
      <c r="AI235" s="289"/>
      <c r="AJ235" s="289"/>
      <c r="AK235" s="289"/>
      <c r="AL235" s="289"/>
      <c r="AM235" s="289"/>
      <c r="AN235" s="289"/>
      <c r="AO235" s="289"/>
      <c r="AP235" s="289"/>
      <c r="AQ235" s="289"/>
      <c r="AR235" s="289"/>
      <c r="AS235" s="289"/>
      <c r="AT235" s="289"/>
    </row>
    <row r="236" spans="1:46" ht="15.75" customHeight="1" x14ac:dyDescent="0.25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  <c r="AC236" s="289"/>
      <c r="AD236" s="289"/>
      <c r="AE236" s="289"/>
      <c r="AF236" s="289"/>
      <c r="AG236" s="289"/>
      <c r="AH236" s="289"/>
      <c r="AI236" s="289"/>
      <c r="AJ236" s="289"/>
      <c r="AK236" s="289"/>
      <c r="AL236" s="289"/>
      <c r="AM236" s="289"/>
      <c r="AN236" s="289"/>
      <c r="AO236" s="289"/>
      <c r="AP236" s="289"/>
      <c r="AQ236" s="289"/>
      <c r="AR236" s="289"/>
      <c r="AS236" s="289"/>
      <c r="AT236" s="289"/>
    </row>
    <row r="237" spans="1:46" ht="15.75" customHeight="1" x14ac:dyDescent="0.25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  <c r="AC237" s="289"/>
      <c r="AD237" s="289"/>
      <c r="AE237" s="289"/>
      <c r="AF237" s="289"/>
      <c r="AG237" s="289"/>
      <c r="AH237" s="289"/>
      <c r="AI237" s="289"/>
      <c r="AJ237" s="289"/>
      <c r="AK237" s="289"/>
      <c r="AL237" s="289"/>
      <c r="AM237" s="289"/>
      <c r="AN237" s="289"/>
      <c r="AO237" s="289"/>
      <c r="AP237" s="289"/>
      <c r="AQ237" s="289"/>
      <c r="AR237" s="289"/>
      <c r="AS237" s="289"/>
      <c r="AT237" s="289"/>
    </row>
    <row r="238" spans="1:46" ht="15.75" customHeight="1" x14ac:dyDescent="0.25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  <c r="AC238" s="289"/>
      <c r="AD238" s="289"/>
      <c r="AE238" s="289"/>
      <c r="AF238" s="289"/>
      <c r="AG238" s="289"/>
      <c r="AH238" s="289"/>
      <c r="AI238" s="289"/>
      <c r="AJ238" s="289"/>
      <c r="AK238" s="289"/>
      <c r="AL238" s="289"/>
      <c r="AM238" s="289"/>
      <c r="AN238" s="289"/>
      <c r="AO238" s="289"/>
      <c r="AP238" s="289"/>
      <c r="AQ238" s="289"/>
      <c r="AR238" s="289"/>
      <c r="AS238" s="289"/>
      <c r="AT238" s="289"/>
    </row>
    <row r="239" spans="1:46" ht="15.75" customHeight="1" x14ac:dyDescent="0.25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  <c r="AC239" s="289"/>
      <c r="AD239" s="289"/>
      <c r="AE239" s="289"/>
      <c r="AF239" s="289"/>
      <c r="AG239" s="289"/>
      <c r="AH239" s="289"/>
      <c r="AI239" s="289"/>
      <c r="AJ239" s="289"/>
      <c r="AK239" s="289"/>
      <c r="AL239" s="289"/>
      <c r="AM239" s="289"/>
      <c r="AN239" s="289"/>
      <c r="AO239" s="289"/>
      <c r="AP239" s="289"/>
      <c r="AQ239" s="289"/>
      <c r="AR239" s="289"/>
      <c r="AS239" s="289"/>
      <c r="AT239" s="289"/>
    </row>
    <row r="240" spans="1:46" ht="15.75" customHeight="1" x14ac:dyDescent="0.25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  <c r="AC240" s="289"/>
      <c r="AD240" s="289"/>
      <c r="AE240" s="289"/>
      <c r="AF240" s="289"/>
      <c r="AG240" s="289"/>
      <c r="AH240" s="289"/>
      <c r="AI240" s="289"/>
      <c r="AJ240" s="289"/>
      <c r="AK240" s="289"/>
      <c r="AL240" s="289"/>
      <c r="AM240" s="289"/>
      <c r="AN240" s="289"/>
      <c r="AO240" s="289"/>
      <c r="AP240" s="289"/>
      <c r="AQ240" s="289"/>
      <c r="AR240" s="289"/>
      <c r="AS240" s="289"/>
      <c r="AT240" s="289"/>
    </row>
    <row r="241" spans="1:46" ht="15.75" customHeight="1" x14ac:dyDescent="0.25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  <c r="AC241" s="289"/>
      <c r="AD241" s="289"/>
      <c r="AE241" s="289"/>
      <c r="AF241" s="289"/>
      <c r="AG241" s="289"/>
      <c r="AH241" s="289"/>
      <c r="AI241" s="289"/>
      <c r="AJ241" s="289"/>
      <c r="AK241" s="289"/>
      <c r="AL241" s="289"/>
      <c r="AM241" s="289"/>
      <c r="AN241" s="289"/>
      <c r="AO241" s="289"/>
      <c r="AP241" s="289"/>
      <c r="AQ241" s="289"/>
      <c r="AR241" s="289"/>
      <c r="AS241" s="289"/>
      <c r="AT241" s="289"/>
    </row>
    <row r="242" spans="1:46" ht="15.75" customHeight="1" x14ac:dyDescent="0.25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L242" s="289"/>
      <c r="AM242" s="289"/>
      <c r="AN242" s="289"/>
      <c r="AO242" s="289"/>
      <c r="AP242" s="289"/>
      <c r="AQ242" s="289"/>
      <c r="AR242" s="289"/>
      <c r="AS242" s="289"/>
      <c r="AT242" s="289"/>
    </row>
    <row r="243" spans="1:46" ht="15.75" customHeight="1" x14ac:dyDescent="0.25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L243" s="289"/>
      <c r="AM243" s="289"/>
      <c r="AN243" s="289"/>
      <c r="AO243" s="289"/>
      <c r="AP243" s="289"/>
      <c r="AQ243" s="289"/>
      <c r="AR243" s="289"/>
      <c r="AS243" s="289"/>
      <c r="AT243" s="289"/>
    </row>
    <row r="244" spans="1:46" ht="15.75" customHeight="1" x14ac:dyDescent="0.25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L244" s="289"/>
      <c r="AM244" s="289"/>
      <c r="AN244" s="289"/>
      <c r="AO244" s="289"/>
      <c r="AP244" s="289"/>
      <c r="AQ244" s="289"/>
      <c r="AR244" s="289"/>
      <c r="AS244" s="289"/>
      <c r="AT244" s="289"/>
    </row>
    <row r="245" spans="1:46" ht="15.75" customHeight="1" x14ac:dyDescent="0.25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  <c r="AC245" s="289"/>
      <c r="AD245" s="289"/>
      <c r="AE245" s="289"/>
      <c r="AF245" s="289"/>
      <c r="AG245" s="289"/>
      <c r="AH245" s="289"/>
      <c r="AI245" s="289"/>
      <c r="AJ245" s="289"/>
      <c r="AK245" s="289"/>
      <c r="AL245" s="289"/>
      <c r="AM245" s="289"/>
      <c r="AN245" s="289"/>
      <c r="AO245" s="289"/>
      <c r="AP245" s="289"/>
      <c r="AQ245" s="289"/>
      <c r="AR245" s="289"/>
      <c r="AS245" s="289"/>
      <c r="AT245" s="289"/>
    </row>
    <row r="246" spans="1:46" ht="15.75" customHeight="1" x14ac:dyDescent="0.25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  <c r="AC246" s="289"/>
      <c r="AD246" s="289"/>
      <c r="AE246" s="289"/>
      <c r="AF246" s="289"/>
      <c r="AG246" s="289"/>
      <c r="AH246" s="289"/>
      <c r="AI246" s="289"/>
      <c r="AJ246" s="289"/>
      <c r="AK246" s="289"/>
      <c r="AL246" s="289"/>
      <c r="AM246" s="289"/>
      <c r="AN246" s="289"/>
      <c r="AO246" s="289"/>
      <c r="AP246" s="289"/>
      <c r="AQ246" s="289"/>
      <c r="AR246" s="289"/>
      <c r="AS246" s="289"/>
      <c r="AT246" s="289"/>
    </row>
    <row r="247" spans="1:46" ht="15.75" customHeight="1" x14ac:dyDescent="0.25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  <c r="AC247" s="289"/>
      <c r="AD247" s="289"/>
      <c r="AE247" s="289"/>
      <c r="AF247" s="289"/>
      <c r="AG247" s="289"/>
      <c r="AH247" s="289"/>
      <c r="AI247" s="289"/>
      <c r="AJ247" s="289"/>
      <c r="AK247" s="289"/>
      <c r="AL247" s="289"/>
      <c r="AM247" s="289"/>
      <c r="AN247" s="289"/>
      <c r="AO247" s="289"/>
      <c r="AP247" s="289"/>
      <c r="AQ247" s="289"/>
      <c r="AR247" s="289"/>
      <c r="AS247" s="289"/>
      <c r="AT247" s="289"/>
    </row>
    <row r="248" spans="1:46" ht="15.75" customHeight="1" x14ac:dyDescent="0.25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  <c r="AC248" s="289"/>
      <c r="AD248" s="289"/>
      <c r="AE248" s="289"/>
      <c r="AF248" s="289"/>
      <c r="AG248" s="289"/>
      <c r="AH248" s="289"/>
      <c r="AI248" s="289"/>
      <c r="AJ248" s="289"/>
      <c r="AK248" s="289"/>
      <c r="AL248" s="289"/>
      <c r="AM248" s="289"/>
      <c r="AN248" s="289"/>
      <c r="AO248" s="289"/>
      <c r="AP248" s="289"/>
      <c r="AQ248" s="289"/>
      <c r="AR248" s="289"/>
      <c r="AS248" s="289"/>
      <c r="AT248" s="289"/>
    </row>
    <row r="249" spans="1:46" ht="15.75" customHeight="1" x14ac:dyDescent="0.25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  <c r="AC249" s="289"/>
      <c r="AD249" s="289"/>
      <c r="AE249" s="289"/>
      <c r="AF249" s="289"/>
      <c r="AG249" s="289"/>
      <c r="AH249" s="289"/>
      <c r="AI249" s="289"/>
      <c r="AJ249" s="289"/>
      <c r="AK249" s="289"/>
      <c r="AL249" s="289"/>
      <c r="AM249" s="289"/>
      <c r="AN249" s="289"/>
      <c r="AO249" s="289"/>
      <c r="AP249" s="289"/>
      <c r="AQ249" s="289"/>
      <c r="AR249" s="289"/>
      <c r="AS249" s="289"/>
      <c r="AT249" s="289"/>
    </row>
    <row r="250" spans="1:46" ht="15.75" customHeight="1" x14ac:dyDescent="0.25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  <c r="AC250" s="289"/>
      <c r="AD250" s="289"/>
      <c r="AE250" s="289"/>
      <c r="AF250" s="289"/>
      <c r="AG250" s="289"/>
      <c r="AH250" s="289"/>
      <c r="AI250" s="289"/>
      <c r="AJ250" s="289"/>
      <c r="AK250" s="289"/>
      <c r="AL250" s="289"/>
      <c r="AM250" s="289"/>
      <c r="AN250" s="289"/>
      <c r="AO250" s="289"/>
      <c r="AP250" s="289"/>
      <c r="AQ250" s="289"/>
      <c r="AR250" s="289"/>
      <c r="AS250" s="289"/>
      <c r="AT250" s="289"/>
    </row>
    <row r="251" spans="1:46" ht="15.75" customHeight="1" x14ac:dyDescent="0.25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  <c r="AC251" s="289"/>
      <c r="AD251" s="289"/>
      <c r="AE251" s="289"/>
      <c r="AF251" s="289"/>
      <c r="AG251" s="289"/>
      <c r="AH251" s="289"/>
      <c r="AI251" s="289"/>
      <c r="AJ251" s="289"/>
      <c r="AK251" s="289"/>
      <c r="AL251" s="289"/>
      <c r="AM251" s="289"/>
      <c r="AN251" s="289"/>
      <c r="AO251" s="289"/>
      <c r="AP251" s="289"/>
      <c r="AQ251" s="289"/>
      <c r="AR251" s="289"/>
      <c r="AS251" s="289"/>
      <c r="AT251" s="289"/>
    </row>
    <row r="252" spans="1:46" ht="15.75" customHeight="1" x14ac:dyDescent="0.25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  <c r="AC252" s="289"/>
      <c r="AD252" s="289"/>
      <c r="AE252" s="289"/>
      <c r="AF252" s="289"/>
      <c r="AG252" s="289"/>
      <c r="AH252" s="289"/>
      <c r="AI252" s="289"/>
      <c r="AJ252" s="289"/>
      <c r="AK252" s="289"/>
      <c r="AL252" s="289"/>
      <c r="AM252" s="289"/>
      <c r="AN252" s="289"/>
      <c r="AO252" s="289"/>
      <c r="AP252" s="289"/>
      <c r="AQ252" s="289"/>
      <c r="AR252" s="289"/>
      <c r="AS252" s="289"/>
      <c r="AT252" s="289"/>
    </row>
    <row r="253" spans="1:46" ht="15.75" customHeight="1" x14ac:dyDescent="0.25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</row>
    <row r="254" spans="1:46" ht="15.75" customHeight="1" x14ac:dyDescent="0.25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  <c r="AC254" s="289"/>
      <c r="AD254" s="289"/>
      <c r="AE254" s="289"/>
      <c r="AF254" s="289"/>
      <c r="AG254" s="289"/>
      <c r="AH254" s="289"/>
      <c r="AI254" s="289"/>
      <c r="AJ254" s="289"/>
      <c r="AK254" s="289"/>
      <c r="AL254" s="289"/>
      <c r="AM254" s="289"/>
      <c r="AN254" s="289"/>
      <c r="AO254" s="289"/>
      <c r="AP254" s="289"/>
      <c r="AQ254" s="289"/>
      <c r="AR254" s="289"/>
      <c r="AS254" s="289"/>
      <c r="AT254" s="289"/>
    </row>
    <row r="255" spans="1:46" ht="15.75" customHeight="1" x14ac:dyDescent="0.25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  <c r="AC255" s="289"/>
      <c r="AD255" s="289"/>
      <c r="AE255" s="289"/>
      <c r="AF255" s="289"/>
      <c r="AG255" s="289"/>
      <c r="AH255" s="289"/>
      <c r="AI255" s="289"/>
      <c r="AJ255" s="289"/>
      <c r="AK255" s="289"/>
      <c r="AL255" s="289"/>
      <c r="AM255" s="289"/>
      <c r="AN255" s="289"/>
      <c r="AO255" s="289"/>
      <c r="AP255" s="289"/>
      <c r="AQ255" s="289"/>
      <c r="AR255" s="289"/>
      <c r="AS255" s="289"/>
      <c r="AT255" s="289"/>
    </row>
    <row r="256" spans="1:46" ht="15.75" customHeight="1" x14ac:dyDescent="0.25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  <c r="AC256" s="289"/>
      <c r="AD256" s="289"/>
      <c r="AE256" s="289"/>
      <c r="AF256" s="289"/>
      <c r="AG256" s="289"/>
      <c r="AH256" s="289"/>
      <c r="AI256" s="289"/>
      <c r="AJ256" s="289"/>
      <c r="AK256" s="289"/>
      <c r="AL256" s="289"/>
      <c r="AM256" s="289"/>
      <c r="AN256" s="289"/>
      <c r="AO256" s="289"/>
      <c r="AP256" s="289"/>
      <c r="AQ256" s="289"/>
      <c r="AR256" s="289"/>
      <c r="AS256" s="289"/>
      <c r="AT256" s="289"/>
    </row>
    <row r="257" spans="1:46" ht="15.75" customHeight="1" x14ac:dyDescent="0.25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89"/>
      <c r="AJ257" s="289"/>
      <c r="AK257" s="289"/>
      <c r="AL257" s="289"/>
      <c r="AM257" s="289"/>
      <c r="AN257" s="289"/>
      <c r="AO257" s="289"/>
      <c r="AP257" s="289"/>
      <c r="AQ257" s="289"/>
      <c r="AR257" s="289"/>
      <c r="AS257" s="289"/>
      <c r="AT257" s="289"/>
    </row>
    <row r="258" spans="1:46" ht="15.75" customHeight="1" x14ac:dyDescent="0.25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  <c r="AC258" s="289"/>
      <c r="AD258" s="289"/>
      <c r="AE258" s="289"/>
      <c r="AF258" s="289"/>
      <c r="AG258" s="289"/>
      <c r="AH258" s="289"/>
      <c r="AI258" s="289"/>
      <c r="AJ258" s="289"/>
      <c r="AK258" s="289"/>
      <c r="AL258" s="289"/>
      <c r="AM258" s="289"/>
      <c r="AN258" s="289"/>
      <c r="AO258" s="289"/>
      <c r="AP258" s="289"/>
      <c r="AQ258" s="289"/>
      <c r="AR258" s="289"/>
      <c r="AS258" s="289"/>
      <c r="AT258" s="289"/>
    </row>
    <row r="259" spans="1:46" ht="15.75" customHeight="1" x14ac:dyDescent="0.25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  <c r="AC259" s="289"/>
      <c r="AD259" s="289"/>
      <c r="AE259" s="289"/>
      <c r="AF259" s="289"/>
      <c r="AG259" s="289"/>
      <c r="AH259" s="289"/>
      <c r="AI259" s="289"/>
      <c r="AJ259" s="289"/>
      <c r="AK259" s="289"/>
      <c r="AL259" s="289"/>
      <c r="AM259" s="289"/>
      <c r="AN259" s="289"/>
      <c r="AO259" s="289"/>
      <c r="AP259" s="289"/>
      <c r="AQ259" s="289"/>
      <c r="AR259" s="289"/>
      <c r="AS259" s="289"/>
      <c r="AT259" s="289"/>
    </row>
    <row r="260" spans="1:46" ht="15.75" customHeight="1" x14ac:dyDescent="0.25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  <c r="AC260" s="289"/>
      <c r="AD260" s="289"/>
      <c r="AE260" s="289"/>
      <c r="AF260" s="289"/>
      <c r="AG260" s="289"/>
      <c r="AH260" s="289"/>
      <c r="AI260" s="289"/>
      <c r="AJ260" s="289"/>
      <c r="AK260" s="289"/>
      <c r="AL260" s="289"/>
      <c r="AM260" s="289"/>
      <c r="AN260" s="289"/>
      <c r="AO260" s="289"/>
      <c r="AP260" s="289"/>
      <c r="AQ260" s="289"/>
      <c r="AR260" s="289"/>
      <c r="AS260" s="289"/>
      <c r="AT260" s="289"/>
    </row>
    <row r="261" spans="1:46" ht="15.75" customHeight="1" x14ac:dyDescent="0.25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  <c r="AC261" s="289"/>
      <c r="AD261" s="289"/>
      <c r="AE261" s="289"/>
      <c r="AF261" s="289"/>
      <c r="AG261" s="289"/>
      <c r="AH261" s="289"/>
      <c r="AI261" s="289"/>
      <c r="AJ261" s="289"/>
      <c r="AK261" s="289"/>
      <c r="AL261" s="289"/>
      <c r="AM261" s="289"/>
      <c r="AN261" s="289"/>
      <c r="AO261" s="289"/>
      <c r="AP261" s="289"/>
      <c r="AQ261" s="289"/>
      <c r="AR261" s="289"/>
      <c r="AS261" s="289"/>
      <c r="AT261" s="289"/>
    </row>
    <row r="262" spans="1:46" ht="15.75" customHeight="1" x14ac:dyDescent="0.25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  <c r="AC262" s="289"/>
      <c r="AD262" s="289"/>
      <c r="AE262" s="289"/>
      <c r="AF262" s="289"/>
      <c r="AG262" s="289"/>
      <c r="AH262" s="289"/>
      <c r="AI262" s="289"/>
      <c r="AJ262" s="289"/>
      <c r="AK262" s="289"/>
      <c r="AL262" s="289"/>
      <c r="AM262" s="289"/>
      <c r="AN262" s="289"/>
      <c r="AO262" s="289"/>
      <c r="AP262" s="289"/>
      <c r="AQ262" s="289"/>
      <c r="AR262" s="289"/>
      <c r="AS262" s="289"/>
      <c r="AT262" s="289"/>
    </row>
    <row r="263" spans="1:46" ht="15.75" customHeight="1" x14ac:dyDescent="0.25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  <c r="AC263" s="289"/>
      <c r="AD263" s="289"/>
      <c r="AE263" s="289"/>
      <c r="AF263" s="289"/>
      <c r="AG263" s="289"/>
      <c r="AH263" s="289"/>
      <c r="AI263" s="289"/>
      <c r="AJ263" s="289"/>
      <c r="AK263" s="289"/>
      <c r="AL263" s="289"/>
      <c r="AM263" s="289"/>
      <c r="AN263" s="289"/>
      <c r="AO263" s="289"/>
      <c r="AP263" s="289"/>
      <c r="AQ263" s="289"/>
      <c r="AR263" s="289"/>
      <c r="AS263" s="289"/>
      <c r="AT263" s="289"/>
    </row>
    <row r="264" spans="1:46" ht="15.75" customHeight="1" x14ac:dyDescent="0.25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  <c r="AC264" s="289"/>
      <c r="AD264" s="289"/>
      <c r="AE264" s="289"/>
      <c r="AF264" s="289"/>
      <c r="AG264" s="289"/>
      <c r="AH264" s="289"/>
      <c r="AI264" s="289"/>
      <c r="AJ264" s="289"/>
      <c r="AK264" s="289"/>
      <c r="AL264" s="289"/>
      <c r="AM264" s="289"/>
      <c r="AN264" s="289"/>
      <c r="AO264" s="289"/>
      <c r="AP264" s="289"/>
      <c r="AQ264" s="289"/>
      <c r="AR264" s="289"/>
      <c r="AS264" s="289"/>
      <c r="AT264" s="289"/>
    </row>
    <row r="265" spans="1:46" ht="15.75" customHeight="1" x14ac:dyDescent="0.25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  <c r="AC265" s="289"/>
      <c r="AD265" s="289"/>
      <c r="AE265" s="289"/>
      <c r="AF265" s="289"/>
      <c r="AG265" s="289"/>
      <c r="AH265" s="289"/>
      <c r="AI265" s="289"/>
      <c r="AJ265" s="289"/>
      <c r="AK265" s="289"/>
      <c r="AL265" s="289"/>
      <c r="AM265" s="289"/>
      <c r="AN265" s="289"/>
      <c r="AO265" s="289"/>
      <c r="AP265" s="289"/>
      <c r="AQ265" s="289"/>
      <c r="AR265" s="289"/>
      <c r="AS265" s="289"/>
      <c r="AT265" s="289"/>
    </row>
    <row r="266" spans="1:46" ht="15.75" customHeight="1" x14ac:dyDescent="0.25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</row>
    <row r="267" spans="1:46" ht="15.75" customHeight="1" x14ac:dyDescent="0.25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</row>
    <row r="268" spans="1:46" ht="15.75" customHeight="1" x14ac:dyDescent="0.25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  <c r="AC268" s="289"/>
      <c r="AD268" s="289"/>
      <c r="AE268" s="289"/>
      <c r="AF268" s="289"/>
      <c r="AG268" s="289"/>
      <c r="AH268" s="289"/>
      <c r="AI268" s="289"/>
      <c r="AJ268" s="289"/>
      <c r="AK268" s="289"/>
      <c r="AL268" s="289"/>
      <c r="AM268" s="289"/>
      <c r="AN268" s="289"/>
      <c r="AO268" s="289"/>
      <c r="AP268" s="289"/>
      <c r="AQ268" s="289"/>
      <c r="AR268" s="289"/>
      <c r="AS268" s="289"/>
      <c r="AT268" s="289"/>
    </row>
    <row r="269" spans="1:46" ht="15.75" customHeight="1" x14ac:dyDescent="0.25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  <c r="AC269" s="289"/>
      <c r="AD269" s="289"/>
      <c r="AE269" s="289"/>
      <c r="AF269" s="289"/>
      <c r="AG269" s="289"/>
      <c r="AH269" s="289"/>
      <c r="AI269" s="289"/>
      <c r="AJ269" s="289"/>
      <c r="AK269" s="289"/>
      <c r="AL269" s="289"/>
      <c r="AM269" s="289"/>
      <c r="AN269" s="289"/>
      <c r="AO269" s="289"/>
      <c r="AP269" s="289"/>
      <c r="AQ269" s="289"/>
      <c r="AR269" s="289"/>
      <c r="AS269" s="289"/>
      <c r="AT269" s="289"/>
    </row>
    <row r="270" spans="1:46" ht="15.75" customHeight="1" x14ac:dyDescent="0.25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  <c r="AC270" s="289"/>
      <c r="AD270" s="289"/>
      <c r="AE270" s="289"/>
      <c r="AF270" s="289"/>
      <c r="AG270" s="289"/>
      <c r="AH270" s="289"/>
      <c r="AI270" s="289"/>
      <c r="AJ270" s="289"/>
      <c r="AK270" s="289"/>
      <c r="AL270" s="289"/>
      <c r="AM270" s="289"/>
      <c r="AN270" s="289"/>
      <c r="AO270" s="289"/>
      <c r="AP270" s="289"/>
      <c r="AQ270" s="289"/>
      <c r="AR270" s="289"/>
      <c r="AS270" s="289"/>
      <c r="AT270" s="289"/>
    </row>
    <row r="271" spans="1:46" ht="15.75" customHeight="1" x14ac:dyDescent="0.25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  <c r="AC271" s="289"/>
      <c r="AD271" s="289"/>
      <c r="AE271" s="289"/>
      <c r="AF271" s="289"/>
      <c r="AG271" s="289"/>
      <c r="AH271" s="289"/>
      <c r="AI271" s="289"/>
      <c r="AJ271" s="289"/>
      <c r="AK271" s="289"/>
      <c r="AL271" s="289"/>
      <c r="AM271" s="289"/>
      <c r="AN271" s="289"/>
      <c r="AO271" s="289"/>
      <c r="AP271" s="289"/>
      <c r="AQ271" s="289"/>
      <c r="AR271" s="289"/>
      <c r="AS271" s="289"/>
      <c r="AT271" s="289"/>
    </row>
    <row r="272" spans="1:46" ht="15.75" customHeight="1" x14ac:dyDescent="0.25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  <c r="AC272" s="289"/>
      <c r="AD272" s="289"/>
      <c r="AE272" s="289"/>
      <c r="AF272" s="289"/>
      <c r="AG272" s="289"/>
      <c r="AH272" s="289"/>
      <c r="AI272" s="289"/>
      <c r="AJ272" s="289"/>
      <c r="AK272" s="289"/>
      <c r="AL272" s="289"/>
      <c r="AM272" s="289"/>
      <c r="AN272" s="289"/>
      <c r="AO272" s="289"/>
      <c r="AP272" s="289"/>
      <c r="AQ272" s="289"/>
      <c r="AR272" s="289"/>
      <c r="AS272" s="289"/>
      <c r="AT272" s="289"/>
    </row>
    <row r="273" spans="1:46" ht="15.75" customHeight="1" x14ac:dyDescent="0.25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  <c r="AC273" s="289"/>
      <c r="AD273" s="289"/>
      <c r="AE273" s="289"/>
      <c r="AF273" s="289"/>
      <c r="AG273" s="289"/>
      <c r="AH273" s="289"/>
      <c r="AI273" s="289"/>
      <c r="AJ273" s="289"/>
      <c r="AK273" s="289"/>
      <c r="AL273" s="289"/>
      <c r="AM273" s="289"/>
      <c r="AN273" s="289"/>
      <c r="AO273" s="289"/>
      <c r="AP273" s="289"/>
      <c r="AQ273" s="289"/>
      <c r="AR273" s="289"/>
      <c r="AS273" s="289"/>
      <c r="AT273" s="289"/>
    </row>
    <row r="274" spans="1:46" ht="15.75" customHeight="1" x14ac:dyDescent="0.25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  <c r="AC274" s="289"/>
      <c r="AD274" s="289"/>
      <c r="AE274" s="289"/>
      <c r="AF274" s="289"/>
      <c r="AG274" s="289"/>
      <c r="AH274" s="289"/>
      <c r="AI274" s="289"/>
      <c r="AJ274" s="289"/>
      <c r="AK274" s="289"/>
      <c r="AL274" s="289"/>
      <c r="AM274" s="289"/>
      <c r="AN274" s="289"/>
      <c r="AO274" s="289"/>
      <c r="AP274" s="289"/>
      <c r="AQ274" s="289"/>
      <c r="AR274" s="289"/>
      <c r="AS274" s="289"/>
      <c r="AT274" s="289"/>
    </row>
    <row r="275" spans="1:46" ht="15.75" customHeight="1" x14ac:dyDescent="0.25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  <c r="AC275" s="289"/>
      <c r="AD275" s="289"/>
      <c r="AE275" s="289"/>
      <c r="AF275" s="289"/>
      <c r="AG275" s="289"/>
      <c r="AH275" s="289"/>
      <c r="AI275" s="289"/>
      <c r="AJ275" s="289"/>
      <c r="AK275" s="289"/>
      <c r="AL275" s="289"/>
      <c r="AM275" s="289"/>
      <c r="AN275" s="289"/>
      <c r="AO275" s="289"/>
      <c r="AP275" s="289"/>
      <c r="AQ275" s="289"/>
      <c r="AR275" s="289"/>
      <c r="AS275" s="289"/>
      <c r="AT275" s="289"/>
    </row>
    <row r="276" spans="1:46" ht="15.75" customHeight="1" x14ac:dyDescent="0.25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  <c r="AC276" s="289"/>
      <c r="AD276" s="289"/>
      <c r="AE276" s="289"/>
      <c r="AF276" s="289"/>
      <c r="AG276" s="289"/>
      <c r="AH276" s="289"/>
      <c r="AI276" s="289"/>
      <c r="AJ276" s="289"/>
      <c r="AK276" s="289"/>
      <c r="AL276" s="289"/>
      <c r="AM276" s="289"/>
      <c r="AN276" s="289"/>
      <c r="AO276" s="289"/>
      <c r="AP276" s="289"/>
      <c r="AQ276" s="289"/>
      <c r="AR276" s="289"/>
      <c r="AS276" s="289"/>
      <c r="AT276" s="289"/>
    </row>
    <row r="277" spans="1:46" ht="15.75" customHeight="1" x14ac:dyDescent="0.25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  <c r="AC277" s="289"/>
      <c r="AD277" s="289"/>
      <c r="AE277" s="289"/>
      <c r="AF277" s="289"/>
      <c r="AG277" s="289"/>
      <c r="AH277" s="289"/>
      <c r="AI277" s="289"/>
      <c r="AJ277" s="289"/>
      <c r="AK277" s="289"/>
      <c r="AL277" s="289"/>
      <c r="AM277" s="289"/>
      <c r="AN277" s="289"/>
      <c r="AO277" s="289"/>
      <c r="AP277" s="289"/>
      <c r="AQ277" s="289"/>
      <c r="AR277" s="289"/>
      <c r="AS277" s="289"/>
      <c r="AT277" s="289"/>
    </row>
    <row r="278" spans="1:46" ht="15.75" customHeight="1" x14ac:dyDescent="0.25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  <c r="AC278" s="289"/>
      <c r="AD278" s="289"/>
      <c r="AE278" s="289"/>
      <c r="AF278" s="289"/>
      <c r="AG278" s="289"/>
      <c r="AH278" s="289"/>
      <c r="AI278" s="289"/>
      <c r="AJ278" s="289"/>
      <c r="AK278" s="289"/>
      <c r="AL278" s="289"/>
      <c r="AM278" s="289"/>
      <c r="AN278" s="289"/>
      <c r="AO278" s="289"/>
      <c r="AP278" s="289"/>
      <c r="AQ278" s="289"/>
      <c r="AR278" s="289"/>
      <c r="AS278" s="289"/>
      <c r="AT278" s="289"/>
    </row>
    <row r="279" spans="1:46" ht="15.75" customHeight="1" x14ac:dyDescent="0.25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  <c r="AC279" s="289"/>
      <c r="AD279" s="289"/>
      <c r="AE279" s="289"/>
      <c r="AF279" s="289"/>
      <c r="AG279" s="289"/>
      <c r="AH279" s="289"/>
      <c r="AI279" s="289"/>
      <c r="AJ279" s="289"/>
      <c r="AK279" s="289"/>
      <c r="AL279" s="289"/>
      <c r="AM279" s="289"/>
      <c r="AN279" s="289"/>
      <c r="AO279" s="289"/>
      <c r="AP279" s="289"/>
      <c r="AQ279" s="289"/>
      <c r="AR279" s="289"/>
      <c r="AS279" s="289"/>
      <c r="AT279" s="289"/>
    </row>
    <row r="280" spans="1:46" ht="15.75" customHeight="1" x14ac:dyDescent="0.25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  <c r="AC280" s="289"/>
      <c r="AD280" s="289"/>
      <c r="AE280" s="289"/>
      <c r="AF280" s="289"/>
      <c r="AG280" s="289"/>
      <c r="AH280" s="289"/>
      <c r="AI280" s="289"/>
      <c r="AJ280" s="289"/>
      <c r="AK280" s="289"/>
      <c r="AL280" s="289"/>
      <c r="AM280" s="289"/>
      <c r="AN280" s="289"/>
      <c r="AO280" s="289"/>
      <c r="AP280" s="289"/>
      <c r="AQ280" s="289"/>
      <c r="AR280" s="289"/>
      <c r="AS280" s="289"/>
      <c r="AT280" s="289"/>
    </row>
    <row r="281" spans="1:46" ht="15.75" customHeight="1" x14ac:dyDescent="0.25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  <c r="AC281" s="289"/>
      <c r="AD281" s="289"/>
      <c r="AE281" s="289"/>
      <c r="AF281" s="289"/>
      <c r="AG281" s="289"/>
      <c r="AH281" s="289"/>
      <c r="AI281" s="289"/>
      <c r="AJ281" s="289"/>
      <c r="AK281" s="289"/>
      <c r="AL281" s="289"/>
      <c r="AM281" s="289"/>
      <c r="AN281" s="289"/>
      <c r="AO281" s="289"/>
      <c r="AP281" s="289"/>
      <c r="AQ281" s="289"/>
      <c r="AR281" s="289"/>
      <c r="AS281" s="289"/>
      <c r="AT281" s="289"/>
    </row>
    <row r="282" spans="1:46" ht="15.75" customHeight="1" x14ac:dyDescent="0.25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89"/>
      <c r="AG282" s="289"/>
      <c r="AH282" s="289"/>
      <c r="AI282" s="289"/>
      <c r="AJ282" s="289"/>
      <c r="AK282" s="289"/>
      <c r="AL282" s="289"/>
      <c r="AM282" s="289"/>
      <c r="AN282" s="289"/>
      <c r="AO282" s="289"/>
      <c r="AP282" s="289"/>
      <c r="AQ282" s="289"/>
      <c r="AR282" s="289"/>
      <c r="AS282" s="289"/>
      <c r="AT282" s="289"/>
    </row>
    <row r="283" spans="1:46" ht="15.75" customHeight="1" x14ac:dyDescent="0.25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  <c r="AC283" s="289"/>
      <c r="AD283" s="289"/>
      <c r="AE283" s="289"/>
      <c r="AF283" s="289"/>
      <c r="AG283" s="289"/>
      <c r="AH283" s="289"/>
      <c r="AI283" s="289"/>
      <c r="AJ283" s="289"/>
      <c r="AK283" s="289"/>
      <c r="AL283" s="289"/>
      <c r="AM283" s="289"/>
      <c r="AN283" s="289"/>
      <c r="AO283" s="289"/>
      <c r="AP283" s="289"/>
      <c r="AQ283" s="289"/>
      <c r="AR283" s="289"/>
      <c r="AS283" s="289"/>
      <c r="AT283" s="289"/>
    </row>
    <row r="284" spans="1:46" ht="15.75" customHeight="1" x14ac:dyDescent="0.25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  <c r="AC284" s="289"/>
      <c r="AD284" s="289"/>
      <c r="AE284" s="289"/>
      <c r="AF284" s="289"/>
      <c r="AG284" s="289"/>
      <c r="AH284" s="289"/>
      <c r="AI284" s="289"/>
      <c r="AJ284" s="289"/>
      <c r="AK284" s="289"/>
      <c r="AL284" s="289"/>
      <c r="AM284" s="289"/>
      <c r="AN284" s="289"/>
      <c r="AO284" s="289"/>
      <c r="AP284" s="289"/>
      <c r="AQ284" s="289"/>
      <c r="AR284" s="289"/>
      <c r="AS284" s="289"/>
      <c r="AT284" s="289"/>
    </row>
    <row r="285" spans="1:46" ht="15.75" customHeight="1" x14ac:dyDescent="0.25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</row>
    <row r="286" spans="1:46" ht="15.75" customHeight="1" x14ac:dyDescent="0.25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  <c r="AC286" s="289"/>
      <c r="AD286" s="289"/>
      <c r="AE286" s="289"/>
      <c r="AF286" s="289"/>
      <c r="AG286" s="289"/>
      <c r="AH286" s="289"/>
      <c r="AI286" s="289"/>
      <c r="AJ286" s="289"/>
      <c r="AK286" s="289"/>
      <c r="AL286" s="289"/>
      <c r="AM286" s="289"/>
      <c r="AN286" s="289"/>
      <c r="AO286" s="289"/>
      <c r="AP286" s="289"/>
      <c r="AQ286" s="289"/>
      <c r="AR286" s="289"/>
      <c r="AS286" s="289"/>
      <c r="AT286" s="289"/>
    </row>
    <row r="287" spans="1:46" ht="15.75" customHeight="1" x14ac:dyDescent="0.25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  <c r="AC287" s="289"/>
      <c r="AD287" s="289"/>
      <c r="AE287" s="289"/>
      <c r="AF287" s="289"/>
      <c r="AG287" s="289"/>
      <c r="AH287" s="289"/>
      <c r="AI287" s="289"/>
      <c r="AJ287" s="289"/>
      <c r="AK287" s="289"/>
      <c r="AL287" s="289"/>
      <c r="AM287" s="289"/>
      <c r="AN287" s="289"/>
      <c r="AO287" s="289"/>
      <c r="AP287" s="289"/>
      <c r="AQ287" s="289"/>
      <c r="AR287" s="289"/>
      <c r="AS287" s="289"/>
      <c r="AT287" s="289"/>
    </row>
    <row r="288" spans="1:46" ht="15.75" customHeight="1" x14ac:dyDescent="0.25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  <c r="AC288" s="289"/>
      <c r="AD288" s="289"/>
      <c r="AE288" s="289"/>
      <c r="AF288" s="289"/>
      <c r="AG288" s="289"/>
      <c r="AH288" s="289"/>
      <c r="AI288" s="289"/>
      <c r="AJ288" s="289"/>
      <c r="AK288" s="289"/>
      <c r="AL288" s="289"/>
      <c r="AM288" s="289"/>
      <c r="AN288" s="289"/>
      <c r="AO288" s="289"/>
      <c r="AP288" s="289"/>
      <c r="AQ288" s="289"/>
      <c r="AR288" s="289"/>
      <c r="AS288" s="289"/>
      <c r="AT288" s="289"/>
    </row>
    <row r="289" spans="1:46" ht="15.75" customHeight="1" x14ac:dyDescent="0.25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  <c r="AG289" s="289"/>
      <c r="AH289" s="289"/>
      <c r="AI289" s="289"/>
      <c r="AJ289" s="289"/>
      <c r="AK289" s="289"/>
      <c r="AL289" s="289"/>
      <c r="AM289" s="289"/>
      <c r="AN289" s="289"/>
      <c r="AO289" s="289"/>
      <c r="AP289" s="289"/>
      <c r="AQ289" s="289"/>
      <c r="AR289" s="289"/>
      <c r="AS289" s="289"/>
      <c r="AT289" s="289"/>
    </row>
    <row r="290" spans="1:46" ht="15.75" customHeight="1" x14ac:dyDescent="0.25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  <c r="AG290" s="289"/>
      <c r="AH290" s="289"/>
      <c r="AI290" s="289"/>
      <c r="AJ290" s="289"/>
      <c r="AK290" s="289"/>
      <c r="AL290" s="289"/>
      <c r="AM290" s="289"/>
      <c r="AN290" s="289"/>
      <c r="AO290" s="289"/>
      <c r="AP290" s="289"/>
      <c r="AQ290" s="289"/>
      <c r="AR290" s="289"/>
      <c r="AS290" s="289"/>
      <c r="AT290" s="289"/>
    </row>
    <row r="291" spans="1:46" ht="15.75" customHeight="1" x14ac:dyDescent="0.25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  <c r="AC291" s="289"/>
      <c r="AD291" s="289"/>
      <c r="AE291" s="289"/>
      <c r="AF291" s="289"/>
      <c r="AG291" s="289"/>
      <c r="AH291" s="289"/>
      <c r="AI291" s="289"/>
      <c r="AJ291" s="289"/>
      <c r="AK291" s="289"/>
      <c r="AL291" s="289"/>
      <c r="AM291" s="289"/>
      <c r="AN291" s="289"/>
      <c r="AO291" s="289"/>
      <c r="AP291" s="289"/>
      <c r="AQ291" s="289"/>
      <c r="AR291" s="289"/>
      <c r="AS291" s="289"/>
      <c r="AT291" s="289"/>
    </row>
    <row r="292" spans="1:46" ht="15.75" customHeight="1" x14ac:dyDescent="0.25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  <c r="AC292" s="289"/>
      <c r="AD292" s="289"/>
      <c r="AE292" s="289"/>
      <c r="AF292" s="289"/>
      <c r="AG292" s="289"/>
      <c r="AH292" s="289"/>
      <c r="AI292" s="289"/>
      <c r="AJ292" s="289"/>
      <c r="AK292" s="289"/>
      <c r="AL292" s="289"/>
      <c r="AM292" s="289"/>
      <c r="AN292" s="289"/>
      <c r="AO292" s="289"/>
      <c r="AP292" s="289"/>
      <c r="AQ292" s="289"/>
      <c r="AR292" s="289"/>
      <c r="AS292" s="289"/>
      <c r="AT292" s="289"/>
    </row>
    <row r="293" spans="1:46" ht="15.75" customHeight="1" x14ac:dyDescent="0.25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  <c r="AC293" s="289"/>
      <c r="AD293" s="289"/>
      <c r="AE293" s="289"/>
      <c r="AF293" s="289"/>
      <c r="AG293" s="289"/>
      <c r="AH293" s="289"/>
      <c r="AI293" s="289"/>
      <c r="AJ293" s="289"/>
      <c r="AK293" s="289"/>
      <c r="AL293" s="289"/>
      <c r="AM293" s="289"/>
      <c r="AN293" s="289"/>
      <c r="AO293" s="289"/>
      <c r="AP293" s="289"/>
      <c r="AQ293" s="289"/>
      <c r="AR293" s="289"/>
      <c r="AS293" s="289"/>
      <c r="AT293" s="289"/>
    </row>
    <row r="294" spans="1:46" ht="15.75" customHeight="1" x14ac:dyDescent="0.25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  <c r="AC294" s="289"/>
      <c r="AD294" s="289"/>
      <c r="AE294" s="289"/>
      <c r="AF294" s="289"/>
      <c r="AG294" s="289"/>
      <c r="AH294" s="289"/>
      <c r="AI294" s="289"/>
      <c r="AJ294" s="289"/>
      <c r="AK294" s="289"/>
      <c r="AL294" s="289"/>
      <c r="AM294" s="289"/>
      <c r="AN294" s="289"/>
      <c r="AO294" s="289"/>
      <c r="AP294" s="289"/>
      <c r="AQ294" s="289"/>
      <c r="AR294" s="289"/>
      <c r="AS294" s="289"/>
      <c r="AT294" s="289"/>
    </row>
    <row r="295" spans="1:46" ht="15.75" customHeight="1" x14ac:dyDescent="0.25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  <c r="AC295" s="289"/>
      <c r="AD295" s="289"/>
      <c r="AE295" s="289"/>
      <c r="AF295" s="289"/>
      <c r="AG295" s="289"/>
      <c r="AH295" s="289"/>
      <c r="AI295" s="289"/>
      <c r="AJ295" s="289"/>
      <c r="AK295" s="289"/>
      <c r="AL295" s="289"/>
      <c r="AM295" s="289"/>
      <c r="AN295" s="289"/>
      <c r="AO295" s="289"/>
      <c r="AP295" s="289"/>
      <c r="AQ295" s="289"/>
      <c r="AR295" s="289"/>
      <c r="AS295" s="289"/>
      <c r="AT295" s="289"/>
    </row>
    <row r="296" spans="1:46" ht="15.75" customHeight="1" x14ac:dyDescent="0.25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  <c r="AC296" s="289"/>
      <c r="AD296" s="289"/>
      <c r="AE296" s="289"/>
      <c r="AF296" s="289"/>
      <c r="AG296" s="289"/>
      <c r="AH296" s="289"/>
      <c r="AI296" s="289"/>
      <c r="AJ296" s="289"/>
      <c r="AK296" s="289"/>
      <c r="AL296" s="289"/>
      <c r="AM296" s="289"/>
      <c r="AN296" s="289"/>
      <c r="AO296" s="289"/>
      <c r="AP296" s="289"/>
      <c r="AQ296" s="289"/>
      <c r="AR296" s="289"/>
      <c r="AS296" s="289"/>
      <c r="AT296" s="289"/>
    </row>
    <row r="297" spans="1:46" ht="15.75" customHeight="1" x14ac:dyDescent="0.25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  <c r="AC297" s="289"/>
      <c r="AD297" s="289"/>
      <c r="AE297" s="289"/>
      <c r="AF297" s="289"/>
      <c r="AG297" s="289"/>
      <c r="AH297" s="289"/>
      <c r="AI297" s="289"/>
      <c r="AJ297" s="289"/>
      <c r="AK297" s="289"/>
      <c r="AL297" s="289"/>
      <c r="AM297" s="289"/>
      <c r="AN297" s="289"/>
      <c r="AO297" s="289"/>
      <c r="AP297" s="289"/>
      <c r="AQ297" s="289"/>
      <c r="AR297" s="289"/>
      <c r="AS297" s="289"/>
      <c r="AT297" s="289"/>
    </row>
    <row r="298" spans="1:46" ht="15.75" customHeight="1" x14ac:dyDescent="0.25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  <c r="AC298" s="289"/>
      <c r="AD298" s="289"/>
      <c r="AE298" s="289"/>
      <c r="AF298" s="289"/>
      <c r="AG298" s="289"/>
      <c r="AH298" s="289"/>
      <c r="AI298" s="289"/>
      <c r="AJ298" s="289"/>
      <c r="AK298" s="289"/>
      <c r="AL298" s="289"/>
      <c r="AM298" s="289"/>
      <c r="AN298" s="289"/>
      <c r="AO298" s="289"/>
      <c r="AP298" s="289"/>
      <c r="AQ298" s="289"/>
      <c r="AR298" s="289"/>
      <c r="AS298" s="289"/>
      <c r="AT298" s="289"/>
    </row>
    <row r="299" spans="1:46" ht="15.75" customHeight="1" x14ac:dyDescent="0.25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  <c r="AC299" s="289"/>
      <c r="AD299" s="289"/>
      <c r="AE299" s="289"/>
      <c r="AF299" s="289"/>
      <c r="AG299" s="289"/>
      <c r="AH299" s="289"/>
      <c r="AI299" s="289"/>
      <c r="AJ299" s="289"/>
      <c r="AK299" s="289"/>
      <c r="AL299" s="289"/>
      <c r="AM299" s="289"/>
      <c r="AN299" s="289"/>
      <c r="AO299" s="289"/>
      <c r="AP299" s="289"/>
      <c r="AQ299" s="289"/>
      <c r="AR299" s="289"/>
      <c r="AS299" s="289"/>
      <c r="AT299" s="289"/>
    </row>
    <row r="300" spans="1:46" ht="15.75" customHeight="1" x14ac:dyDescent="0.25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  <c r="AC300" s="289"/>
      <c r="AD300" s="289"/>
      <c r="AE300" s="289"/>
      <c r="AF300" s="289"/>
      <c r="AG300" s="289"/>
      <c r="AH300" s="289"/>
      <c r="AI300" s="289"/>
      <c r="AJ300" s="289"/>
      <c r="AK300" s="289"/>
      <c r="AL300" s="289"/>
      <c r="AM300" s="289"/>
      <c r="AN300" s="289"/>
      <c r="AO300" s="289"/>
      <c r="AP300" s="289"/>
      <c r="AQ300" s="289"/>
      <c r="AR300" s="289"/>
      <c r="AS300" s="289"/>
      <c r="AT300" s="289"/>
    </row>
    <row r="301" spans="1:46" ht="15.75" customHeight="1" x14ac:dyDescent="0.25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  <c r="AC301" s="289"/>
      <c r="AD301" s="289"/>
      <c r="AE301" s="289"/>
      <c r="AF301" s="289"/>
      <c r="AG301" s="289"/>
      <c r="AH301" s="289"/>
      <c r="AI301" s="289"/>
      <c r="AJ301" s="289"/>
      <c r="AK301" s="289"/>
      <c r="AL301" s="289"/>
      <c r="AM301" s="289"/>
      <c r="AN301" s="289"/>
      <c r="AO301" s="289"/>
      <c r="AP301" s="289"/>
      <c r="AQ301" s="289"/>
      <c r="AR301" s="289"/>
      <c r="AS301" s="289"/>
      <c r="AT301" s="289"/>
    </row>
    <row r="302" spans="1:46" ht="15.75" customHeight="1" x14ac:dyDescent="0.25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  <c r="AC302" s="289"/>
      <c r="AD302" s="289"/>
      <c r="AE302" s="289"/>
      <c r="AF302" s="289"/>
      <c r="AG302" s="289"/>
      <c r="AH302" s="289"/>
      <c r="AI302" s="289"/>
      <c r="AJ302" s="289"/>
      <c r="AK302" s="289"/>
      <c r="AL302" s="289"/>
      <c r="AM302" s="289"/>
      <c r="AN302" s="289"/>
      <c r="AO302" s="289"/>
      <c r="AP302" s="289"/>
      <c r="AQ302" s="289"/>
      <c r="AR302" s="289"/>
      <c r="AS302" s="289"/>
      <c r="AT302" s="289"/>
    </row>
    <row r="303" spans="1:46" ht="15.75" customHeight="1" x14ac:dyDescent="0.25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</row>
    <row r="304" spans="1:46" ht="15.75" customHeight="1" x14ac:dyDescent="0.25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</row>
    <row r="305" spans="1:46" ht="15.75" customHeight="1" x14ac:dyDescent="0.25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  <c r="AC305" s="289"/>
      <c r="AD305" s="289"/>
      <c r="AE305" s="289"/>
      <c r="AF305" s="289"/>
      <c r="AG305" s="289"/>
      <c r="AH305" s="289"/>
      <c r="AI305" s="289"/>
      <c r="AJ305" s="289"/>
      <c r="AK305" s="289"/>
      <c r="AL305" s="289"/>
      <c r="AM305" s="289"/>
      <c r="AN305" s="289"/>
      <c r="AO305" s="289"/>
      <c r="AP305" s="289"/>
      <c r="AQ305" s="289"/>
      <c r="AR305" s="289"/>
      <c r="AS305" s="289"/>
      <c r="AT305" s="289"/>
    </row>
    <row r="306" spans="1:46" ht="15.75" customHeight="1" x14ac:dyDescent="0.25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  <c r="AC306" s="289"/>
      <c r="AD306" s="289"/>
      <c r="AE306" s="289"/>
      <c r="AF306" s="289"/>
      <c r="AG306" s="289"/>
      <c r="AH306" s="289"/>
      <c r="AI306" s="289"/>
      <c r="AJ306" s="289"/>
      <c r="AK306" s="289"/>
      <c r="AL306" s="289"/>
      <c r="AM306" s="289"/>
      <c r="AN306" s="289"/>
      <c r="AO306" s="289"/>
      <c r="AP306" s="289"/>
      <c r="AQ306" s="289"/>
      <c r="AR306" s="289"/>
      <c r="AS306" s="289"/>
      <c r="AT306" s="289"/>
    </row>
    <row r="307" spans="1:46" ht="15.75" customHeight="1" x14ac:dyDescent="0.25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  <c r="AC307" s="289"/>
      <c r="AD307" s="289"/>
      <c r="AE307" s="289"/>
      <c r="AF307" s="289"/>
      <c r="AG307" s="289"/>
      <c r="AH307" s="289"/>
      <c r="AI307" s="289"/>
      <c r="AJ307" s="289"/>
      <c r="AK307" s="289"/>
      <c r="AL307" s="289"/>
      <c r="AM307" s="289"/>
      <c r="AN307" s="289"/>
      <c r="AO307" s="289"/>
      <c r="AP307" s="289"/>
      <c r="AQ307" s="289"/>
      <c r="AR307" s="289"/>
      <c r="AS307" s="289"/>
      <c r="AT307" s="289"/>
    </row>
    <row r="308" spans="1:46" ht="15.75" customHeight="1" x14ac:dyDescent="0.25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  <c r="AC308" s="289"/>
      <c r="AD308" s="289"/>
      <c r="AE308" s="289"/>
      <c r="AF308" s="289"/>
      <c r="AG308" s="289"/>
      <c r="AH308" s="289"/>
      <c r="AI308" s="289"/>
      <c r="AJ308" s="289"/>
      <c r="AK308" s="289"/>
      <c r="AL308" s="289"/>
      <c r="AM308" s="289"/>
      <c r="AN308" s="289"/>
      <c r="AO308" s="289"/>
      <c r="AP308" s="289"/>
      <c r="AQ308" s="289"/>
      <c r="AR308" s="289"/>
      <c r="AS308" s="289"/>
      <c r="AT308" s="289"/>
    </row>
    <row r="309" spans="1:46" ht="15.75" customHeight="1" x14ac:dyDescent="0.25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  <c r="AC309" s="289"/>
      <c r="AD309" s="289"/>
      <c r="AE309" s="289"/>
      <c r="AF309" s="289"/>
      <c r="AG309" s="289"/>
      <c r="AH309" s="289"/>
      <c r="AI309" s="289"/>
      <c r="AJ309" s="289"/>
      <c r="AK309" s="289"/>
      <c r="AL309" s="289"/>
      <c r="AM309" s="289"/>
      <c r="AN309" s="289"/>
      <c r="AO309" s="289"/>
      <c r="AP309" s="289"/>
      <c r="AQ309" s="289"/>
      <c r="AR309" s="289"/>
      <c r="AS309" s="289"/>
      <c r="AT309" s="289"/>
    </row>
    <row r="310" spans="1:46" ht="15.75" customHeight="1" x14ac:dyDescent="0.25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  <c r="AC310" s="289"/>
      <c r="AD310" s="289"/>
      <c r="AE310" s="289"/>
      <c r="AF310" s="289"/>
      <c r="AG310" s="289"/>
      <c r="AH310" s="289"/>
      <c r="AI310" s="289"/>
      <c r="AJ310" s="289"/>
      <c r="AK310" s="289"/>
      <c r="AL310" s="289"/>
      <c r="AM310" s="289"/>
      <c r="AN310" s="289"/>
      <c r="AO310" s="289"/>
      <c r="AP310" s="289"/>
      <c r="AQ310" s="289"/>
      <c r="AR310" s="289"/>
      <c r="AS310" s="289"/>
      <c r="AT310" s="289"/>
    </row>
    <row r="311" spans="1:46" ht="15.75" customHeight="1" x14ac:dyDescent="0.25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  <c r="AC311" s="289"/>
      <c r="AD311" s="289"/>
      <c r="AE311" s="289"/>
      <c r="AF311" s="289"/>
      <c r="AG311" s="289"/>
      <c r="AH311" s="289"/>
      <c r="AI311" s="289"/>
      <c r="AJ311" s="289"/>
      <c r="AK311" s="289"/>
      <c r="AL311" s="289"/>
      <c r="AM311" s="289"/>
      <c r="AN311" s="289"/>
      <c r="AO311" s="289"/>
      <c r="AP311" s="289"/>
      <c r="AQ311" s="289"/>
      <c r="AR311" s="289"/>
      <c r="AS311" s="289"/>
      <c r="AT311" s="289"/>
    </row>
    <row r="312" spans="1:46" ht="15.75" customHeight="1" x14ac:dyDescent="0.25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  <c r="AC312" s="289"/>
      <c r="AD312" s="289"/>
      <c r="AE312" s="289"/>
      <c r="AF312" s="289"/>
      <c r="AG312" s="289"/>
      <c r="AH312" s="289"/>
      <c r="AI312" s="289"/>
      <c r="AJ312" s="289"/>
      <c r="AK312" s="289"/>
      <c r="AL312" s="289"/>
      <c r="AM312" s="289"/>
      <c r="AN312" s="289"/>
      <c r="AO312" s="289"/>
      <c r="AP312" s="289"/>
      <c r="AQ312" s="289"/>
      <c r="AR312" s="289"/>
      <c r="AS312" s="289"/>
      <c r="AT312" s="289"/>
    </row>
    <row r="313" spans="1:46" ht="15.75" customHeight="1" x14ac:dyDescent="0.25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  <c r="AC313" s="289"/>
      <c r="AD313" s="289"/>
      <c r="AE313" s="289"/>
      <c r="AF313" s="289"/>
      <c r="AG313" s="289"/>
      <c r="AH313" s="289"/>
      <c r="AI313" s="289"/>
      <c r="AJ313" s="289"/>
      <c r="AK313" s="289"/>
      <c r="AL313" s="289"/>
      <c r="AM313" s="289"/>
      <c r="AN313" s="289"/>
      <c r="AO313" s="289"/>
      <c r="AP313" s="289"/>
      <c r="AQ313" s="289"/>
      <c r="AR313" s="289"/>
      <c r="AS313" s="289"/>
      <c r="AT313" s="289"/>
    </row>
    <row r="314" spans="1:46" ht="15.75" customHeight="1" x14ac:dyDescent="0.25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  <c r="AC314" s="289"/>
      <c r="AD314" s="289"/>
      <c r="AE314" s="289"/>
      <c r="AF314" s="289"/>
      <c r="AG314" s="289"/>
      <c r="AH314" s="289"/>
      <c r="AI314" s="289"/>
      <c r="AJ314" s="289"/>
      <c r="AK314" s="289"/>
      <c r="AL314" s="289"/>
      <c r="AM314" s="289"/>
      <c r="AN314" s="289"/>
      <c r="AO314" s="289"/>
      <c r="AP314" s="289"/>
      <c r="AQ314" s="289"/>
      <c r="AR314" s="289"/>
      <c r="AS314" s="289"/>
      <c r="AT314" s="289"/>
    </row>
    <row r="315" spans="1:46" ht="15.75" customHeight="1" x14ac:dyDescent="0.25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  <c r="AC315" s="289"/>
      <c r="AD315" s="289"/>
      <c r="AE315" s="289"/>
      <c r="AF315" s="289"/>
      <c r="AG315" s="289"/>
      <c r="AH315" s="289"/>
      <c r="AI315" s="289"/>
      <c r="AJ315" s="289"/>
      <c r="AK315" s="289"/>
      <c r="AL315" s="289"/>
      <c r="AM315" s="289"/>
      <c r="AN315" s="289"/>
      <c r="AO315" s="289"/>
      <c r="AP315" s="289"/>
      <c r="AQ315" s="289"/>
      <c r="AR315" s="289"/>
      <c r="AS315" s="289"/>
      <c r="AT315" s="289"/>
    </row>
    <row r="316" spans="1:46" ht="15.75" customHeight="1" x14ac:dyDescent="0.25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  <c r="AC316" s="289"/>
      <c r="AD316" s="289"/>
      <c r="AE316" s="289"/>
      <c r="AF316" s="289"/>
      <c r="AG316" s="289"/>
      <c r="AH316" s="289"/>
      <c r="AI316" s="289"/>
      <c r="AJ316" s="289"/>
      <c r="AK316" s="289"/>
      <c r="AL316" s="289"/>
      <c r="AM316" s="289"/>
      <c r="AN316" s="289"/>
      <c r="AO316" s="289"/>
      <c r="AP316" s="289"/>
      <c r="AQ316" s="289"/>
      <c r="AR316" s="289"/>
      <c r="AS316" s="289"/>
      <c r="AT316" s="289"/>
    </row>
    <row r="317" spans="1:46" ht="15.75" customHeight="1" x14ac:dyDescent="0.25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  <c r="AC317" s="289"/>
      <c r="AD317" s="289"/>
      <c r="AE317" s="289"/>
      <c r="AF317" s="289"/>
      <c r="AG317" s="289"/>
      <c r="AH317" s="289"/>
      <c r="AI317" s="289"/>
      <c r="AJ317" s="289"/>
      <c r="AK317" s="289"/>
      <c r="AL317" s="289"/>
      <c r="AM317" s="289"/>
      <c r="AN317" s="289"/>
      <c r="AO317" s="289"/>
      <c r="AP317" s="289"/>
      <c r="AQ317" s="289"/>
      <c r="AR317" s="289"/>
      <c r="AS317" s="289"/>
      <c r="AT317" s="289"/>
    </row>
    <row r="318" spans="1:46" ht="15.75" customHeight="1" x14ac:dyDescent="0.25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  <c r="AC318" s="289"/>
      <c r="AD318" s="289"/>
      <c r="AE318" s="289"/>
      <c r="AF318" s="289"/>
      <c r="AG318" s="289"/>
      <c r="AH318" s="289"/>
      <c r="AI318" s="289"/>
      <c r="AJ318" s="289"/>
      <c r="AK318" s="289"/>
      <c r="AL318" s="289"/>
      <c r="AM318" s="289"/>
      <c r="AN318" s="289"/>
      <c r="AO318" s="289"/>
      <c r="AP318" s="289"/>
      <c r="AQ318" s="289"/>
      <c r="AR318" s="289"/>
      <c r="AS318" s="289"/>
      <c r="AT318" s="289"/>
    </row>
    <row r="319" spans="1:46" ht="15.75" customHeight="1" x14ac:dyDescent="0.25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  <c r="AC319" s="289"/>
      <c r="AD319" s="289"/>
      <c r="AE319" s="289"/>
      <c r="AF319" s="289"/>
      <c r="AG319" s="289"/>
      <c r="AH319" s="289"/>
      <c r="AI319" s="289"/>
      <c r="AJ319" s="289"/>
      <c r="AK319" s="289"/>
      <c r="AL319" s="289"/>
      <c r="AM319" s="289"/>
      <c r="AN319" s="289"/>
      <c r="AO319" s="289"/>
      <c r="AP319" s="289"/>
      <c r="AQ319" s="289"/>
      <c r="AR319" s="289"/>
      <c r="AS319" s="289"/>
      <c r="AT319" s="289"/>
    </row>
    <row r="320" spans="1:46" ht="15.75" customHeight="1" x14ac:dyDescent="0.25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  <c r="AC320" s="289"/>
      <c r="AD320" s="289"/>
      <c r="AE320" s="289"/>
      <c r="AF320" s="289"/>
      <c r="AG320" s="289"/>
      <c r="AH320" s="289"/>
      <c r="AI320" s="289"/>
      <c r="AJ320" s="289"/>
      <c r="AK320" s="289"/>
      <c r="AL320" s="289"/>
      <c r="AM320" s="289"/>
      <c r="AN320" s="289"/>
      <c r="AO320" s="289"/>
      <c r="AP320" s="289"/>
      <c r="AQ320" s="289"/>
      <c r="AR320" s="289"/>
      <c r="AS320" s="289"/>
      <c r="AT320" s="289"/>
    </row>
    <row r="321" spans="1:46" ht="15.75" customHeight="1" x14ac:dyDescent="0.25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  <c r="AC321" s="289"/>
      <c r="AD321" s="289"/>
      <c r="AE321" s="289"/>
      <c r="AF321" s="289"/>
      <c r="AG321" s="289"/>
      <c r="AH321" s="289"/>
      <c r="AI321" s="289"/>
      <c r="AJ321" s="289"/>
      <c r="AK321" s="289"/>
      <c r="AL321" s="289"/>
      <c r="AM321" s="289"/>
      <c r="AN321" s="289"/>
      <c r="AO321" s="289"/>
      <c r="AP321" s="289"/>
      <c r="AQ321" s="289"/>
      <c r="AR321" s="289"/>
      <c r="AS321" s="289"/>
      <c r="AT321" s="289"/>
    </row>
    <row r="322" spans="1:46" ht="15.75" customHeight="1" x14ac:dyDescent="0.25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</row>
    <row r="323" spans="1:46" ht="15.75" customHeight="1" x14ac:dyDescent="0.25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  <c r="AC323" s="289"/>
      <c r="AD323" s="289"/>
      <c r="AE323" s="289"/>
      <c r="AF323" s="289"/>
      <c r="AG323" s="289"/>
      <c r="AH323" s="289"/>
      <c r="AI323" s="289"/>
      <c r="AJ323" s="289"/>
      <c r="AK323" s="289"/>
      <c r="AL323" s="289"/>
      <c r="AM323" s="289"/>
      <c r="AN323" s="289"/>
      <c r="AO323" s="289"/>
      <c r="AP323" s="289"/>
      <c r="AQ323" s="289"/>
      <c r="AR323" s="289"/>
      <c r="AS323" s="289"/>
      <c r="AT323" s="289"/>
    </row>
    <row r="324" spans="1:46" ht="15.75" customHeight="1" x14ac:dyDescent="0.25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  <c r="AC324" s="289"/>
      <c r="AD324" s="289"/>
      <c r="AE324" s="289"/>
      <c r="AF324" s="289"/>
      <c r="AG324" s="289"/>
      <c r="AH324" s="289"/>
      <c r="AI324" s="289"/>
      <c r="AJ324" s="289"/>
      <c r="AK324" s="289"/>
      <c r="AL324" s="289"/>
      <c r="AM324" s="289"/>
      <c r="AN324" s="289"/>
      <c r="AO324" s="289"/>
      <c r="AP324" s="289"/>
      <c r="AQ324" s="289"/>
      <c r="AR324" s="289"/>
      <c r="AS324" s="289"/>
      <c r="AT324" s="289"/>
    </row>
    <row r="325" spans="1:46" ht="15.75" customHeight="1" x14ac:dyDescent="0.25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  <c r="AC325" s="289"/>
      <c r="AD325" s="289"/>
      <c r="AE325" s="289"/>
      <c r="AF325" s="289"/>
      <c r="AG325" s="289"/>
      <c r="AH325" s="289"/>
      <c r="AI325" s="289"/>
      <c r="AJ325" s="289"/>
      <c r="AK325" s="289"/>
      <c r="AL325" s="289"/>
      <c r="AM325" s="289"/>
      <c r="AN325" s="289"/>
      <c r="AO325" s="289"/>
      <c r="AP325" s="289"/>
      <c r="AQ325" s="289"/>
      <c r="AR325" s="289"/>
      <c r="AS325" s="289"/>
      <c r="AT325" s="289"/>
    </row>
    <row r="326" spans="1:46" ht="15.75" customHeight="1" x14ac:dyDescent="0.25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  <c r="AC326" s="289"/>
      <c r="AD326" s="289"/>
      <c r="AE326" s="289"/>
      <c r="AF326" s="289"/>
      <c r="AG326" s="289"/>
      <c r="AH326" s="289"/>
      <c r="AI326" s="289"/>
      <c r="AJ326" s="289"/>
      <c r="AK326" s="289"/>
      <c r="AL326" s="289"/>
      <c r="AM326" s="289"/>
      <c r="AN326" s="289"/>
      <c r="AO326" s="289"/>
      <c r="AP326" s="289"/>
      <c r="AQ326" s="289"/>
      <c r="AR326" s="289"/>
      <c r="AS326" s="289"/>
      <c r="AT326" s="289"/>
    </row>
    <row r="327" spans="1:46" ht="15.75" customHeight="1" x14ac:dyDescent="0.25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  <c r="AC327" s="289"/>
      <c r="AD327" s="289"/>
      <c r="AE327" s="289"/>
      <c r="AF327" s="289"/>
      <c r="AG327" s="289"/>
      <c r="AH327" s="289"/>
      <c r="AI327" s="289"/>
      <c r="AJ327" s="289"/>
      <c r="AK327" s="289"/>
      <c r="AL327" s="289"/>
      <c r="AM327" s="289"/>
      <c r="AN327" s="289"/>
      <c r="AO327" s="289"/>
      <c r="AP327" s="289"/>
      <c r="AQ327" s="289"/>
      <c r="AR327" s="289"/>
      <c r="AS327" s="289"/>
      <c r="AT327" s="289"/>
    </row>
    <row r="328" spans="1:46" ht="15.75" customHeight="1" x14ac:dyDescent="0.25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  <c r="AC328" s="289"/>
      <c r="AD328" s="289"/>
      <c r="AE328" s="289"/>
      <c r="AF328" s="289"/>
      <c r="AG328" s="289"/>
      <c r="AH328" s="289"/>
      <c r="AI328" s="289"/>
      <c r="AJ328" s="289"/>
      <c r="AK328" s="289"/>
      <c r="AL328" s="289"/>
      <c r="AM328" s="289"/>
      <c r="AN328" s="289"/>
      <c r="AO328" s="289"/>
      <c r="AP328" s="289"/>
      <c r="AQ328" s="289"/>
      <c r="AR328" s="289"/>
      <c r="AS328" s="289"/>
      <c r="AT328" s="289"/>
    </row>
    <row r="329" spans="1:46" ht="15.75" customHeight="1" x14ac:dyDescent="0.25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  <c r="AC329" s="289"/>
      <c r="AD329" s="289"/>
      <c r="AE329" s="289"/>
      <c r="AF329" s="289"/>
      <c r="AG329" s="289"/>
      <c r="AH329" s="289"/>
      <c r="AI329" s="289"/>
      <c r="AJ329" s="289"/>
      <c r="AK329" s="289"/>
      <c r="AL329" s="289"/>
      <c r="AM329" s="289"/>
      <c r="AN329" s="289"/>
      <c r="AO329" s="289"/>
      <c r="AP329" s="289"/>
      <c r="AQ329" s="289"/>
      <c r="AR329" s="289"/>
      <c r="AS329" s="289"/>
      <c r="AT329" s="289"/>
    </row>
    <row r="330" spans="1:46" ht="15.75" customHeight="1" x14ac:dyDescent="0.25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  <c r="AC330" s="289"/>
      <c r="AD330" s="289"/>
      <c r="AE330" s="289"/>
      <c r="AF330" s="289"/>
      <c r="AG330" s="289"/>
      <c r="AH330" s="289"/>
      <c r="AI330" s="289"/>
      <c r="AJ330" s="289"/>
      <c r="AK330" s="289"/>
      <c r="AL330" s="289"/>
      <c r="AM330" s="289"/>
      <c r="AN330" s="289"/>
      <c r="AO330" s="289"/>
      <c r="AP330" s="289"/>
      <c r="AQ330" s="289"/>
      <c r="AR330" s="289"/>
      <c r="AS330" s="289"/>
      <c r="AT330" s="289"/>
    </row>
    <row r="331" spans="1:46" ht="15.75" customHeight="1" x14ac:dyDescent="0.25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289"/>
      <c r="AI331" s="289"/>
      <c r="AJ331" s="289"/>
      <c r="AK331" s="289"/>
      <c r="AL331" s="289"/>
      <c r="AM331" s="289"/>
      <c r="AN331" s="289"/>
      <c r="AO331" s="289"/>
      <c r="AP331" s="289"/>
      <c r="AQ331" s="289"/>
      <c r="AR331" s="289"/>
      <c r="AS331" s="289"/>
      <c r="AT331" s="289"/>
    </row>
    <row r="332" spans="1:46" ht="15.75" customHeight="1" x14ac:dyDescent="0.25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  <c r="AC332" s="289"/>
      <c r="AD332" s="289"/>
      <c r="AE332" s="289"/>
      <c r="AF332" s="289"/>
      <c r="AG332" s="289"/>
      <c r="AH332" s="289"/>
      <c r="AI332" s="289"/>
      <c r="AJ332" s="289"/>
      <c r="AK332" s="289"/>
      <c r="AL332" s="289"/>
      <c r="AM332" s="289"/>
      <c r="AN332" s="289"/>
      <c r="AO332" s="289"/>
      <c r="AP332" s="289"/>
      <c r="AQ332" s="289"/>
      <c r="AR332" s="289"/>
      <c r="AS332" s="289"/>
      <c r="AT332" s="289"/>
    </row>
    <row r="333" spans="1:46" ht="15.75" customHeight="1" x14ac:dyDescent="0.25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  <c r="AC333" s="289"/>
      <c r="AD333" s="289"/>
      <c r="AE333" s="289"/>
      <c r="AF333" s="289"/>
      <c r="AG333" s="289"/>
      <c r="AH333" s="289"/>
      <c r="AI333" s="289"/>
      <c r="AJ333" s="289"/>
      <c r="AK333" s="289"/>
      <c r="AL333" s="289"/>
      <c r="AM333" s="289"/>
      <c r="AN333" s="289"/>
      <c r="AO333" s="289"/>
      <c r="AP333" s="289"/>
      <c r="AQ333" s="289"/>
      <c r="AR333" s="289"/>
      <c r="AS333" s="289"/>
      <c r="AT333" s="289"/>
    </row>
    <row r="334" spans="1:46" ht="15.75" customHeight="1" x14ac:dyDescent="0.25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  <c r="AC334" s="289"/>
      <c r="AD334" s="289"/>
      <c r="AE334" s="289"/>
      <c r="AF334" s="289"/>
      <c r="AG334" s="289"/>
      <c r="AH334" s="289"/>
      <c r="AI334" s="289"/>
      <c r="AJ334" s="289"/>
      <c r="AK334" s="289"/>
      <c r="AL334" s="289"/>
      <c r="AM334" s="289"/>
      <c r="AN334" s="289"/>
      <c r="AO334" s="289"/>
      <c r="AP334" s="289"/>
      <c r="AQ334" s="289"/>
      <c r="AR334" s="289"/>
      <c r="AS334" s="289"/>
      <c r="AT334" s="289"/>
    </row>
    <row r="335" spans="1:46" ht="15.75" customHeight="1" x14ac:dyDescent="0.25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  <c r="AC335" s="289"/>
      <c r="AD335" s="289"/>
      <c r="AE335" s="289"/>
      <c r="AF335" s="289"/>
      <c r="AG335" s="289"/>
      <c r="AH335" s="289"/>
      <c r="AI335" s="289"/>
      <c r="AJ335" s="289"/>
      <c r="AK335" s="289"/>
      <c r="AL335" s="289"/>
      <c r="AM335" s="289"/>
      <c r="AN335" s="289"/>
      <c r="AO335" s="289"/>
      <c r="AP335" s="289"/>
      <c r="AQ335" s="289"/>
      <c r="AR335" s="289"/>
      <c r="AS335" s="289"/>
      <c r="AT335" s="289"/>
    </row>
    <row r="336" spans="1:46" ht="15.75" customHeight="1" x14ac:dyDescent="0.25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  <c r="AC336" s="289"/>
      <c r="AD336" s="289"/>
      <c r="AE336" s="289"/>
      <c r="AF336" s="289"/>
      <c r="AG336" s="289"/>
      <c r="AH336" s="289"/>
      <c r="AI336" s="289"/>
      <c r="AJ336" s="289"/>
      <c r="AK336" s="289"/>
      <c r="AL336" s="289"/>
      <c r="AM336" s="289"/>
      <c r="AN336" s="289"/>
      <c r="AO336" s="289"/>
      <c r="AP336" s="289"/>
      <c r="AQ336" s="289"/>
      <c r="AR336" s="289"/>
      <c r="AS336" s="289"/>
      <c r="AT336" s="289"/>
    </row>
    <row r="337" spans="1:46" ht="15.75" customHeight="1" x14ac:dyDescent="0.25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  <c r="AC337" s="289"/>
      <c r="AD337" s="289"/>
      <c r="AE337" s="289"/>
      <c r="AF337" s="289"/>
      <c r="AG337" s="289"/>
      <c r="AH337" s="289"/>
      <c r="AI337" s="289"/>
      <c r="AJ337" s="289"/>
      <c r="AK337" s="289"/>
      <c r="AL337" s="289"/>
      <c r="AM337" s="289"/>
      <c r="AN337" s="289"/>
      <c r="AO337" s="289"/>
      <c r="AP337" s="289"/>
      <c r="AQ337" s="289"/>
      <c r="AR337" s="289"/>
      <c r="AS337" s="289"/>
      <c r="AT337" s="289"/>
    </row>
    <row r="338" spans="1:46" ht="15.75" customHeight="1" x14ac:dyDescent="0.25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  <c r="AC338" s="289"/>
      <c r="AD338" s="289"/>
      <c r="AE338" s="289"/>
      <c r="AF338" s="289"/>
      <c r="AG338" s="289"/>
      <c r="AH338" s="289"/>
      <c r="AI338" s="289"/>
      <c r="AJ338" s="289"/>
      <c r="AK338" s="289"/>
      <c r="AL338" s="289"/>
      <c r="AM338" s="289"/>
      <c r="AN338" s="289"/>
      <c r="AO338" s="289"/>
      <c r="AP338" s="289"/>
      <c r="AQ338" s="289"/>
      <c r="AR338" s="289"/>
      <c r="AS338" s="289"/>
      <c r="AT338" s="289"/>
    </row>
    <row r="339" spans="1:46" ht="15.75" customHeight="1" x14ac:dyDescent="0.25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  <c r="AC339" s="289"/>
      <c r="AD339" s="289"/>
      <c r="AE339" s="289"/>
      <c r="AF339" s="289"/>
      <c r="AG339" s="289"/>
      <c r="AH339" s="289"/>
      <c r="AI339" s="289"/>
      <c r="AJ339" s="289"/>
      <c r="AK339" s="289"/>
      <c r="AL339" s="289"/>
      <c r="AM339" s="289"/>
      <c r="AN339" s="289"/>
      <c r="AO339" s="289"/>
      <c r="AP339" s="289"/>
      <c r="AQ339" s="289"/>
      <c r="AR339" s="289"/>
      <c r="AS339" s="289"/>
      <c r="AT339" s="289"/>
    </row>
    <row r="340" spans="1:46" ht="15.75" customHeight="1" x14ac:dyDescent="0.25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  <c r="AC340" s="289"/>
      <c r="AD340" s="289"/>
      <c r="AE340" s="289"/>
      <c r="AF340" s="289"/>
      <c r="AG340" s="289"/>
      <c r="AH340" s="289"/>
      <c r="AI340" s="289"/>
      <c r="AJ340" s="289"/>
      <c r="AK340" s="289"/>
      <c r="AL340" s="289"/>
      <c r="AM340" s="289"/>
      <c r="AN340" s="289"/>
      <c r="AO340" s="289"/>
      <c r="AP340" s="289"/>
      <c r="AQ340" s="289"/>
      <c r="AR340" s="289"/>
      <c r="AS340" s="289"/>
      <c r="AT340" s="289"/>
    </row>
    <row r="341" spans="1:46" ht="15.75" customHeight="1" x14ac:dyDescent="0.25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  <c r="AC341" s="289"/>
      <c r="AD341" s="289"/>
      <c r="AE341" s="289"/>
      <c r="AF341" s="289"/>
      <c r="AG341" s="289"/>
      <c r="AH341" s="289"/>
      <c r="AI341" s="289"/>
      <c r="AJ341" s="289"/>
      <c r="AK341" s="289"/>
      <c r="AL341" s="289"/>
      <c r="AM341" s="289"/>
      <c r="AN341" s="289"/>
      <c r="AO341" s="289"/>
      <c r="AP341" s="289"/>
      <c r="AQ341" s="289"/>
      <c r="AR341" s="289"/>
      <c r="AS341" s="289"/>
      <c r="AT341" s="289"/>
    </row>
    <row r="342" spans="1:46" ht="15.75" customHeight="1" x14ac:dyDescent="0.25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  <c r="AC342" s="289"/>
      <c r="AD342" s="289"/>
      <c r="AE342" s="289"/>
      <c r="AF342" s="289"/>
      <c r="AG342" s="289"/>
      <c r="AH342" s="289"/>
      <c r="AI342" s="289"/>
      <c r="AJ342" s="289"/>
      <c r="AK342" s="289"/>
      <c r="AL342" s="289"/>
      <c r="AM342" s="289"/>
      <c r="AN342" s="289"/>
      <c r="AO342" s="289"/>
      <c r="AP342" s="289"/>
      <c r="AQ342" s="289"/>
      <c r="AR342" s="289"/>
      <c r="AS342" s="289"/>
      <c r="AT342" s="289"/>
    </row>
    <row r="343" spans="1:46" ht="15.75" customHeight="1" x14ac:dyDescent="0.25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</row>
    <row r="344" spans="1:46" ht="15.75" customHeight="1" x14ac:dyDescent="0.25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</row>
    <row r="345" spans="1:46" ht="15.75" customHeight="1" x14ac:dyDescent="0.25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  <c r="AC345" s="289"/>
      <c r="AD345" s="289"/>
      <c r="AE345" s="289"/>
      <c r="AF345" s="289"/>
      <c r="AG345" s="289"/>
      <c r="AH345" s="289"/>
      <c r="AI345" s="289"/>
      <c r="AJ345" s="289"/>
      <c r="AK345" s="289"/>
      <c r="AL345" s="289"/>
      <c r="AM345" s="289"/>
      <c r="AN345" s="289"/>
      <c r="AO345" s="289"/>
      <c r="AP345" s="289"/>
      <c r="AQ345" s="289"/>
      <c r="AR345" s="289"/>
      <c r="AS345" s="289"/>
      <c r="AT345" s="289"/>
    </row>
    <row r="346" spans="1:46" ht="15.75" customHeight="1" x14ac:dyDescent="0.25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  <c r="AC346" s="289"/>
      <c r="AD346" s="289"/>
      <c r="AE346" s="289"/>
      <c r="AF346" s="289"/>
      <c r="AG346" s="289"/>
      <c r="AH346" s="289"/>
      <c r="AI346" s="289"/>
      <c r="AJ346" s="289"/>
      <c r="AK346" s="289"/>
      <c r="AL346" s="289"/>
      <c r="AM346" s="289"/>
      <c r="AN346" s="289"/>
      <c r="AO346" s="289"/>
      <c r="AP346" s="289"/>
      <c r="AQ346" s="289"/>
      <c r="AR346" s="289"/>
      <c r="AS346" s="289"/>
      <c r="AT346" s="289"/>
    </row>
    <row r="347" spans="1:46" ht="15.75" customHeight="1" x14ac:dyDescent="0.25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  <c r="AC347" s="289"/>
      <c r="AD347" s="289"/>
      <c r="AE347" s="289"/>
      <c r="AF347" s="289"/>
      <c r="AG347" s="289"/>
      <c r="AH347" s="289"/>
      <c r="AI347" s="289"/>
      <c r="AJ347" s="289"/>
      <c r="AK347" s="289"/>
      <c r="AL347" s="289"/>
      <c r="AM347" s="289"/>
      <c r="AN347" s="289"/>
      <c r="AO347" s="289"/>
      <c r="AP347" s="289"/>
      <c r="AQ347" s="289"/>
      <c r="AR347" s="289"/>
      <c r="AS347" s="289"/>
      <c r="AT347" s="289"/>
    </row>
    <row r="348" spans="1:46" ht="15.75" customHeight="1" x14ac:dyDescent="0.25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</row>
    <row r="349" spans="1:46" ht="15.75" customHeight="1" x14ac:dyDescent="0.25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</row>
    <row r="350" spans="1:46" ht="15.75" customHeight="1" x14ac:dyDescent="0.25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</row>
    <row r="351" spans="1:46" ht="15.75" customHeight="1" x14ac:dyDescent="0.25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</row>
    <row r="352" spans="1:46" ht="15.75" customHeight="1" x14ac:dyDescent="0.25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</row>
    <row r="353" spans="1:46" ht="15.75" customHeight="1" x14ac:dyDescent="0.25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  <c r="AC353" s="289"/>
      <c r="AD353" s="289"/>
      <c r="AE353" s="289"/>
      <c r="AF353" s="289"/>
      <c r="AG353" s="289"/>
      <c r="AH353" s="289"/>
      <c r="AI353" s="289"/>
      <c r="AJ353" s="289"/>
      <c r="AK353" s="289"/>
      <c r="AL353" s="289"/>
      <c r="AM353" s="289"/>
      <c r="AN353" s="289"/>
      <c r="AO353" s="289"/>
      <c r="AP353" s="289"/>
      <c r="AQ353" s="289"/>
      <c r="AR353" s="289"/>
      <c r="AS353" s="289"/>
      <c r="AT353" s="289"/>
    </row>
    <row r="354" spans="1:46" ht="15.75" customHeight="1" x14ac:dyDescent="0.25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</row>
    <row r="355" spans="1:46" ht="15.75" customHeight="1" x14ac:dyDescent="0.25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  <c r="AC355" s="289"/>
      <c r="AD355" s="289"/>
      <c r="AE355" s="289"/>
      <c r="AF355" s="289"/>
      <c r="AG355" s="289"/>
      <c r="AH355" s="289"/>
      <c r="AI355" s="289"/>
      <c r="AJ355" s="289"/>
      <c r="AK355" s="289"/>
      <c r="AL355" s="289"/>
      <c r="AM355" s="289"/>
      <c r="AN355" s="289"/>
      <c r="AO355" s="289"/>
      <c r="AP355" s="289"/>
      <c r="AQ355" s="289"/>
      <c r="AR355" s="289"/>
      <c r="AS355" s="289"/>
      <c r="AT355" s="289"/>
    </row>
    <row r="356" spans="1:46" ht="15.75" customHeight="1" x14ac:dyDescent="0.25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  <c r="AC356" s="289"/>
      <c r="AD356" s="289"/>
      <c r="AE356" s="289"/>
      <c r="AF356" s="289"/>
      <c r="AG356" s="289"/>
      <c r="AH356" s="289"/>
      <c r="AI356" s="289"/>
      <c r="AJ356" s="289"/>
      <c r="AK356" s="289"/>
      <c r="AL356" s="289"/>
      <c r="AM356" s="289"/>
      <c r="AN356" s="289"/>
      <c r="AO356" s="289"/>
      <c r="AP356" s="289"/>
      <c r="AQ356" s="289"/>
      <c r="AR356" s="289"/>
      <c r="AS356" s="289"/>
      <c r="AT356" s="289"/>
    </row>
    <row r="357" spans="1:46" ht="15.75" customHeight="1" x14ac:dyDescent="0.25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  <c r="AC357" s="289"/>
      <c r="AD357" s="289"/>
      <c r="AE357" s="289"/>
      <c r="AF357" s="289"/>
      <c r="AG357" s="289"/>
      <c r="AH357" s="289"/>
      <c r="AI357" s="289"/>
      <c r="AJ357" s="289"/>
      <c r="AK357" s="289"/>
      <c r="AL357" s="289"/>
      <c r="AM357" s="289"/>
      <c r="AN357" s="289"/>
      <c r="AO357" s="289"/>
      <c r="AP357" s="289"/>
      <c r="AQ357" s="289"/>
      <c r="AR357" s="289"/>
      <c r="AS357" s="289"/>
      <c r="AT357" s="289"/>
    </row>
    <row r="358" spans="1:46" ht="15.75" customHeight="1" x14ac:dyDescent="0.25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  <c r="AC358" s="289"/>
      <c r="AD358" s="289"/>
      <c r="AE358" s="289"/>
      <c r="AF358" s="289"/>
      <c r="AG358" s="289"/>
      <c r="AH358" s="289"/>
      <c r="AI358" s="289"/>
      <c r="AJ358" s="289"/>
      <c r="AK358" s="289"/>
      <c r="AL358" s="289"/>
      <c r="AM358" s="289"/>
      <c r="AN358" s="289"/>
      <c r="AO358" s="289"/>
      <c r="AP358" s="289"/>
      <c r="AQ358" s="289"/>
      <c r="AR358" s="289"/>
      <c r="AS358" s="289"/>
      <c r="AT358" s="289"/>
    </row>
    <row r="359" spans="1:46" ht="15.75" customHeight="1" x14ac:dyDescent="0.25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  <c r="AC359" s="289"/>
      <c r="AD359" s="289"/>
      <c r="AE359" s="289"/>
      <c r="AF359" s="289"/>
      <c r="AG359" s="289"/>
      <c r="AH359" s="289"/>
      <c r="AI359" s="289"/>
      <c r="AJ359" s="289"/>
      <c r="AK359" s="289"/>
      <c r="AL359" s="289"/>
      <c r="AM359" s="289"/>
      <c r="AN359" s="289"/>
      <c r="AO359" s="289"/>
      <c r="AP359" s="289"/>
      <c r="AQ359" s="289"/>
      <c r="AR359" s="289"/>
      <c r="AS359" s="289"/>
      <c r="AT359" s="289"/>
    </row>
    <row r="360" spans="1:46" ht="15.75" customHeight="1" x14ac:dyDescent="0.25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  <c r="AC360" s="289"/>
      <c r="AD360" s="289"/>
      <c r="AE360" s="289"/>
      <c r="AF360" s="289"/>
      <c r="AG360" s="289"/>
      <c r="AH360" s="289"/>
      <c r="AI360" s="289"/>
      <c r="AJ360" s="289"/>
      <c r="AK360" s="289"/>
      <c r="AL360" s="289"/>
      <c r="AM360" s="289"/>
      <c r="AN360" s="289"/>
      <c r="AO360" s="289"/>
      <c r="AP360" s="289"/>
      <c r="AQ360" s="289"/>
      <c r="AR360" s="289"/>
      <c r="AS360" s="289"/>
      <c r="AT360" s="289"/>
    </row>
    <row r="361" spans="1:46" ht="15.75" customHeight="1" x14ac:dyDescent="0.25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  <c r="AC361" s="289"/>
      <c r="AD361" s="289"/>
      <c r="AE361" s="289"/>
      <c r="AF361" s="289"/>
      <c r="AG361" s="289"/>
      <c r="AH361" s="289"/>
      <c r="AI361" s="289"/>
      <c r="AJ361" s="289"/>
      <c r="AK361" s="289"/>
      <c r="AL361" s="289"/>
      <c r="AM361" s="289"/>
      <c r="AN361" s="289"/>
      <c r="AO361" s="289"/>
      <c r="AP361" s="289"/>
      <c r="AQ361" s="289"/>
      <c r="AR361" s="289"/>
      <c r="AS361" s="289"/>
      <c r="AT361" s="289"/>
    </row>
    <row r="362" spans="1:46" ht="15.75" customHeight="1" x14ac:dyDescent="0.25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  <c r="AC362" s="289"/>
      <c r="AD362" s="289"/>
      <c r="AE362" s="289"/>
      <c r="AF362" s="289"/>
      <c r="AG362" s="289"/>
      <c r="AH362" s="289"/>
      <c r="AI362" s="289"/>
      <c r="AJ362" s="289"/>
      <c r="AK362" s="289"/>
      <c r="AL362" s="289"/>
      <c r="AM362" s="289"/>
      <c r="AN362" s="289"/>
      <c r="AO362" s="289"/>
      <c r="AP362" s="289"/>
      <c r="AQ362" s="289"/>
      <c r="AR362" s="289"/>
      <c r="AS362" s="289"/>
      <c r="AT362" s="289"/>
    </row>
    <row r="363" spans="1:46" ht="15.75" customHeight="1" x14ac:dyDescent="0.25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  <c r="AC363" s="289"/>
      <c r="AD363" s="289"/>
      <c r="AE363" s="289"/>
      <c r="AF363" s="289"/>
      <c r="AG363" s="289"/>
      <c r="AH363" s="289"/>
      <c r="AI363" s="289"/>
      <c r="AJ363" s="289"/>
      <c r="AK363" s="289"/>
      <c r="AL363" s="289"/>
      <c r="AM363" s="289"/>
      <c r="AN363" s="289"/>
      <c r="AO363" s="289"/>
      <c r="AP363" s="289"/>
      <c r="AQ363" s="289"/>
      <c r="AR363" s="289"/>
      <c r="AS363" s="289"/>
      <c r="AT363" s="289"/>
    </row>
    <row r="364" spans="1:46" ht="15.75" customHeight="1" x14ac:dyDescent="0.25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  <c r="AC364" s="289"/>
      <c r="AD364" s="289"/>
      <c r="AE364" s="289"/>
      <c r="AF364" s="289"/>
      <c r="AG364" s="289"/>
      <c r="AH364" s="289"/>
      <c r="AI364" s="289"/>
      <c r="AJ364" s="289"/>
      <c r="AK364" s="289"/>
      <c r="AL364" s="289"/>
      <c r="AM364" s="289"/>
      <c r="AN364" s="289"/>
      <c r="AO364" s="289"/>
      <c r="AP364" s="289"/>
      <c r="AQ364" s="289"/>
      <c r="AR364" s="289"/>
      <c r="AS364" s="289"/>
      <c r="AT364" s="289"/>
    </row>
    <row r="365" spans="1:46" ht="15.75" customHeight="1" x14ac:dyDescent="0.25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  <c r="AC365" s="289"/>
      <c r="AD365" s="289"/>
      <c r="AE365" s="289"/>
      <c r="AF365" s="289"/>
      <c r="AG365" s="289"/>
      <c r="AH365" s="289"/>
      <c r="AI365" s="289"/>
      <c r="AJ365" s="289"/>
      <c r="AK365" s="289"/>
      <c r="AL365" s="289"/>
      <c r="AM365" s="289"/>
      <c r="AN365" s="289"/>
      <c r="AO365" s="289"/>
      <c r="AP365" s="289"/>
      <c r="AQ365" s="289"/>
      <c r="AR365" s="289"/>
      <c r="AS365" s="289"/>
      <c r="AT365" s="289"/>
    </row>
    <row r="366" spans="1:46" ht="15.75" customHeight="1" x14ac:dyDescent="0.25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  <c r="AC366" s="289"/>
      <c r="AD366" s="289"/>
      <c r="AE366" s="289"/>
      <c r="AF366" s="289"/>
      <c r="AG366" s="289"/>
      <c r="AH366" s="289"/>
      <c r="AI366" s="289"/>
      <c r="AJ366" s="289"/>
      <c r="AK366" s="289"/>
      <c r="AL366" s="289"/>
      <c r="AM366" s="289"/>
      <c r="AN366" s="289"/>
      <c r="AO366" s="289"/>
      <c r="AP366" s="289"/>
      <c r="AQ366" s="289"/>
      <c r="AR366" s="289"/>
      <c r="AS366" s="289"/>
      <c r="AT366" s="289"/>
    </row>
    <row r="367" spans="1:46" ht="15.75" customHeight="1" x14ac:dyDescent="0.25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  <c r="AC367" s="289"/>
      <c r="AD367" s="289"/>
      <c r="AE367" s="289"/>
      <c r="AF367" s="289"/>
      <c r="AG367" s="289"/>
      <c r="AH367" s="289"/>
      <c r="AI367" s="289"/>
      <c r="AJ367" s="289"/>
      <c r="AK367" s="289"/>
      <c r="AL367" s="289"/>
      <c r="AM367" s="289"/>
      <c r="AN367" s="289"/>
      <c r="AO367" s="289"/>
      <c r="AP367" s="289"/>
      <c r="AQ367" s="289"/>
      <c r="AR367" s="289"/>
      <c r="AS367" s="289"/>
      <c r="AT367" s="289"/>
    </row>
    <row r="368" spans="1:46" ht="15.75" customHeight="1" x14ac:dyDescent="0.25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  <c r="AC368" s="289"/>
      <c r="AD368" s="289"/>
      <c r="AE368" s="289"/>
      <c r="AF368" s="289"/>
      <c r="AG368" s="289"/>
      <c r="AH368" s="289"/>
      <c r="AI368" s="289"/>
      <c r="AJ368" s="289"/>
      <c r="AK368" s="289"/>
      <c r="AL368" s="289"/>
      <c r="AM368" s="289"/>
      <c r="AN368" s="289"/>
      <c r="AO368" s="289"/>
      <c r="AP368" s="289"/>
      <c r="AQ368" s="289"/>
      <c r="AR368" s="289"/>
      <c r="AS368" s="289"/>
      <c r="AT368" s="289"/>
    </row>
    <row r="369" spans="1:46" ht="15.75" customHeight="1" x14ac:dyDescent="0.25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  <c r="AC369" s="289"/>
      <c r="AD369" s="289"/>
      <c r="AE369" s="289"/>
      <c r="AF369" s="289"/>
      <c r="AG369" s="289"/>
      <c r="AH369" s="289"/>
      <c r="AI369" s="289"/>
      <c r="AJ369" s="289"/>
      <c r="AK369" s="289"/>
      <c r="AL369" s="289"/>
      <c r="AM369" s="289"/>
      <c r="AN369" s="289"/>
      <c r="AO369" s="289"/>
      <c r="AP369" s="289"/>
      <c r="AQ369" s="289"/>
      <c r="AR369" s="289"/>
      <c r="AS369" s="289"/>
      <c r="AT369" s="289"/>
    </row>
    <row r="370" spans="1:46" ht="15.75" customHeight="1" x14ac:dyDescent="0.25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  <c r="AC370" s="289"/>
      <c r="AD370" s="289"/>
      <c r="AE370" s="289"/>
      <c r="AF370" s="289"/>
      <c r="AG370" s="289"/>
      <c r="AH370" s="289"/>
      <c r="AI370" s="289"/>
      <c r="AJ370" s="289"/>
      <c r="AK370" s="289"/>
      <c r="AL370" s="289"/>
      <c r="AM370" s="289"/>
      <c r="AN370" s="289"/>
      <c r="AO370" s="289"/>
      <c r="AP370" s="289"/>
      <c r="AQ370" s="289"/>
      <c r="AR370" s="289"/>
      <c r="AS370" s="289"/>
      <c r="AT370" s="289"/>
    </row>
    <row r="371" spans="1:46" ht="15.75" customHeight="1" x14ac:dyDescent="0.25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  <c r="AC371" s="289"/>
      <c r="AD371" s="289"/>
      <c r="AE371" s="289"/>
      <c r="AF371" s="289"/>
      <c r="AG371" s="289"/>
      <c r="AH371" s="289"/>
      <c r="AI371" s="289"/>
      <c r="AJ371" s="289"/>
      <c r="AK371" s="289"/>
      <c r="AL371" s="289"/>
      <c r="AM371" s="289"/>
      <c r="AN371" s="289"/>
      <c r="AO371" s="289"/>
      <c r="AP371" s="289"/>
      <c r="AQ371" s="289"/>
      <c r="AR371" s="289"/>
      <c r="AS371" s="289"/>
      <c r="AT371" s="289"/>
    </row>
    <row r="372" spans="1:46" ht="15.75" customHeight="1" x14ac:dyDescent="0.25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  <c r="AC372" s="289"/>
      <c r="AD372" s="289"/>
      <c r="AE372" s="289"/>
      <c r="AF372" s="289"/>
      <c r="AG372" s="289"/>
      <c r="AH372" s="289"/>
      <c r="AI372" s="289"/>
      <c r="AJ372" s="289"/>
      <c r="AK372" s="289"/>
      <c r="AL372" s="289"/>
      <c r="AM372" s="289"/>
      <c r="AN372" s="289"/>
      <c r="AO372" s="289"/>
      <c r="AP372" s="289"/>
      <c r="AQ372" s="289"/>
      <c r="AR372" s="289"/>
      <c r="AS372" s="289"/>
      <c r="AT372" s="289"/>
    </row>
    <row r="373" spans="1:46" ht="15.75" customHeight="1" x14ac:dyDescent="0.25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  <c r="AC373" s="289"/>
      <c r="AD373" s="289"/>
      <c r="AE373" s="289"/>
      <c r="AF373" s="289"/>
      <c r="AG373" s="289"/>
      <c r="AH373" s="289"/>
      <c r="AI373" s="289"/>
      <c r="AJ373" s="289"/>
      <c r="AK373" s="289"/>
      <c r="AL373" s="289"/>
      <c r="AM373" s="289"/>
      <c r="AN373" s="289"/>
      <c r="AO373" s="289"/>
      <c r="AP373" s="289"/>
      <c r="AQ373" s="289"/>
      <c r="AR373" s="289"/>
      <c r="AS373" s="289"/>
      <c r="AT373" s="289"/>
    </row>
    <row r="374" spans="1:46" ht="15.75" customHeight="1" x14ac:dyDescent="0.25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  <c r="AC374" s="289"/>
      <c r="AD374" s="289"/>
      <c r="AE374" s="289"/>
      <c r="AF374" s="289"/>
      <c r="AG374" s="289"/>
      <c r="AH374" s="289"/>
      <c r="AI374" s="289"/>
      <c r="AJ374" s="289"/>
      <c r="AK374" s="289"/>
      <c r="AL374" s="289"/>
      <c r="AM374" s="289"/>
      <c r="AN374" s="289"/>
      <c r="AO374" s="289"/>
      <c r="AP374" s="289"/>
      <c r="AQ374" s="289"/>
      <c r="AR374" s="289"/>
      <c r="AS374" s="289"/>
      <c r="AT374" s="289"/>
    </row>
    <row r="375" spans="1:46" ht="15.75" customHeight="1" x14ac:dyDescent="0.25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  <c r="AC375" s="289"/>
      <c r="AD375" s="289"/>
      <c r="AE375" s="289"/>
      <c r="AF375" s="289"/>
      <c r="AG375" s="289"/>
      <c r="AH375" s="289"/>
      <c r="AI375" s="289"/>
      <c r="AJ375" s="289"/>
      <c r="AK375" s="289"/>
      <c r="AL375" s="289"/>
      <c r="AM375" s="289"/>
      <c r="AN375" s="289"/>
      <c r="AO375" s="289"/>
      <c r="AP375" s="289"/>
      <c r="AQ375" s="289"/>
      <c r="AR375" s="289"/>
      <c r="AS375" s="289"/>
      <c r="AT375" s="289"/>
    </row>
    <row r="376" spans="1:46" ht="15.75" customHeight="1" x14ac:dyDescent="0.25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  <c r="AC376" s="289"/>
      <c r="AD376" s="289"/>
      <c r="AE376" s="289"/>
      <c r="AF376" s="289"/>
      <c r="AG376" s="289"/>
      <c r="AH376" s="289"/>
      <c r="AI376" s="289"/>
      <c r="AJ376" s="289"/>
      <c r="AK376" s="289"/>
      <c r="AL376" s="289"/>
      <c r="AM376" s="289"/>
      <c r="AN376" s="289"/>
      <c r="AO376" s="289"/>
      <c r="AP376" s="289"/>
      <c r="AQ376" s="289"/>
      <c r="AR376" s="289"/>
      <c r="AS376" s="289"/>
      <c r="AT376" s="289"/>
    </row>
    <row r="377" spans="1:46" ht="15.75" customHeight="1" x14ac:dyDescent="0.25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  <c r="AC377" s="289"/>
      <c r="AD377" s="289"/>
      <c r="AE377" s="289"/>
      <c r="AF377" s="289"/>
      <c r="AG377" s="289"/>
      <c r="AH377" s="289"/>
      <c r="AI377" s="289"/>
      <c r="AJ377" s="289"/>
      <c r="AK377" s="289"/>
      <c r="AL377" s="289"/>
      <c r="AM377" s="289"/>
      <c r="AN377" s="289"/>
      <c r="AO377" s="289"/>
      <c r="AP377" s="289"/>
      <c r="AQ377" s="289"/>
      <c r="AR377" s="289"/>
      <c r="AS377" s="289"/>
      <c r="AT377" s="289"/>
    </row>
    <row r="378" spans="1:46" ht="15.75" customHeight="1" x14ac:dyDescent="0.25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  <c r="AC378" s="289"/>
      <c r="AD378" s="289"/>
      <c r="AE378" s="289"/>
      <c r="AF378" s="289"/>
      <c r="AG378" s="289"/>
      <c r="AH378" s="289"/>
      <c r="AI378" s="289"/>
      <c r="AJ378" s="289"/>
      <c r="AK378" s="289"/>
      <c r="AL378" s="289"/>
      <c r="AM378" s="289"/>
      <c r="AN378" s="289"/>
      <c r="AO378" s="289"/>
      <c r="AP378" s="289"/>
      <c r="AQ378" s="289"/>
      <c r="AR378" s="289"/>
      <c r="AS378" s="289"/>
      <c r="AT378" s="289"/>
    </row>
    <row r="379" spans="1:46" ht="15.75" customHeight="1" x14ac:dyDescent="0.25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  <c r="AC379" s="289"/>
      <c r="AD379" s="289"/>
      <c r="AE379" s="289"/>
      <c r="AF379" s="289"/>
      <c r="AG379" s="289"/>
      <c r="AH379" s="289"/>
      <c r="AI379" s="289"/>
      <c r="AJ379" s="289"/>
      <c r="AK379" s="289"/>
      <c r="AL379" s="289"/>
      <c r="AM379" s="289"/>
      <c r="AN379" s="289"/>
      <c r="AO379" s="289"/>
      <c r="AP379" s="289"/>
      <c r="AQ379" s="289"/>
      <c r="AR379" s="289"/>
      <c r="AS379" s="289"/>
      <c r="AT379" s="289"/>
    </row>
    <row r="380" spans="1:46" ht="15.75" customHeight="1" x14ac:dyDescent="0.25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  <c r="AC380" s="289"/>
      <c r="AD380" s="289"/>
      <c r="AE380" s="289"/>
      <c r="AF380" s="289"/>
      <c r="AG380" s="289"/>
      <c r="AH380" s="289"/>
      <c r="AI380" s="289"/>
      <c r="AJ380" s="289"/>
      <c r="AK380" s="289"/>
      <c r="AL380" s="289"/>
      <c r="AM380" s="289"/>
      <c r="AN380" s="289"/>
      <c r="AO380" s="289"/>
      <c r="AP380" s="289"/>
      <c r="AQ380" s="289"/>
      <c r="AR380" s="289"/>
      <c r="AS380" s="289"/>
      <c r="AT380" s="289"/>
    </row>
    <row r="381" spans="1:46" ht="15.75" customHeight="1" x14ac:dyDescent="0.25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  <c r="AC381" s="289"/>
      <c r="AD381" s="289"/>
      <c r="AE381" s="289"/>
      <c r="AF381" s="289"/>
      <c r="AG381" s="289"/>
      <c r="AH381" s="289"/>
      <c r="AI381" s="289"/>
      <c r="AJ381" s="289"/>
      <c r="AK381" s="289"/>
      <c r="AL381" s="289"/>
      <c r="AM381" s="289"/>
      <c r="AN381" s="289"/>
      <c r="AO381" s="289"/>
      <c r="AP381" s="289"/>
      <c r="AQ381" s="289"/>
      <c r="AR381" s="289"/>
      <c r="AS381" s="289"/>
      <c r="AT381" s="289"/>
    </row>
    <row r="382" spans="1:46" ht="15.75" customHeight="1" x14ac:dyDescent="0.25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  <c r="AC382" s="289"/>
      <c r="AD382" s="289"/>
      <c r="AE382" s="289"/>
      <c r="AF382" s="289"/>
      <c r="AG382" s="289"/>
      <c r="AH382" s="289"/>
      <c r="AI382" s="289"/>
      <c r="AJ382" s="289"/>
      <c r="AK382" s="289"/>
      <c r="AL382" s="289"/>
      <c r="AM382" s="289"/>
      <c r="AN382" s="289"/>
      <c r="AO382" s="289"/>
      <c r="AP382" s="289"/>
      <c r="AQ382" s="289"/>
      <c r="AR382" s="289"/>
      <c r="AS382" s="289"/>
      <c r="AT382" s="289"/>
    </row>
    <row r="383" spans="1:46" ht="15.75" customHeight="1" x14ac:dyDescent="0.25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  <c r="AC383" s="289"/>
      <c r="AD383" s="289"/>
      <c r="AE383" s="289"/>
      <c r="AF383" s="289"/>
      <c r="AG383" s="289"/>
      <c r="AH383" s="289"/>
      <c r="AI383" s="289"/>
      <c r="AJ383" s="289"/>
      <c r="AK383" s="289"/>
      <c r="AL383" s="289"/>
      <c r="AM383" s="289"/>
      <c r="AN383" s="289"/>
      <c r="AO383" s="289"/>
      <c r="AP383" s="289"/>
      <c r="AQ383" s="289"/>
      <c r="AR383" s="289"/>
      <c r="AS383" s="289"/>
      <c r="AT383" s="289"/>
    </row>
    <row r="384" spans="1:46" ht="15.75" customHeight="1" x14ac:dyDescent="0.25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  <c r="AC384" s="289"/>
      <c r="AD384" s="289"/>
      <c r="AE384" s="289"/>
      <c r="AF384" s="289"/>
      <c r="AG384" s="289"/>
      <c r="AH384" s="289"/>
      <c r="AI384" s="289"/>
      <c r="AJ384" s="289"/>
      <c r="AK384" s="289"/>
      <c r="AL384" s="289"/>
      <c r="AM384" s="289"/>
      <c r="AN384" s="289"/>
      <c r="AO384" s="289"/>
      <c r="AP384" s="289"/>
      <c r="AQ384" s="289"/>
      <c r="AR384" s="289"/>
      <c r="AS384" s="289"/>
      <c r="AT384" s="289"/>
    </row>
    <row r="385" spans="1:46" ht="15.75" customHeight="1" x14ac:dyDescent="0.25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  <c r="AC385" s="289"/>
      <c r="AD385" s="289"/>
      <c r="AE385" s="289"/>
      <c r="AF385" s="289"/>
      <c r="AG385" s="289"/>
      <c r="AH385" s="289"/>
      <c r="AI385" s="289"/>
      <c r="AJ385" s="289"/>
      <c r="AK385" s="289"/>
      <c r="AL385" s="289"/>
      <c r="AM385" s="289"/>
      <c r="AN385" s="289"/>
      <c r="AO385" s="289"/>
      <c r="AP385" s="289"/>
      <c r="AQ385" s="289"/>
      <c r="AR385" s="289"/>
      <c r="AS385" s="289"/>
      <c r="AT385" s="289"/>
    </row>
    <row r="386" spans="1:46" ht="15.75" customHeight="1" x14ac:dyDescent="0.25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  <c r="AC386" s="289"/>
      <c r="AD386" s="289"/>
      <c r="AE386" s="289"/>
      <c r="AF386" s="289"/>
      <c r="AG386" s="289"/>
      <c r="AH386" s="289"/>
      <c r="AI386" s="289"/>
      <c r="AJ386" s="289"/>
      <c r="AK386" s="289"/>
      <c r="AL386" s="289"/>
      <c r="AM386" s="289"/>
      <c r="AN386" s="289"/>
      <c r="AO386" s="289"/>
      <c r="AP386" s="289"/>
      <c r="AQ386" s="289"/>
      <c r="AR386" s="289"/>
      <c r="AS386" s="289"/>
      <c r="AT386" s="289"/>
    </row>
    <row r="387" spans="1:46" ht="15.75" customHeight="1" x14ac:dyDescent="0.25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  <c r="AC387" s="289"/>
      <c r="AD387" s="289"/>
      <c r="AE387" s="289"/>
      <c r="AF387" s="289"/>
      <c r="AG387" s="289"/>
      <c r="AH387" s="289"/>
      <c r="AI387" s="289"/>
      <c r="AJ387" s="289"/>
      <c r="AK387" s="289"/>
      <c r="AL387" s="289"/>
      <c r="AM387" s="289"/>
      <c r="AN387" s="289"/>
      <c r="AO387" s="289"/>
      <c r="AP387" s="289"/>
      <c r="AQ387" s="289"/>
      <c r="AR387" s="289"/>
      <c r="AS387" s="289"/>
      <c r="AT387" s="289"/>
    </row>
    <row r="388" spans="1:46" ht="15.75" customHeight="1" x14ac:dyDescent="0.25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  <c r="AC388" s="289"/>
      <c r="AD388" s="289"/>
      <c r="AE388" s="289"/>
      <c r="AF388" s="289"/>
      <c r="AG388" s="289"/>
      <c r="AH388" s="289"/>
      <c r="AI388" s="289"/>
      <c r="AJ388" s="289"/>
      <c r="AK388" s="289"/>
      <c r="AL388" s="289"/>
      <c r="AM388" s="289"/>
      <c r="AN388" s="289"/>
      <c r="AO388" s="289"/>
      <c r="AP388" s="289"/>
      <c r="AQ388" s="289"/>
      <c r="AR388" s="289"/>
      <c r="AS388" s="289"/>
      <c r="AT388" s="289"/>
    </row>
    <row r="389" spans="1:46" ht="15.75" customHeight="1" x14ac:dyDescent="0.25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  <c r="AC389" s="289"/>
      <c r="AD389" s="289"/>
      <c r="AE389" s="289"/>
      <c r="AF389" s="289"/>
      <c r="AG389" s="289"/>
      <c r="AH389" s="289"/>
      <c r="AI389" s="289"/>
      <c r="AJ389" s="289"/>
      <c r="AK389" s="289"/>
      <c r="AL389" s="289"/>
      <c r="AM389" s="289"/>
      <c r="AN389" s="289"/>
      <c r="AO389" s="289"/>
      <c r="AP389" s="289"/>
      <c r="AQ389" s="289"/>
      <c r="AR389" s="289"/>
      <c r="AS389" s="289"/>
      <c r="AT389" s="289"/>
    </row>
    <row r="390" spans="1:46" ht="15.75" customHeight="1" x14ac:dyDescent="0.25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  <c r="AC390" s="289"/>
      <c r="AD390" s="289"/>
      <c r="AE390" s="289"/>
      <c r="AF390" s="289"/>
      <c r="AG390" s="289"/>
      <c r="AH390" s="289"/>
      <c r="AI390" s="289"/>
      <c r="AJ390" s="289"/>
      <c r="AK390" s="289"/>
      <c r="AL390" s="289"/>
      <c r="AM390" s="289"/>
      <c r="AN390" s="289"/>
      <c r="AO390" s="289"/>
      <c r="AP390" s="289"/>
      <c r="AQ390" s="289"/>
      <c r="AR390" s="289"/>
      <c r="AS390" s="289"/>
      <c r="AT390" s="289"/>
    </row>
    <row r="391" spans="1:46" ht="15.75" customHeight="1" x14ac:dyDescent="0.25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  <c r="AC391" s="289"/>
      <c r="AD391" s="289"/>
      <c r="AE391" s="289"/>
      <c r="AF391" s="289"/>
      <c r="AG391" s="289"/>
      <c r="AH391" s="289"/>
      <c r="AI391" s="289"/>
      <c r="AJ391" s="289"/>
      <c r="AK391" s="289"/>
      <c r="AL391" s="289"/>
      <c r="AM391" s="289"/>
      <c r="AN391" s="289"/>
      <c r="AO391" s="289"/>
      <c r="AP391" s="289"/>
      <c r="AQ391" s="289"/>
      <c r="AR391" s="289"/>
      <c r="AS391" s="289"/>
      <c r="AT391" s="289"/>
    </row>
    <row r="392" spans="1:46" ht="15.75" customHeight="1" x14ac:dyDescent="0.25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  <c r="AC392" s="289"/>
      <c r="AD392" s="289"/>
      <c r="AE392" s="289"/>
      <c r="AF392" s="289"/>
      <c r="AG392" s="289"/>
      <c r="AH392" s="289"/>
      <c r="AI392" s="289"/>
      <c r="AJ392" s="289"/>
      <c r="AK392" s="289"/>
      <c r="AL392" s="289"/>
      <c r="AM392" s="289"/>
      <c r="AN392" s="289"/>
      <c r="AO392" s="289"/>
      <c r="AP392" s="289"/>
      <c r="AQ392" s="289"/>
      <c r="AR392" s="289"/>
      <c r="AS392" s="289"/>
      <c r="AT392" s="289"/>
    </row>
    <row r="393" spans="1:46" ht="15.75" customHeight="1" x14ac:dyDescent="0.25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  <c r="AC393" s="289"/>
      <c r="AD393" s="289"/>
      <c r="AE393" s="289"/>
      <c r="AF393" s="289"/>
      <c r="AG393" s="289"/>
      <c r="AH393" s="289"/>
      <c r="AI393" s="289"/>
      <c r="AJ393" s="289"/>
      <c r="AK393" s="289"/>
      <c r="AL393" s="289"/>
      <c r="AM393" s="289"/>
      <c r="AN393" s="289"/>
      <c r="AO393" s="289"/>
      <c r="AP393" s="289"/>
      <c r="AQ393" s="289"/>
      <c r="AR393" s="289"/>
      <c r="AS393" s="289"/>
      <c r="AT393" s="289"/>
    </row>
    <row r="394" spans="1:46" ht="15.75" customHeight="1" x14ac:dyDescent="0.25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  <c r="AC394" s="289"/>
      <c r="AD394" s="289"/>
      <c r="AE394" s="289"/>
      <c r="AF394" s="289"/>
      <c r="AG394" s="289"/>
      <c r="AH394" s="289"/>
      <c r="AI394" s="289"/>
      <c r="AJ394" s="289"/>
      <c r="AK394" s="289"/>
      <c r="AL394" s="289"/>
      <c r="AM394" s="289"/>
      <c r="AN394" s="289"/>
      <c r="AO394" s="289"/>
      <c r="AP394" s="289"/>
      <c r="AQ394" s="289"/>
      <c r="AR394" s="289"/>
      <c r="AS394" s="289"/>
      <c r="AT394" s="289"/>
    </row>
    <row r="395" spans="1:46" ht="15.75" customHeight="1" x14ac:dyDescent="0.25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  <c r="AC395" s="289"/>
      <c r="AD395" s="289"/>
      <c r="AE395" s="289"/>
      <c r="AF395" s="289"/>
      <c r="AG395" s="289"/>
      <c r="AH395" s="289"/>
      <c r="AI395" s="289"/>
      <c r="AJ395" s="289"/>
      <c r="AK395" s="289"/>
      <c r="AL395" s="289"/>
      <c r="AM395" s="289"/>
      <c r="AN395" s="289"/>
      <c r="AO395" s="289"/>
      <c r="AP395" s="289"/>
      <c r="AQ395" s="289"/>
      <c r="AR395" s="289"/>
      <c r="AS395" s="289"/>
      <c r="AT395" s="289"/>
    </row>
    <row r="396" spans="1:46" ht="15.75" customHeight="1" x14ac:dyDescent="0.25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  <c r="AC396" s="289"/>
      <c r="AD396" s="289"/>
      <c r="AE396" s="289"/>
      <c r="AF396" s="289"/>
      <c r="AG396" s="289"/>
      <c r="AH396" s="289"/>
      <c r="AI396" s="289"/>
      <c r="AJ396" s="289"/>
      <c r="AK396" s="289"/>
      <c r="AL396" s="289"/>
      <c r="AM396" s="289"/>
      <c r="AN396" s="289"/>
      <c r="AO396" s="289"/>
      <c r="AP396" s="289"/>
      <c r="AQ396" s="289"/>
      <c r="AR396" s="289"/>
      <c r="AS396" s="289"/>
      <c r="AT396" s="289"/>
    </row>
    <row r="397" spans="1:46" ht="15.75" customHeight="1" x14ac:dyDescent="0.25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  <c r="AC397" s="289"/>
      <c r="AD397" s="289"/>
      <c r="AE397" s="289"/>
      <c r="AF397" s="289"/>
      <c r="AG397" s="289"/>
      <c r="AH397" s="289"/>
      <c r="AI397" s="289"/>
      <c r="AJ397" s="289"/>
      <c r="AK397" s="289"/>
      <c r="AL397" s="289"/>
      <c r="AM397" s="289"/>
      <c r="AN397" s="289"/>
      <c r="AO397" s="289"/>
      <c r="AP397" s="289"/>
      <c r="AQ397" s="289"/>
      <c r="AR397" s="289"/>
      <c r="AS397" s="289"/>
      <c r="AT397" s="289"/>
    </row>
    <row r="398" spans="1:46" ht="15.75" customHeight="1" x14ac:dyDescent="0.25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  <c r="AC398" s="289"/>
      <c r="AD398" s="289"/>
      <c r="AE398" s="289"/>
      <c r="AF398" s="289"/>
      <c r="AG398" s="289"/>
      <c r="AH398" s="289"/>
      <c r="AI398" s="289"/>
      <c r="AJ398" s="289"/>
      <c r="AK398" s="289"/>
      <c r="AL398" s="289"/>
      <c r="AM398" s="289"/>
      <c r="AN398" s="289"/>
      <c r="AO398" s="289"/>
      <c r="AP398" s="289"/>
      <c r="AQ398" s="289"/>
      <c r="AR398" s="289"/>
      <c r="AS398" s="289"/>
      <c r="AT398" s="289"/>
    </row>
    <row r="399" spans="1:46" ht="15.75" customHeight="1" x14ac:dyDescent="0.25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  <c r="AC399" s="289"/>
      <c r="AD399" s="289"/>
      <c r="AE399" s="289"/>
      <c r="AF399" s="289"/>
      <c r="AG399" s="289"/>
      <c r="AH399" s="289"/>
      <c r="AI399" s="289"/>
      <c r="AJ399" s="289"/>
      <c r="AK399" s="289"/>
      <c r="AL399" s="289"/>
      <c r="AM399" s="289"/>
      <c r="AN399" s="289"/>
      <c r="AO399" s="289"/>
      <c r="AP399" s="289"/>
      <c r="AQ399" s="289"/>
      <c r="AR399" s="289"/>
      <c r="AS399" s="289"/>
      <c r="AT399" s="289"/>
    </row>
    <row r="400" spans="1:46" ht="15.75" customHeight="1" x14ac:dyDescent="0.25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  <c r="AC400" s="289"/>
      <c r="AD400" s="289"/>
      <c r="AE400" s="289"/>
      <c r="AF400" s="289"/>
      <c r="AG400" s="289"/>
      <c r="AH400" s="289"/>
      <c r="AI400" s="289"/>
      <c r="AJ400" s="289"/>
      <c r="AK400" s="289"/>
      <c r="AL400" s="289"/>
      <c r="AM400" s="289"/>
      <c r="AN400" s="289"/>
      <c r="AO400" s="289"/>
      <c r="AP400" s="289"/>
      <c r="AQ400" s="289"/>
      <c r="AR400" s="289"/>
      <c r="AS400" s="289"/>
      <c r="AT400" s="289"/>
    </row>
    <row r="401" spans="1:46" ht="15.75" customHeight="1" x14ac:dyDescent="0.25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  <c r="AC401" s="289"/>
      <c r="AD401" s="289"/>
      <c r="AE401" s="289"/>
      <c r="AF401" s="289"/>
      <c r="AG401" s="289"/>
      <c r="AH401" s="289"/>
      <c r="AI401" s="289"/>
      <c r="AJ401" s="289"/>
      <c r="AK401" s="289"/>
      <c r="AL401" s="289"/>
      <c r="AM401" s="289"/>
      <c r="AN401" s="289"/>
      <c r="AO401" s="289"/>
      <c r="AP401" s="289"/>
      <c r="AQ401" s="289"/>
      <c r="AR401" s="289"/>
      <c r="AS401" s="289"/>
      <c r="AT401" s="289"/>
    </row>
    <row r="402" spans="1:46" ht="15.75" customHeight="1" x14ac:dyDescent="0.25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  <c r="AC402" s="289"/>
      <c r="AD402" s="289"/>
      <c r="AE402" s="289"/>
      <c r="AF402" s="289"/>
      <c r="AG402" s="289"/>
      <c r="AH402" s="289"/>
      <c r="AI402" s="289"/>
      <c r="AJ402" s="289"/>
      <c r="AK402" s="289"/>
      <c r="AL402" s="289"/>
      <c r="AM402" s="289"/>
      <c r="AN402" s="289"/>
      <c r="AO402" s="289"/>
      <c r="AP402" s="289"/>
      <c r="AQ402" s="289"/>
      <c r="AR402" s="289"/>
      <c r="AS402" s="289"/>
      <c r="AT402" s="289"/>
    </row>
    <row r="403" spans="1:46" ht="15.75" customHeight="1" x14ac:dyDescent="0.25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  <c r="AC403" s="289"/>
      <c r="AD403" s="289"/>
      <c r="AE403" s="289"/>
      <c r="AF403" s="289"/>
      <c r="AG403" s="289"/>
      <c r="AH403" s="289"/>
      <c r="AI403" s="289"/>
      <c r="AJ403" s="289"/>
      <c r="AK403" s="289"/>
      <c r="AL403" s="289"/>
      <c r="AM403" s="289"/>
      <c r="AN403" s="289"/>
      <c r="AO403" s="289"/>
      <c r="AP403" s="289"/>
      <c r="AQ403" s="289"/>
      <c r="AR403" s="289"/>
      <c r="AS403" s="289"/>
      <c r="AT403" s="289"/>
    </row>
    <row r="404" spans="1:46" ht="15.75" customHeight="1" x14ac:dyDescent="0.25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  <c r="AC404" s="289"/>
      <c r="AD404" s="289"/>
      <c r="AE404" s="289"/>
      <c r="AF404" s="289"/>
      <c r="AG404" s="289"/>
      <c r="AH404" s="289"/>
      <c r="AI404" s="289"/>
      <c r="AJ404" s="289"/>
      <c r="AK404" s="289"/>
      <c r="AL404" s="289"/>
      <c r="AM404" s="289"/>
      <c r="AN404" s="289"/>
      <c r="AO404" s="289"/>
      <c r="AP404" s="289"/>
      <c r="AQ404" s="289"/>
      <c r="AR404" s="289"/>
      <c r="AS404" s="289"/>
      <c r="AT404" s="289"/>
    </row>
    <row r="405" spans="1:46" ht="15.75" customHeight="1" x14ac:dyDescent="0.25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  <c r="AC405" s="289"/>
      <c r="AD405" s="289"/>
      <c r="AE405" s="289"/>
      <c r="AF405" s="289"/>
      <c r="AG405" s="289"/>
      <c r="AH405" s="289"/>
      <c r="AI405" s="289"/>
      <c r="AJ405" s="289"/>
      <c r="AK405" s="289"/>
      <c r="AL405" s="289"/>
      <c r="AM405" s="289"/>
      <c r="AN405" s="289"/>
      <c r="AO405" s="289"/>
      <c r="AP405" s="289"/>
      <c r="AQ405" s="289"/>
      <c r="AR405" s="289"/>
      <c r="AS405" s="289"/>
      <c r="AT405" s="289"/>
    </row>
    <row r="406" spans="1:46" ht="15.75" customHeight="1" x14ac:dyDescent="0.25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  <c r="AC406" s="289"/>
      <c r="AD406" s="289"/>
      <c r="AE406" s="289"/>
      <c r="AF406" s="289"/>
      <c r="AG406" s="289"/>
      <c r="AH406" s="289"/>
      <c r="AI406" s="289"/>
      <c r="AJ406" s="289"/>
      <c r="AK406" s="289"/>
      <c r="AL406" s="289"/>
      <c r="AM406" s="289"/>
      <c r="AN406" s="289"/>
      <c r="AO406" s="289"/>
      <c r="AP406" s="289"/>
      <c r="AQ406" s="289"/>
      <c r="AR406" s="289"/>
      <c r="AS406" s="289"/>
      <c r="AT406" s="289"/>
    </row>
    <row r="407" spans="1:46" ht="15.75" customHeight="1" x14ac:dyDescent="0.25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  <c r="AC407" s="289"/>
      <c r="AD407" s="289"/>
      <c r="AE407" s="289"/>
      <c r="AF407" s="289"/>
      <c r="AG407" s="289"/>
      <c r="AH407" s="289"/>
      <c r="AI407" s="289"/>
      <c r="AJ407" s="289"/>
      <c r="AK407" s="289"/>
      <c r="AL407" s="289"/>
      <c r="AM407" s="289"/>
      <c r="AN407" s="289"/>
      <c r="AO407" s="289"/>
      <c r="AP407" s="289"/>
      <c r="AQ407" s="289"/>
      <c r="AR407" s="289"/>
      <c r="AS407" s="289"/>
      <c r="AT407" s="289"/>
    </row>
    <row r="408" spans="1:46" ht="15.75" customHeight="1" x14ac:dyDescent="0.25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  <c r="AC408" s="289"/>
      <c r="AD408" s="289"/>
      <c r="AE408" s="289"/>
      <c r="AF408" s="289"/>
      <c r="AG408" s="289"/>
      <c r="AH408" s="289"/>
      <c r="AI408" s="289"/>
      <c r="AJ408" s="289"/>
      <c r="AK408" s="289"/>
      <c r="AL408" s="289"/>
      <c r="AM408" s="289"/>
      <c r="AN408" s="289"/>
      <c r="AO408" s="289"/>
      <c r="AP408" s="289"/>
      <c r="AQ408" s="289"/>
      <c r="AR408" s="289"/>
      <c r="AS408" s="289"/>
      <c r="AT408" s="289"/>
    </row>
    <row r="409" spans="1:46" ht="15.75" customHeight="1" x14ac:dyDescent="0.25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  <c r="AC409" s="289"/>
      <c r="AD409" s="289"/>
      <c r="AE409" s="289"/>
      <c r="AF409" s="289"/>
      <c r="AG409" s="289"/>
      <c r="AH409" s="289"/>
      <c r="AI409" s="289"/>
      <c r="AJ409" s="289"/>
      <c r="AK409" s="289"/>
      <c r="AL409" s="289"/>
      <c r="AM409" s="289"/>
      <c r="AN409" s="289"/>
      <c r="AO409" s="289"/>
      <c r="AP409" s="289"/>
      <c r="AQ409" s="289"/>
      <c r="AR409" s="289"/>
      <c r="AS409" s="289"/>
      <c r="AT409" s="289"/>
    </row>
    <row r="410" spans="1:46" ht="15.75" customHeight="1" x14ac:dyDescent="0.25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  <c r="AC410" s="289"/>
      <c r="AD410" s="289"/>
      <c r="AE410" s="289"/>
      <c r="AF410" s="289"/>
      <c r="AG410" s="289"/>
      <c r="AH410" s="289"/>
      <c r="AI410" s="289"/>
      <c r="AJ410" s="289"/>
      <c r="AK410" s="289"/>
      <c r="AL410" s="289"/>
      <c r="AM410" s="289"/>
      <c r="AN410" s="289"/>
      <c r="AO410" s="289"/>
      <c r="AP410" s="289"/>
      <c r="AQ410" s="289"/>
      <c r="AR410" s="289"/>
      <c r="AS410" s="289"/>
      <c r="AT410" s="289"/>
    </row>
    <row r="411" spans="1:46" ht="15.75" customHeight="1" x14ac:dyDescent="0.25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  <c r="AC411" s="289"/>
      <c r="AD411" s="289"/>
      <c r="AE411" s="289"/>
      <c r="AF411" s="289"/>
      <c r="AG411" s="289"/>
      <c r="AH411" s="289"/>
      <c r="AI411" s="289"/>
      <c r="AJ411" s="289"/>
      <c r="AK411" s="289"/>
      <c r="AL411" s="289"/>
      <c r="AM411" s="289"/>
      <c r="AN411" s="289"/>
      <c r="AO411" s="289"/>
      <c r="AP411" s="289"/>
      <c r="AQ411" s="289"/>
      <c r="AR411" s="289"/>
      <c r="AS411" s="289"/>
      <c r="AT411" s="289"/>
    </row>
    <row r="412" spans="1:46" ht="15.75" customHeight="1" x14ac:dyDescent="0.25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  <c r="AC412" s="289"/>
      <c r="AD412" s="289"/>
      <c r="AE412" s="289"/>
      <c r="AF412" s="289"/>
      <c r="AG412" s="289"/>
      <c r="AH412" s="289"/>
      <c r="AI412" s="289"/>
      <c r="AJ412" s="289"/>
      <c r="AK412" s="289"/>
      <c r="AL412" s="289"/>
      <c r="AM412" s="289"/>
      <c r="AN412" s="289"/>
      <c r="AO412" s="289"/>
      <c r="AP412" s="289"/>
      <c r="AQ412" s="289"/>
      <c r="AR412" s="289"/>
      <c r="AS412" s="289"/>
      <c r="AT412" s="289"/>
    </row>
    <row r="413" spans="1:46" ht="15.75" customHeight="1" x14ac:dyDescent="0.25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  <c r="AC413" s="289"/>
      <c r="AD413" s="289"/>
      <c r="AE413" s="289"/>
      <c r="AF413" s="289"/>
      <c r="AG413" s="289"/>
      <c r="AH413" s="289"/>
      <c r="AI413" s="289"/>
      <c r="AJ413" s="289"/>
      <c r="AK413" s="289"/>
      <c r="AL413" s="289"/>
      <c r="AM413" s="289"/>
      <c r="AN413" s="289"/>
      <c r="AO413" s="289"/>
      <c r="AP413" s="289"/>
      <c r="AQ413" s="289"/>
      <c r="AR413" s="289"/>
      <c r="AS413" s="289"/>
      <c r="AT413" s="289"/>
    </row>
    <row r="414" spans="1:46" ht="15.75" customHeight="1" x14ac:dyDescent="0.25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  <c r="AC414" s="289"/>
      <c r="AD414" s="289"/>
      <c r="AE414" s="289"/>
      <c r="AF414" s="289"/>
      <c r="AG414" s="289"/>
      <c r="AH414" s="289"/>
      <c r="AI414" s="289"/>
      <c r="AJ414" s="289"/>
      <c r="AK414" s="289"/>
      <c r="AL414" s="289"/>
      <c r="AM414" s="289"/>
      <c r="AN414" s="289"/>
      <c r="AO414" s="289"/>
      <c r="AP414" s="289"/>
      <c r="AQ414" s="289"/>
      <c r="AR414" s="289"/>
      <c r="AS414" s="289"/>
      <c r="AT414" s="289"/>
    </row>
    <row r="415" spans="1:46" ht="15.75" customHeight="1" x14ac:dyDescent="0.25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  <c r="AC415" s="289"/>
      <c r="AD415" s="289"/>
      <c r="AE415" s="289"/>
      <c r="AF415" s="289"/>
      <c r="AG415" s="289"/>
      <c r="AH415" s="289"/>
      <c r="AI415" s="289"/>
      <c r="AJ415" s="289"/>
      <c r="AK415" s="289"/>
      <c r="AL415" s="289"/>
      <c r="AM415" s="289"/>
      <c r="AN415" s="289"/>
      <c r="AO415" s="289"/>
      <c r="AP415" s="289"/>
      <c r="AQ415" s="289"/>
      <c r="AR415" s="289"/>
      <c r="AS415" s="289"/>
      <c r="AT415" s="289"/>
    </row>
    <row r="416" spans="1:46" ht="15.75" customHeight="1" x14ac:dyDescent="0.25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  <c r="AC416" s="289"/>
      <c r="AD416" s="289"/>
      <c r="AE416" s="289"/>
      <c r="AF416" s="289"/>
      <c r="AG416" s="289"/>
      <c r="AH416" s="289"/>
      <c r="AI416" s="289"/>
      <c r="AJ416" s="289"/>
      <c r="AK416" s="289"/>
      <c r="AL416" s="289"/>
      <c r="AM416" s="289"/>
      <c r="AN416" s="289"/>
      <c r="AO416" s="289"/>
      <c r="AP416" s="289"/>
      <c r="AQ416" s="289"/>
      <c r="AR416" s="289"/>
      <c r="AS416" s="289"/>
      <c r="AT416" s="289"/>
    </row>
    <row r="417" spans="1:46" ht="15.75" customHeight="1" x14ac:dyDescent="0.25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  <c r="AC417" s="289"/>
      <c r="AD417" s="289"/>
      <c r="AE417" s="289"/>
      <c r="AF417" s="289"/>
      <c r="AG417" s="289"/>
      <c r="AH417" s="289"/>
      <c r="AI417" s="289"/>
      <c r="AJ417" s="289"/>
      <c r="AK417" s="289"/>
      <c r="AL417" s="289"/>
      <c r="AM417" s="289"/>
      <c r="AN417" s="289"/>
      <c r="AO417" s="289"/>
      <c r="AP417" s="289"/>
      <c r="AQ417" s="289"/>
      <c r="AR417" s="289"/>
      <c r="AS417" s="289"/>
      <c r="AT417" s="289"/>
    </row>
    <row r="418" spans="1:46" ht="15.75" customHeight="1" x14ac:dyDescent="0.25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  <c r="AC418" s="289"/>
      <c r="AD418" s="289"/>
      <c r="AE418" s="289"/>
      <c r="AF418" s="289"/>
      <c r="AG418" s="289"/>
      <c r="AH418" s="289"/>
      <c r="AI418" s="289"/>
      <c r="AJ418" s="289"/>
      <c r="AK418" s="289"/>
      <c r="AL418" s="289"/>
      <c r="AM418" s="289"/>
      <c r="AN418" s="289"/>
      <c r="AO418" s="289"/>
      <c r="AP418" s="289"/>
      <c r="AQ418" s="289"/>
      <c r="AR418" s="289"/>
      <c r="AS418" s="289"/>
      <c r="AT418" s="289"/>
    </row>
    <row r="419" spans="1:46" ht="15.75" customHeight="1" x14ac:dyDescent="0.25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  <c r="AC419" s="289"/>
      <c r="AD419" s="289"/>
      <c r="AE419" s="289"/>
      <c r="AF419" s="289"/>
      <c r="AG419" s="289"/>
      <c r="AH419" s="289"/>
      <c r="AI419" s="289"/>
      <c r="AJ419" s="289"/>
      <c r="AK419" s="289"/>
      <c r="AL419" s="289"/>
      <c r="AM419" s="289"/>
      <c r="AN419" s="289"/>
      <c r="AO419" s="289"/>
      <c r="AP419" s="289"/>
      <c r="AQ419" s="289"/>
      <c r="AR419" s="289"/>
      <c r="AS419" s="289"/>
      <c r="AT419" s="289"/>
    </row>
    <row r="420" spans="1:46" ht="15.75" customHeight="1" x14ac:dyDescent="0.25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  <c r="AC420" s="289"/>
      <c r="AD420" s="289"/>
      <c r="AE420" s="289"/>
      <c r="AF420" s="289"/>
      <c r="AG420" s="289"/>
      <c r="AH420" s="289"/>
      <c r="AI420" s="289"/>
      <c r="AJ420" s="289"/>
      <c r="AK420" s="289"/>
      <c r="AL420" s="289"/>
      <c r="AM420" s="289"/>
      <c r="AN420" s="289"/>
      <c r="AO420" s="289"/>
      <c r="AP420" s="289"/>
      <c r="AQ420" s="289"/>
      <c r="AR420" s="289"/>
      <c r="AS420" s="289"/>
      <c r="AT420" s="289"/>
    </row>
    <row r="421" spans="1:46" ht="15.75" customHeight="1" x14ac:dyDescent="0.25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  <c r="AC421" s="289"/>
      <c r="AD421" s="289"/>
      <c r="AE421" s="289"/>
      <c r="AF421" s="289"/>
      <c r="AG421" s="289"/>
      <c r="AH421" s="289"/>
      <c r="AI421" s="289"/>
      <c r="AJ421" s="289"/>
      <c r="AK421" s="289"/>
      <c r="AL421" s="289"/>
      <c r="AM421" s="289"/>
      <c r="AN421" s="289"/>
      <c r="AO421" s="289"/>
      <c r="AP421" s="289"/>
      <c r="AQ421" s="289"/>
      <c r="AR421" s="289"/>
      <c r="AS421" s="289"/>
      <c r="AT421" s="289"/>
    </row>
    <row r="422" spans="1:46" ht="15.75" customHeight="1" x14ac:dyDescent="0.25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  <c r="AC422" s="289"/>
      <c r="AD422" s="289"/>
      <c r="AE422" s="289"/>
      <c r="AF422" s="289"/>
      <c r="AG422" s="289"/>
      <c r="AH422" s="289"/>
      <c r="AI422" s="289"/>
      <c r="AJ422" s="289"/>
      <c r="AK422" s="289"/>
      <c r="AL422" s="289"/>
      <c r="AM422" s="289"/>
      <c r="AN422" s="289"/>
      <c r="AO422" s="289"/>
      <c r="AP422" s="289"/>
      <c r="AQ422" s="289"/>
      <c r="AR422" s="289"/>
      <c r="AS422" s="289"/>
      <c r="AT422" s="289"/>
    </row>
    <row r="423" spans="1:46" ht="15.75" customHeight="1" x14ac:dyDescent="0.25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  <c r="AC423" s="289"/>
      <c r="AD423" s="289"/>
      <c r="AE423" s="289"/>
      <c r="AF423" s="289"/>
      <c r="AG423" s="289"/>
      <c r="AH423" s="289"/>
      <c r="AI423" s="289"/>
      <c r="AJ423" s="289"/>
      <c r="AK423" s="289"/>
      <c r="AL423" s="289"/>
      <c r="AM423" s="289"/>
      <c r="AN423" s="289"/>
      <c r="AO423" s="289"/>
      <c r="AP423" s="289"/>
      <c r="AQ423" s="289"/>
      <c r="AR423" s="289"/>
      <c r="AS423" s="289"/>
      <c r="AT423" s="289"/>
    </row>
    <row r="424" spans="1:46" ht="15.75" customHeight="1" x14ac:dyDescent="0.25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  <c r="AC424" s="289"/>
      <c r="AD424" s="289"/>
      <c r="AE424" s="289"/>
      <c r="AF424" s="289"/>
      <c r="AG424" s="289"/>
      <c r="AH424" s="289"/>
      <c r="AI424" s="289"/>
      <c r="AJ424" s="289"/>
      <c r="AK424" s="289"/>
      <c r="AL424" s="289"/>
      <c r="AM424" s="289"/>
      <c r="AN424" s="289"/>
      <c r="AO424" s="289"/>
      <c r="AP424" s="289"/>
      <c r="AQ424" s="289"/>
      <c r="AR424" s="289"/>
      <c r="AS424" s="289"/>
      <c r="AT424" s="289"/>
    </row>
    <row r="425" spans="1:46" ht="15.75" customHeight="1" x14ac:dyDescent="0.25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  <c r="AC425" s="289"/>
      <c r="AD425" s="289"/>
      <c r="AE425" s="289"/>
      <c r="AF425" s="289"/>
      <c r="AG425" s="289"/>
      <c r="AH425" s="289"/>
      <c r="AI425" s="289"/>
      <c r="AJ425" s="289"/>
      <c r="AK425" s="289"/>
      <c r="AL425" s="289"/>
      <c r="AM425" s="289"/>
      <c r="AN425" s="289"/>
      <c r="AO425" s="289"/>
      <c r="AP425" s="289"/>
      <c r="AQ425" s="289"/>
      <c r="AR425" s="289"/>
      <c r="AS425" s="289"/>
      <c r="AT425" s="289"/>
    </row>
    <row r="426" spans="1:46" ht="15.75" customHeight="1" x14ac:dyDescent="0.25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  <c r="AC426" s="289"/>
      <c r="AD426" s="289"/>
      <c r="AE426" s="289"/>
      <c r="AF426" s="289"/>
      <c r="AG426" s="289"/>
      <c r="AH426" s="289"/>
      <c r="AI426" s="289"/>
      <c r="AJ426" s="289"/>
      <c r="AK426" s="289"/>
      <c r="AL426" s="289"/>
      <c r="AM426" s="289"/>
      <c r="AN426" s="289"/>
      <c r="AO426" s="289"/>
      <c r="AP426" s="289"/>
      <c r="AQ426" s="289"/>
      <c r="AR426" s="289"/>
      <c r="AS426" s="289"/>
      <c r="AT426" s="289"/>
    </row>
    <row r="427" spans="1:46" ht="15.75" customHeight="1" x14ac:dyDescent="0.25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  <c r="AC427" s="289"/>
      <c r="AD427" s="289"/>
      <c r="AE427" s="289"/>
      <c r="AF427" s="289"/>
      <c r="AG427" s="289"/>
      <c r="AH427" s="289"/>
      <c r="AI427" s="289"/>
      <c r="AJ427" s="289"/>
      <c r="AK427" s="289"/>
      <c r="AL427" s="289"/>
      <c r="AM427" s="289"/>
      <c r="AN427" s="289"/>
      <c r="AO427" s="289"/>
      <c r="AP427" s="289"/>
      <c r="AQ427" s="289"/>
      <c r="AR427" s="289"/>
      <c r="AS427" s="289"/>
      <c r="AT427" s="289"/>
    </row>
    <row r="428" spans="1:46" ht="15.75" customHeight="1" x14ac:dyDescent="0.25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  <c r="AC428" s="289"/>
      <c r="AD428" s="289"/>
      <c r="AE428" s="289"/>
      <c r="AF428" s="289"/>
      <c r="AG428" s="289"/>
      <c r="AH428" s="289"/>
      <c r="AI428" s="289"/>
      <c r="AJ428" s="289"/>
      <c r="AK428" s="289"/>
      <c r="AL428" s="289"/>
      <c r="AM428" s="289"/>
      <c r="AN428" s="289"/>
      <c r="AO428" s="289"/>
      <c r="AP428" s="289"/>
      <c r="AQ428" s="289"/>
      <c r="AR428" s="289"/>
      <c r="AS428" s="289"/>
      <c r="AT428" s="289"/>
    </row>
    <row r="429" spans="1:46" ht="15.75" customHeight="1" x14ac:dyDescent="0.25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  <c r="AC429" s="289"/>
      <c r="AD429" s="289"/>
      <c r="AE429" s="289"/>
      <c r="AF429" s="289"/>
      <c r="AG429" s="289"/>
      <c r="AH429" s="289"/>
      <c r="AI429" s="289"/>
      <c r="AJ429" s="289"/>
      <c r="AK429" s="289"/>
      <c r="AL429" s="289"/>
      <c r="AM429" s="289"/>
      <c r="AN429" s="289"/>
      <c r="AO429" s="289"/>
      <c r="AP429" s="289"/>
      <c r="AQ429" s="289"/>
      <c r="AR429" s="289"/>
      <c r="AS429" s="289"/>
      <c r="AT429" s="289"/>
    </row>
    <row r="430" spans="1:46" ht="15.75" customHeight="1" x14ac:dyDescent="0.25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  <c r="AC430" s="289"/>
      <c r="AD430" s="289"/>
      <c r="AE430" s="289"/>
      <c r="AF430" s="289"/>
      <c r="AG430" s="289"/>
      <c r="AH430" s="289"/>
      <c r="AI430" s="289"/>
      <c r="AJ430" s="289"/>
      <c r="AK430" s="289"/>
      <c r="AL430" s="289"/>
      <c r="AM430" s="289"/>
      <c r="AN430" s="289"/>
      <c r="AO430" s="289"/>
      <c r="AP430" s="289"/>
      <c r="AQ430" s="289"/>
      <c r="AR430" s="289"/>
      <c r="AS430" s="289"/>
      <c r="AT430" s="289"/>
    </row>
    <row r="431" spans="1:46" ht="15.75" customHeight="1" x14ac:dyDescent="0.25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  <c r="AC431" s="289"/>
      <c r="AD431" s="289"/>
      <c r="AE431" s="289"/>
      <c r="AF431" s="289"/>
      <c r="AG431" s="289"/>
      <c r="AH431" s="289"/>
      <c r="AI431" s="289"/>
      <c r="AJ431" s="289"/>
      <c r="AK431" s="289"/>
      <c r="AL431" s="289"/>
      <c r="AM431" s="289"/>
      <c r="AN431" s="289"/>
      <c r="AO431" s="289"/>
      <c r="AP431" s="289"/>
      <c r="AQ431" s="289"/>
      <c r="AR431" s="289"/>
      <c r="AS431" s="289"/>
      <c r="AT431" s="289"/>
    </row>
    <row r="432" spans="1:46" ht="15.75" customHeight="1" x14ac:dyDescent="0.25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  <c r="AC432" s="289"/>
      <c r="AD432" s="289"/>
      <c r="AE432" s="289"/>
      <c r="AF432" s="289"/>
      <c r="AG432" s="289"/>
      <c r="AH432" s="289"/>
      <c r="AI432" s="289"/>
      <c r="AJ432" s="289"/>
      <c r="AK432" s="289"/>
      <c r="AL432" s="289"/>
      <c r="AM432" s="289"/>
      <c r="AN432" s="289"/>
      <c r="AO432" s="289"/>
      <c r="AP432" s="289"/>
      <c r="AQ432" s="289"/>
      <c r="AR432" s="289"/>
      <c r="AS432" s="289"/>
      <c r="AT432" s="289"/>
    </row>
    <row r="433" spans="1:46" ht="15.75" customHeight="1" x14ac:dyDescent="0.25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  <c r="AC433" s="289"/>
      <c r="AD433" s="289"/>
      <c r="AE433" s="289"/>
      <c r="AF433" s="289"/>
      <c r="AG433" s="289"/>
      <c r="AH433" s="289"/>
      <c r="AI433" s="289"/>
      <c r="AJ433" s="289"/>
      <c r="AK433" s="289"/>
      <c r="AL433" s="289"/>
      <c r="AM433" s="289"/>
      <c r="AN433" s="289"/>
      <c r="AO433" s="289"/>
      <c r="AP433" s="289"/>
      <c r="AQ433" s="289"/>
      <c r="AR433" s="289"/>
      <c r="AS433" s="289"/>
      <c r="AT433" s="289"/>
    </row>
    <row r="434" spans="1:46" ht="15.75" customHeight="1" x14ac:dyDescent="0.25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  <c r="AC434" s="289"/>
      <c r="AD434" s="289"/>
      <c r="AE434" s="289"/>
      <c r="AF434" s="289"/>
      <c r="AG434" s="289"/>
      <c r="AH434" s="289"/>
      <c r="AI434" s="289"/>
      <c r="AJ434" s="289"/>
      <c r="AK434" s="289"/>
      <c r="AL434" s="289"/>
      <c r="AM434" s="289"/>
      <c r="AN434" s="289"/>
      <c r="AO434" s="289"/>
      <c r="AP434" s="289"/>
      <c r="AQ434" s="289"/>
      <c r="AR434" s="289"/>
      <c r="AS434" s="289"/>
      <c r="AT434" s="289"/>
    </row>
    <row r="435" spans="1:46" ht="15.75" customHeight="1" x14ac:dyDescent="0.25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  <c r="AC435" s="289"/>
      <c r="AD435" s="289"/>
      <c r="AE435" s="289"/>
      <c r="AF435" s="289"/>
      <c r="AG435" s="289"/>
      <c r="AH435" s="289"/>
      <c r="AI435" s="289"/>
      <c r="AJ435" s="289"/>
      <c r="AK435" s="289"/>
      <c r="AL435" s="289"/>
      <c r="AM435" s="289"/>
      <c r="AN435" s="289"/>
      <c r="AO435" s="289"/>
      <c r="AP435" s="289"/>
      <c r="AQ435" s="289"/>
      <c r="AR435" s="289"/>
      <c r="AS435" s="289"/>
      <c r="AT435" s="289"/>
    </row>
    <row r="436" spans="1:46" ht="15.75" customHeight="1" x14ac:dyDescent="0.25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  <c r="AC436" s="289"/>
      <c r="AD436" s="289"/>
      <c r="AE436" s="289"/>
      <c r="AF436" s="289"/>
      <c r="AG436" s="289"/>
      <c r="AH436" s="289"/>
      <c r="AI436" s="289"/>
      <c r="AJ436" s="289"/>
      <c r="AK436" s="289"/>
      <c r="AL436" s="289"/>
      <c r="AM436" s="289"/>
      <c r="AN436" s="289"/>
      <c r="AO436" s="289"/>
      <c r="AP436" s="289"/>
      <c r="AQ436" s="289"/>
      <c r="AR436" s="289"/>
      <c r="AS436" s="289"/>
      <c r="AT436" s="289"/>
    </row>
    <row r="437" spans="1:46" ht="15.75" customHeight="1" x14ac:dyDescent="0.25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  <c r="AC437" s="289"/>
      <c r="AD437" s="289"/>
      <c r="AE437" s="289"/>
      <c r="AF437" s="289"/>
      <c r="AG437" s="289"/>
      <c r="AH437" s="289"/>
      <c r="AI437" s="289"/>
      <c r="AJ437" s="289"/>
      <c r="AK437" s="289"/>
      <c r="AL437" s="289"/>
      <c r="AM437" s="289"/>
      <c r="AN437" s="289"/>
      <c r="AO437" s="289"/>
      <c r="AP437" s="289"/>
      <c r="AQ437" s="289"/>
      <c r="AR437" s="289"/>
      <c r="AS437" s="289"/>
      <c r="AT437" s="289"/>
    </row>
    <row r="438" spans="1:46" ht="15.75" customHeight="1" x14ac:dyDescent="0.25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  <c r="AC438" s="289"/>
      <c r="AD438" s="289"/>
      <c r="AE438" s="289"/>
      <c r="AF438" s="289"/>
      <c r="AG438" s="289"/>
      <c r="AH438" s="289"/>
      <c r="AI438" s="289"/>
      <c r="AJ438" s="289"/>
      <c r="AK438" s="289"/>
      <c r="AL438" s="289"/>
      <c r="AM438" s="289"/>
      <c r="AN438" s="289"/>
      <c r="AO438" s="289"/>
      <c r="AP438" s="289"/>
      <c r="AQ438" s="289"/>
      <c r="AR438" s="289"/>
      <c r="AS438" s="289"/>
      <c r="AT438" s="289"/>
    </row>
    <row r="439" spans="1:46" ht="15.75" customHeight="1" x14ac:dyDescent="0.25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  <c r="AC439" s="289"/>
      <c r="AD439" s="289"/>
      <c r="AE439" s="289"/>
      <c r="AF439" s="289"/>
      <c r="AG439" s="289"/>
      <c r="AH439" s="289"/>
      <c r="AI439" s="289"/>
      <c r="AJ439" s="289"/>
      <c r="AK439" s="289"/>
      <c r="AL439" s="289"/>
      <c r="AM439" s="289"/>
      <c r="AN439" s="289"/>
      <c r="AO439" s="289"/>
      <c r="AP439" s="289"/>
      <c r="AQ439" s="289"/>
      <c r="AR439" s="289"/>
      <c r="AS439" s="289"/>
      <c r="AT439" s="289"/>
    </row>
    <row r="440" spans="1:46" ht="15.75" customHeight="1" x14ac:dyDescent="0.25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  <c r="AC440" s="289"/>
      <c r="AD440" s="289"/>
      <c r="AE440" s="289"/>
      <c r="AF440" s="289"/>
      <c r="AG440" s="289"/>
      <c r="AH440" s="289"/>
      <c r="AI440" s="289"/>
      <c r="AJ440" s="289"/>
      <c r="AK440" s="289"/>
      <c r="AL440" s="289"/>
      <c r="AM440" s="289"/>
      <c r="AN440" s="289"/>
      <c r="AO440" s="289"/>
      <c r="AP440" s="289"/>
      <c r="AQ440" s="289"/>
      <c r="AR440" s="289"/>
      <c r="AS440" s="289"/>
      <c r="AT440" s="289"/>
    </row>
    <row r="441" spans="1:46" ht="15.75" customHeight="1" x14ac:dyDescent="0.25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  <c r="AC441" s="289"/>
      <c r="AD441" s="289"/>
      <c r="AE441" s="289"/>
      <c r="AF441" s="289"/>
      <c r="AG441" s="289"/>
      <c r="AH441" s="289"/>
      <c r="AI441" s="289"/>
      <c r="AJ441" s="289"/>
      <c r="AK441" s="289"/>
      <c r="AL441" s="289"/>
      <c r="AM441" s="289"/>
      <c r="AN441" s="289"/>
      <c r="AO441" s="289"/>
      <c r="AP441" s="289"/>
      <c r="AQ441" s="289"/>
      <c r="AR441" s="289"/>
      <c r="AS441" s="289"/>
      <c r="AT441" s="289"/>
    </row>
    <row r="442" spans="1:46" ht="15.75" customHeight="1" x14ac:dyDescent="0.25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  <c r="AC442" s="289"/>
      <c r="AD442" s="289"/>
      <c r="AE442" s="289"/>
      <c r="AF442" s="289"/>
      <c r="AG442" s="289"/>
      <c r="AH442" s="289"/>
      <c r="AI442" s="289"/>
      <c r="AJ442" s="289"/>
      <c r="AK442" s="289"/>
      <c r="AL442" s="289"/>
      <c r="AM442" s="289"/>
      <c r="AN442" s="289"/>
      <c r="AO442" s="289"/>
      <c r="AP442" s="289"/>
      <c r="AQ442" s="289"/>
      <c r="AR442" s="289"/>
      <c r="AS442" s="289"/>
      <c r="AT442" s="289"/>
    </row>
    <row r="443" spans="1:46" ht="15.75" customHeight="1" x14ac:dyDescent="0.25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  <c r="AC443" s="289"/>
      <c r="AD443" s="289"/>
      <c r="AE443" s="289"/>
      <c r="AF443" s="289"/>
      <c r="AG443" s="289"/>
      <c r="AH443" s="289"/>
      <c r="AI443" s="289"/>
      <c r="AJ443" s="289"/>
      <c r="AK443" s="289"/>
      <c r="AL443" s="289"/>
      <c r="AM443" s="289"/>
      <c r="AN443" s="289"/>
      <c r="AO443" s="289"/>
      <c r="AP443" s="289"/>
      <c r="AQ443" s="289"/>
      <c r="AR443" s="289"/>
      <c r="AS443" s="289"/>
      <c r="AT443" s="289"/>
    </row>
    <row r="444" spans="1:46" ht="15.75" customHeight="1" x14ac:dyDescent="0.25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  <c r="AC444" s="289"/>
      <c r="AD444" s="289"/>
      <c r="AE444" s="289"/>
      <c r="AF444" s="289"/>
      <c r="AG444" s="289"/>
      <c r="AH444" s="289"/>
      <c r="AI444" s="289"/>
      <c r="AJ444" s="289"/>
      <c r="AK444" s="289"/>
      <c r="AL444" s="289"/>
      <c r="AM444" s="289"/>
      <c r="AN444" s="289"/>
      <c r="AO444" s="289"/>
      <c r="AP444" s="289"/>
      <c r="AQ444" s="289"/>
      <c r="AR444" s="289"/>
      <c r="AS444" s="289"/>
      <c r="AT444" s="289"/>
    </row>
    <row r="445" spans="1:46" ht="15.75" customHeight="1" x14ac:dyDescent="0.25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  <c r="AC445" s="289"/>
      <c r="AD445" s="289"/>
      <c r="AE445" s="289"/>
      <c r="AF445" s="289"/>
      <c r="AG445" s="289"/>
      <c r="AH445" s="289"/>
      <c r="AI445" s="289"/>
      <c r="AJ445" s="289"/>
      <c r="AK445" s="289"/>
      <c r="AL445" s="289"/>
      <c r="AM445" s="289"/>
      <c r="AN445" s="289"/>
      <c r="AO445" s="289"/>
      <c r="AP445" s="289"/>
      <c r="AQ445" s="289"/>
      <c r="AR445" s="289"/>
      <c r="AS445" s="289"/>
      <c r="AT445" s="289"/>
    </row>
    <row r="446" spans="1:46" ht="15.75" customHeight="1" x14ac:dyDescent="0.25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  <c r="AC446" s="289"/>
      <c r="AD446" s="289"/>
      <c r="AE446" s="289"/>
      <c r="AF446" s="289"/>
      <c r="AG446" s="289"/>
      <c r="AH446" s="289"/>
      <c r="AI446" s="289"/>
      <c r="AJ446" s="289"/>
      <c r="AK446" s="289"/>
      <c r="AL446" s="289"/>
      <c r="AM446" s="289"/>
      <c r="AN446" s="289"/>
      <c r="AO446" s="289"/>
      <c r="AP446" s="289"/>
      <c r="AQ446" s="289"/>
      <c r="AR446" s="289"/>
      <c r="AS446" s="289"/>
      <c r="AT446" s="289"/>
    </row>
    <row r="447" spans="1:46" ht="15.75" customHeight="1" x14ac:dyDescent="0.25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  <c r="AC447" s="289"/>
      <c r="AD447" s="289"/>
      <c r="AE447" s="289"/>
      <c r="AF447" s="289"/>
      <c r="AG447" s="289"/>
      <c r="AH447" s="289"/>
      <c r="AI447" s="289"/>
      <c r="AJ447" s="289"/>
      <c r="AK447" s="289"/>
      <c r="AL447" s="289"/>
      <c r="AM447" s="289"/>
      <c r="AN447" s="289"/>
      <c r="AO447" s="289"/>
      <c r="AP447" s="289"/>
      <c r="AQ447" s="289"/>
      <c r="AR447" s="289"/>
      <c r="AS447" s="289"/>
      <c r="AT447" s="289"/>
    </row>
    <row r="448" spans="1:46" ht="15.75" customHeight="1" x14ac:dyDescent="0.25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  <c r="AC448" s="289"/>
      <c r="AD448" s="289"/>
      <c r="AE448" s="289"/>
      <c r="AF448" s="289"/>
      <c r="AG448" s="289"/>
      <c r="AH448" s="289"/>
      <c r="AI448" s="289"/>
      <c r="AJ448" s="289"/>
      <c r="AK448" s="289"/>
      <c r="AL448" s="289"/>
      <c r="AM448" s="289"/>
      <c r="AN448" s="289"/>
      <c r="AO448" s="289"/>
      <c r="AP448" s="289"/>
      <c r="AQ448" s="289"/>
      <c r="AR448" s="289"/>
      <c r="AS448" s="289"/>
      <c r="AT448" s="289"/>
    </row>
    <row r="449" spans="1:46" ht="15.75" customHeight="1" x14ac:dyDescent="0.25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  <c r="AC449" s="289"/>
      <c r="AD449" s="289"/>
      <c r="AE449" s="289"/>
      <c r="AF449" s="289"/>
      <c r="AG449" s="289"/>
      <c r="AH449" s="289"/>
      <c r="AI449" s="289"/>
      <c r="AJ449" s="289"/>
      <c r="AK449" s="289"/>
      <c r="AL449" s="289"/>
      <c r="AM449" s="289"/>
      <c r="AN449" s="289"/>
      <c r="AO449" s="289"/>
      <c r="AP449" s="289"/>
      <c r="AQ449" s="289"/>
      <c r="AR449" s="289"/>
      <c r="AS449" s="289"/>
      <c r="AT449" s="289"/>
    </row>
    <row r="450" spans="1:46" ht="15.75" customHeight="1" x14ac:dyDescent="0.25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  <c r="AC450" s="289"/>
      <c r="AD450" s="289"/>
      <c r="AE450" s="289"/>
      <c r="AF450" s="289"/>
      <c r="AG450" s="289"/>
      <c r="AH450" s="289"/>
      <c r="AI450" s="289"/>
      <c r="AJ450" s="289"/>
      <c r="AK450" s="289"/>
      <c r="AL450" s="289"/>
      <c r="AM450" s="289"/>
      <c r="AN450" s="289"/>
      <c r="AO450" s="289"/>
      <c r="AP450" s="289"/>
      <c r="AQ450" s="289"/>
      <c r="AR450" s="289"/>
      <c r="AS450" s="289"/>
      <c r="AT450" s="289"/>
    </row>
    <row r="451" spans="1:46" ht="15.75" customHeight="1" x14ac:dyDescent="0.25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  <c r="AC451" s="289"/>
      <c r="AD451" s="289"/>
      <c r="AE451" s="289"/>
      <c r="AF451" s="289"/>
      <c r="AG451" s="289"/>
      <c r="AH451" s="289"/>
      <c r="AI451" s="289"/>
      <c r="AJ451" s="289"/>
      <c r="AK451" s="289"/>
      <c r="AL451" s="289"/>
      <c r="AM451" s="289"/>
      <c r="AN451" s="289"/>
      <c r="AO451" s="289"/>
      <c r="AP451" s="289"/>
      <c r="AQ451" s="289"/>
      <c r="AR451" s="289"/>
      <c r="AS451" s="289"/>
      <c r="AT451" s="289"/>
    </row>
    <row r="452" spans="1:46" ht="15.75" customHeight="1" x14ac:dyDescent="0.25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  <c r="AC452" s="289"/>
      <c r="AD452" s="289"/>
      <c r="AE452" s="289"/>
      <c r="AF452" s="289"/>
      <c r="AG452" s="289"/>
      <c r="AH452" s="289"/>
      <c r="AI452" s="289"/>
      <c r="AJ452" s="289"/>
      <c r="AK452" s="289"/>
      <c r="AL452" s="289"/>
      <c r="AM452" s="289"/>
      <c r="AN452" s="289"/>
      <c r="AO452" s="289"/>
      <c r="AP452" s="289"/>
      <c r="AQ452" s="289"/>
      <c r="AR452" s="289"/>
      <c r="AS452" s="289"/>
      <c r="AT452" s="289"/>
    </row>
    <row r="453" spans="1:46" ht="15.75" customHeight="1" x14ac:dyDescent="0.25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  <c r="AC453" s="289"/>
      <c r="AD453" s="289"/>
      <c r="AE453" s="289"/>
      <c r="AF453" s="289"/>
      <c r="AG453" s="289"/>
      <c r="AH453" s="289"/>
      <c r="AI453" s="289"/>
      <c r="AJ453" s="289"/>
      <c r="AK453" s="289"/>
      <c r="AL453" s="289"/>
      <c r="AM453" s="289"/>
      <c r="AN453" s="289"/>
      <c r="AO453" s="289"/>
      <c r="AP453" s="289"/>
      <c r="AQ453" s="289"/>
      <c r="AR453" s="289"/>
      <c r="AS453" s="289"/>
      <c r="AT453" s="289"/>
    </row>
    <row r="454" spans="1:46" ht="15.75" customHeight="1" x14ac:dyDescent="0.25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  <c r="AC454" s="289"/>
      <c r="AD454" s="289"/>
      <c r="AE454" s="289"/>
      <c r="AF454" s="289"/>
      <c r="AG454" s="289"/>
      <c r="AH454" s="289"/>
      <c r="AI454" s="289"/>
      <c r="AJ454" s="289"/>
      <c r="AK454" s="289"/>
      <c r="AL454" s="289"/>
      <c r="AM454" s="289"/>
      <c r="AN454" s="289"/>
      <c r="AO454" s="289"/>
      <c r="AP454" s="289"/>
      <c r="AQ454" s="289"/>
      <c r="AR454" s="289"/>
      <c r="AS454" s="289"/>
      <c r="AT454" s="289"/>
    </row>
    <row r="455" spans="1:46" ht="15.75" customHeight="1" x14ac:dyDescent="0.25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  <c r="AC455" s="289"/>
      <c r="AD455" s="289"/>
      <c r="AE455" s="289"/>
      <c r="AF455" s="289"/>
      <c r="AG455" s="289"/>
      <c r="AH455" s="289"/>
      <c r="AI455" s="289"/>
      <c r="AJ455" s="289"/>
      <c r="AK455" s="289"/>
      <c r="AL455" s="289"/>
      <c r="AM455" s="289"/>
      <c r="AN455" s="289"/>
      <c r="AO455" s="289"/>
      <c r="AP455" s="289"/>
      <c r="AQ455" s="289"/>
      <c r="AR455" s="289"/>
      <c r="AS455" s="289"/>
      <c r="AT455" s="289"/>
    </row>
    <row r="456" spans="1:46" ht="15.75" customHeight="1" x14ac:dyDescent="0.25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  <c r="AC456" s="289"/>
      <c r="AD456" s="289"/>
      <c r="AE456" s="289"/>
      <c r="AF456" s="289"/>
      <c r="AG456" s="289"/>
      <c r="AH456" s="289"/>
      <c r="AI456" s="289"/>
      <c r="AJ456" s="289"/>
      <c r="AK456" s="289"/>
      <c r="AL456" s="289"/>
      <c r="AM456" s="289"/>
      <c r="AN456" s="289"/>
      <c r="AO456" s="289"/>
      <c r="AP456" s="289"/>
      <c r="AQ456" s="289"/>
      <c r="AR456" s="289"/>
      <c r="AS456" s="289"/>
      <c r="AT456" s="289"/>
    </row>
    <row r="457" spans="1:46" ht="15.75" customHeight="1" x14ac:dyDescent="0.25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  <c r="AC457" s="289"/>
      <c r="AD457" s="289"/>
      <c r="AE457" s="289"/>
      <c r="AF457" s="289"/>
      <c r="AG457" s="289"/>
      <c r="AH457" s="289"/>
      <c r="AI457" s="289"/>
      <c r="AJ457" s="289"/>
      <c r="AK457" s="289"/>
      <c r="AL457" s="289"/>
      <c r="AM457" s="289"/>
      <c r="AN457" s="289"/>
      <c r="AO457" s="289"/>
      <c r="AP457" s="289"/>
      <c r="AQ457" s="289"/>
      <c r="AR457" s="289"/>
      <c r="AS457" s="289"/>
      <c r="AT457" s="289"/>
    </row>
    <row r="458" spans="1:46" ht="15.75" customHeight="1" x14ac:dyDescent="0.25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  <c r="AC458" s="289"/>
      <c r="AD458" s="289"/>
      <c r="AE458" s="289"/>
      <c r="AF458" s="289"/>
      <c r="AG458" s="289"/>
      <c r="AH458" s="289"/>
      <c r="AI458" s="289"/>
      <c r="AJ458" s="289"/>
      <c r="AK458" s="289"/>
      <c r="AL458" s="289"/>
      <c r="AM458" s="289"/>
      <c r="AN458" s="289"/>
      <c r="AO458" s="289"/>
      <c r="AP458" s="289"/>
      <c r="AQ458" s="289"/>
      <c r="AR458" s="289"/>
      <c r="AS458" s="289"/>
      <c r="AT458" s="289"/>
    </row>
    <row r="459" spans="1:46" ht="15.75" customHeight="1" x14ac:dyDescent="0.25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  <c r="AC459" s="289"/>
      <c r="AD459" s="289"/>
      <c r="AE459" s="289"/>
      <c r="AF459" s="289"/>
      <c r="AG459" s="289"/>
      <c r="AH459" s="289"/>
      <c r="AI459" s="289"/>
      <c r="AJ459" s="289"/>
      <c r="AK459" s="289"/>
      <c r="AL459" s="289"/>
      <c r="AM459" s="289"/>
      <c r="AN459" s="289"/>
      <c r="AO459" s="289"/>
      <c r="AP459" s="289"/>
      <c r="AQ459" s="289"/>
      <c r="AR459" s="289"/>
      <c r="AS459" s="289"/>
      <c r="AT459" s="289"/>
    </row>
    <row r="460" spans="1:46" ht="15.75" customHeight="1" x14ac:dyDescent="0.25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  <c r="AC460" s="289"/>
      <c r="AD460" s="289"/>
      <c r="AE460" s="289"/>
      <c r="AF460" s="289"/>
      <c r="AG460" s="289"/>
      <c r="AH460" s="289"/>
      <c r="AI460" s="289"/>
      <c r="AJ460" s="289"/>
      <c r="AK460" s="289"/>
      <c r="AL460" s="289"/>
      <c r="AM460" s="289"/>
      <c r="AN460" s="289"/>
      <c r="AO460" s="289"/>
      <c r="AP460" s="289"/>
      <c r="AQ460" s="289"/>
      <c r="AR460" s="289"/>
      <c r="AS460" s="289"/>
      <c r="AT460" s="289"/>
    </row>
    <row r="461" spans="1:46" ht="15.75" customHeight="1" x14ac:dyDescent="0.25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  <c r="AC461" s="289"/>
      <c r="AD461" s="289"/>
      <c r="AE461" s="289"/>
      <c r="AF461" s="289"/>
      <c r="AG461" s="289"/>
      <c r="AH461" s="289"/>
      <c r="AI461" s="289"/>
      <c r="AJ461" s="289"/>
      <c r="AK461" s="289"/>
      <c r="AL461" s="289"/>
      <c r="AM461" s="289"/>
      <c r="AN461" s="289"/>
      <c r="AO461" s="289"/>
      <c r="AP461" s="289"/>
      <c r="AQ461" s="289"/>
      <c r="AR461" s="289"/>
      <c r="AS461" s="289"/>
      <c r="AT461" s="289"/>
    </row>
    <row r="462" spans="1:46" ht="15.75" customHeight="1" x14ac:dyDescent="0.25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  <c r="AC462" s="289"/>
      <c r="AD462" s="289"/>
      <c r="AE462" s="289"/>
      <c r="AF462" s="289"/>
      <c r="AG462" s="289"/>
      <c r="AH462" s="289"/>
      <c r="AI462" s="289"/>
      <c r="AJ462" s="289"/>
      <c r="AK462" s="289"/>
      <c r="AL462" s="289"/>
      <c r="AM462" s="289"/>
      <c r="AN462" s="289"/>
      <c r="AO462" s="289"/>
      <c r="AP462" s="289"/>
      <c r="AQ462" s="289"/>
      <c r="AR462" s="289"/>
      <c r="AS462" s="289"/>
      <c r="AT462" s="289"/>
    </row>
    <row r="463" spans="1:46" ht="15.75" customHeight="1" x14ac:dyDescent="0.25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  <c r="AC463" s="289"/>
      <c r="AD463" s="289"/>
      <c r="AE463" s="289"/>
      <c r="AF463" s="289"/>
      <c r="AG463" s="289"/>
      <c r="AH463" s="289"/>
      <c r="AI463" s="289"/>
      <c r="AJ463" s="289"/>
      <c r="AK463" s="289"/>
      <c r="AL463" s="289"/>
      <c r="AM463" s="289"/>
      <c r="AN463" s="289"/>
      <c r="AO463" s="289"/>
      <c r="AP463" s="289"/>
      <c r="AQ463" s="289"/>
      <c r="AR463" s="289"/>
      <c r="AS463" s="289"/>
      <c r="AT463" s="289"/>
    </row>
    <row r="464" spans="1:46" ht="15.75" customHeight="1" x14ac:dyDescent="0.25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  <c r="AC464" s="289"/>
      <c r="AD464" s="289"/>
      <c r="AE464" s="289"/>
      <c r="AF464" s="289"/>
      <c r="AG464" s="289"/>
      <c r="AH464" s="289"/>
      <c r="AI464" s="289"/>
      <c r="AJ464" s="289"/>
      <c r="AK464" s="289"/>
      <c r="AL464" s="289"/>
      <c r="AM464" s="289"/>
      <c r="AN464" s="289"/>
      <c r="AO464" s="289"/>
      <c r="AP464" s="289"/>
      <c r="AQ464" s="289"/>
      <c r="AR464" s="289"/>
      <c r="AS464" s="289"/>
      <c r="AT464" s="289"/>
    </row>
    <row r="465" spans="1:46" ht="15.75" customHeight="1" x14ac:dyDescent="0.25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  <c r="AC465" s="289"/>
      <c r="AD465" s="289"/>
      <c r="AE465" s="289"/>
      <c r="AF465" s="289"/>
      <c r="AG465" s="289"/>
      <c r="AH465" s="289"/>
      <c r="AI465" s="289"/>
      <c r="AJ465" s="289"/>
      <c r="AK465" s="289"/>
      <c r="AL465" s="289"/>
      <c r="AM465" s="289"/>
      <c r="AN465" s="289"/>
      <c r="AO465" s="289"/>
      <c r="AP465" s="289"/>
      <c r="AQ465" s="289"/>
      <c r="AR465" s="289"/>
      <c r="AS465" s="289"/>
      <c r="AT465" s="289"/>
    </row>
    <row r="466" spans="1:46" ht="15.75" customHeight="1" x14ac:dyDescent="0.25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  <c r="AC466" s="289"/>
      <c r="AD466" s="289"/>
      <c r="AE466" s="289"/>
      <c r="AF466" s="289"/>
      <c r="AG466" s="289"/>
      <c r="AH466" s="289"/>
      <c r="AI466" s="289"/>
      <c r="AJ466" s="289"/>
      <c r="AK466" s="289"/>
      <c r="AL466" s="289"/>
      <c r="AM466" s="289"/>
      <c r="AN466" s="289"/>
      <c r="AO466" s="289"/>
      <c r="AP466" s="289"/>
      <c r="AQ466" s="289"/>
      <c r="AR466" s="289"/>
      <c r="AS466" s="289"/>
      <c r="AT466" s="289"/>
    </row>
    <row r="467" spans="1:46" ht="15.75" customHeight="1" x14ac:dyDescent="0.25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  <c r="AC467" s="289"/>
      <c r="AD467" s="289"/>
      <c r="AE467" s="289"/>
      <c r="AF467" s="289"/>
      <c r="AG467" s="289"/>
      <c r="AH467" s="289"/>
      <c r="AI467" s="289"/>
      <c r="AJ467" s="289"/>
      <c r="AK467" s="289"/>
      <c r="AL467" s="289"/>
      <c r="AM467" s="289"/>
      <c r="AN467" s="289"/>
      <c r="AO467" s="289"/>
      <c r="AP467" s="289"/>
      <c r="AQ467" s="289"/>
      <c r="AR467" s="289"/>
      <c r="AS467" s="289"/>
      <c r="AT467" s="289"/>
    </row>
    <row r="468" spans="1:46" ht="15.75" customHeight="1" x14ac:dyDescent="0.25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  <c r="AC468" s="289"/>
      <c r="AD468" s="289"/>
      <c r="AE468" s="289"/>
      <c r="AF468" s="289"/>
      <c r="AG468" s="289"/>
      <c r="AH468" s="289"/>
      <c r="AI468" s="289"/>
      <c r="AJ468" s="289"/>
      <c r="AK468" s="289"/>
      <c r="AL468" s="289"/>
      <c r="AM468" s="289"/>
      <c r="AN468" s="289"/>
      <c r="AO468" s="289"/>
      <c r="AP468" s="289"/>
      <c r="AQ468" s="289"/>
      <c r="AR468" s="289"/>
      <c r="AS468" s="289"/>
      <c r="AT468" s="289"/>
    </row>
    <row r="469" spans="1:46" ht="15.75" customHeight="1" x14ac:dyDescent="0.25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  <c r="AC469" s="289"/>
      <c r="AD469" s="289"/>
      <c r="AE469" s="289"/>
      <c r="AF469" s="289"/>
      <c r="AG469" s="289"/>
      <c r="AH469" s="289"/>
      <c r="AI469" s="289"/>
      <c r="AJ469" s="289"/>
      <c r="AK469" s="289"/>
      <c r="AL469" s="289"/>
      <c r="AM469" s="289"/>
      <c r="AN469" s="289"/>
      <c r="AO469" s="289"/>
      <c r="AP469" s="289"/>
      <c r="AQ469" s="289"/>
      <c r="AR469" s="289"/>
      <c r="AS469" s="289"/>
      <c r="AT469" s="289"/>
    </row>
    <row r="470" spans="1:46" ht="15.75" customHeight="1" x14ac:dyDescent="0.25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  <c r="AC470" s="289"/>
      <c r="AD470" s="289"/>
      <c r="AE470" s="289"/>
      <c r="AF470" s="289"/>
      <c r="AG470" s="289"/>
      <c r="AH470" s="289"/>
      <c r="AI470" s="289"/>
      <c r="AJ470" s="289"/>
      <c r="AK470" s="289"/>
      <c r="AL470" s="289"/>
      <c r="AM470" s="289"/>
      <c r="AN470" s="289"/>
      <c r="AO470" s="289"/>
      <c r="AP470" s="289"/>
      <c r="AQ470" s="289"/>
      <c r="AR470" s="289"/>
      <c r="AS470" s="289"/>
      <c r="AT470" s="289"/>
    </row>
    <row r="471" spans="1:46" ht="15.75" customHeight="1" x14ac:dyDescent="0.25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  <c r="AC471" s="289"/>
      <c r="AD471" s="289"/>
      <c r="AE471" s="289"/>
      <c r="AF471" s="289"/>
      <c r="AG471" s="289"/>
      <c r="AH471" s="289"/>
      <c r="AI471" s="289"/>
      <c r="AJ471" s="289"/>
      <c r="AK471" s="289"/>
      <c r="AL471" s="289"/>
      <c r="AM471" s="289"/>
      <c r="AN471" s="289"/>
      <c r="AO471" s="289"/>
      <c r="AP471" s="289"/>
      <c r="AQ471" s="289"/>
      <c r="AR471" s="289"/>
      <c r="AS471" s="289"/>
      <c r="AT471" s="289"/>
    </row>
    <row r="472" spans="1:46" ht="15.75" customHeight="1" x14ac:dyDescent="0.25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  <c r="AC472" s="289"/>
      <c r="AD472" s="289"/>
      <c r="AE472" s="289"/>
      <c r="AF472" s="289"/>
      <c r="AG472" s="289"/>
      <c r="AH472" s="289"/>
      <c r="AI472" s="289"/>
      <c r="AJ472" s="289"/>
      <c r="AK472" s="289"/>
      <c r="AL472" s="289"/>
      <c r="AM472" s="289"/>
      <c r="AN472" s="289"/>
      <c r="AO472" s="289"/>
      <c r="AP472" s="289"/>
      <c r="AQ472" s="289"/>
      <c r="AR472" s="289"/>
      <c r="AS472" s="289"/>
      <c r="AT472" s="289"/>
    </row>
    <row r="473" spans="1:46" ht="15.75" customHeight="1" x14ac:dyDescent="0.25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  <c r="AC473" s="289"/>
      <c r="AD473" s="289"/>
      <c r="AE473" s="289"/>
      <c r="AF473" s="289"/>
      <c r="AG473" s="289"/>
      <c r="AH473" s="289"/>
      <c r="AI473" s="289"/>
      <c r="AJ473" s="289"/>
      <c r="AK473" s="289"/>
      <c r="AL473" s="289"/>
      <c r="AM473" s="289"/>
      <c r="AN473" s="289"/>
      <c r="AO473" s="289"/>
      <c r="AP473" s="289"/>
      <c r="AQ473" s="289"/>
      <c r="AR473" s="289"/>
      <c r="AS473" s="289"/>
      <c r="AT473" s="289"/>
    </row>
    <row r="474" spans="1:46" ht="15.75" customHeight="1" x14ac:dyDescent="0.25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  <c r="AC474" s="289"/>
      <c r="AD474" s="289"/>
      <c r="AE474" s="289"/>
      <c r="AF474" s="289"/>
      <c r="AG474" s="289"/>
      <c r="AH474" s="289"/>
      <c r="AI474" s="289"/>
      <c r="AJ474" s="289"/>
      <c r="AK474" s="289"/>
      <c r="AL474" s="289"/>
      <c r="AM474" s="289"/>
      <c r="AN474" s="289"/>
      <c r="AO474" s="289"/>
      <c r="AP474" s="289"/>
      <c r="AQ474" s="289"/>
      <c r="AR474" s="289"/>
      <c r="AS474" s="289"/>
      <c r="AT474" s="289"/>
    </row>
    <row r="475" spans="1:46" ht="15.75" customHeight="1" x14ac:dyDescent="0.25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  <c r="AC475" s="289"/>
      <c r="AD475" s="289"/>
      <c r="AE475" s="289"/>
      <c r="AF475" s="289"/>
      <c r="AG475" s="289"/>
      <c r="AH475" s="289"/>
      <c r="AI475" s="289"/>
      <c r="AJ475" s="289"/>
      <c r="AK475" s="289"/>
      <c r="AL475" s="289"/>
      <c r="AM475" s="289"/>
      <c r="AN475" s="289"/>
      <c r="AO475" s="289"/>
      <c r="AP475" s="289"/>
      <c r="AQ475" s="289"/>
      <c r="AR475" s="289"/>
      <c r="AS475" s="289"/>
      <c r="AT475" s="289"/>
    </row>
    <row r="476" spans="1:46" ht="15.75" customHeight="1" x14ac:dyDescent="0.25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  <c r="AC476" s="289"/>
      <c r="AD476" s="289"/>
      <c r="AE476" s="289"/>
      <c r="AF476" s="289"/>
      <c r="AG476" s="289"/>
      <c r="AH476" s="289"/>
      <c r="AI476" s="289"/>
      <c r="AJ476" s="289"/>
      <c r="AK476" s="289"/>
      <c r="AL476" s="289"/>
      <c r="AM476" s="289"/>
      <c r="AN476" s="289"/>
      <c r="AO476" s="289"/>
      <c r="AP476" s="289"/>
      <c r="AQ476" s="289"/>
      <c r="AR476" s="289"/>
      <c r="AS476" s="289"/>
      <c r="AT476" s="289"/>
    </row>
    <row r="477" spans="1:46" ht="15.75" customHeight="1" x14ac:dyDescent="0.25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  <c r="AC477" s="289"/>
      <c r="AD477" s="289"/>
      <c r="AE477" s="289"/>
      <c r="AF477" s="289"/>
      <c r="AG477" s="289"/>
      <c r="AH477" s="289"/>
      <c r="AI477" s="289"/>
      <c r="AJ477" s="289"/>
      <c r="AK477" s="289"/>
      <c r="AL477" s="289"/>
      <c r="AM477" s="289"/>
      <c r="AN477" s="289"/>
      <c r="AO477" s="289"/>
      <c r="AP477" s="289"/>
      <c r="AQ477" s="289"/>
      <c r="AR477" s="289"/>
      <c r="AS477" s="289"/>
      <c r="AT477" s="289"/>
    </row>
    <row r="478" spans="1:46" ht="15.75" customHeight="1" x14ac:dyDescent="0.25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  <c r="AC478" s="289"/>
      <c r="AD478" s="289"/>
      <c r="AE478" s="289"/>
      <c r="AF478" s="289"/>
      <c r="AG478" s="289"/>
      <c r="AH478" s="289"/>
      <c r="AI478" s="289"/>
      <c r="AJ478" s="289"/>
      <c r="AK478" s="289"/>
      <c r="AL478" s="289"/>
      <c r="AM478" s="289"/>
      <c r="AN478" s="289"/>
      <c r="AO478" s="289"/>
      <c r="AP478" s="289"/>
      <c r="AQ478" s="289"/>
      <c r="AR478" s="289"/>
      <c r="AS478" s="289"/>
      <c r="AT478" s="289"/>
    </row>
    <row r="479" spans="1:46" ht="15.75" customHeight="1" x14ac:dyDescent="0.25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  <c r="AC479" s="289"/>
      <c r="AD479" s="289"/>
      <c r="AE479" s="289"/>
      <c r="AF479" s="289"/>
      <c r="AG479" s="289"/>
      <c r="AH479" s="289"/>
      <c r="AI479" s="289"/>
      <c r="AJ479" s="289"/>
      <c r="AK479" s="289"/>
      <c r="AL479" s="289"/>
      <c r="AM479" s="289"/>
      <c r="AN479" s="289"/>
      <c r="AO479" s="289"/>
      <c r="AP479" s="289"/>
      <c r="AQ479" s="289"/>
      <c r="AR479" s="289"/>
      <c r="AS479" s="289"/>
      <c r="AT479" s="289"/>
    </row>
    <row r="480" spans="1:46" ht="15.75" customHeight="1" x14ac:dyDescent="0.25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  <c r="AC480" s="289"/>
      <c r="AD480" s="289"/>
      <c r="AE480" s="289"/>
      <c r="AF480" s="289"/>
      <c r="AG480" s="289"/>
      <c r="AH480" s="289"/>
      <c r="AI480" s="289"/>
      <c r="AJ480" s="289"/>
      <c r="AK480" s="289"/>
      <c r="AL480" s="289"/>
      <c r="AM480" s="289"/>
      <c r="AN480" s="289"/>
      <c r="AO480" s="289"/>
      <c r="AP480" s="289"/>
      <c r="AQ480" s="289"/>
      <c r="AR480" s="289"/>
      <c r="AS480" s="289"/>
      <c r="AT480" s="289"/>
    </row>
    <row r="481" spans="1:46" ht="15.75" customHeight="1" x14ac:dyDescent="0.25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289"/>
      <c r="AI481" s="289"/>
      <c r="AJ481" s="289"/>
      <c r="AK481" s="289"/>
      <c r="AL481" s="289"/>
      <c r="AM481" s="289"/>
      <c r="AN481" s="289"/>
      <c r="AO481" s="289"/>
      <c r="AP481" s="289"/>
      <c r="AQ481" s="289"/>
      <c r="AR481" s="289"/>
      <c r="AS481" s="289"/>
      <c r="AT481" s="289"/>
    </row>
    <row r="482" spans="1:46" ht="15.75" customHeight="1" x14ac:dyDescent="0.25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  <c r="AC482" s="289"/>
      <c r="AD482" s="289"/>
      <c r="AE482" s="289"/>
      <c r="AF482" s="289"/>
      <c r="AG482" s="289"/>
      <c r="AH482" s="289"/>
      <c r="AI482" s="289"/>
      <c r="AJ482" s="289"/>
      <c r="AK482" s="289"/>
      <c r="AL482" s="289"/>
      <c r="AM482" s="289"/>
      <c r="AN482" s="289"/>
      <c r="AO482" s="289"/>
      <c r="AP482" s="289"/>
      <c r="AQ482" s="289"/>
      <c r="AR482" s="289"/>
      <c r="AS482" s="289"/>
      <c r="AT482" s="289"/>
    </row>
    <row r="483" spans="1:46" ht="15.75" customHeight="1" x14ac:dyDescent="0.25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  <c r="AC483" s="289"/>
      <c r="AD483" s="289"/>
      <c r="AE483" s="289"/>
      <c r="AF483" s="289"/>
      <c r="AG483" s="289"/>
      <c r="AH483" s="289"/>
      <c r="AI483" s="289"/>
      <c r="AJ483" s="289"/>
      <c r="AK483" s="289"/>
      <c r="AL483" s="289"/>
      <c r="AM483" s="289"/>
      <c r="AN483" s="289"/>
      <c r="AO483" s="289"/>
      <c r="AP483" s="289"/>
      <c r="AQ483" s="289"/>
      <c r="AR483" s="289"/>
      <c r="AS483" s="289"/>
      <c r="AT483" s="289"/>
    </row>
    <row r="484" spans="1:46" ht="15.75" customHeight="1" x14ac:dyDescent="0.25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  <c r="AC484" s="289"/>
      <c r="AD484" s="289"/>
      <c r="AE484" s="289"/>
      <c r="AF484" s="289"/>
      <c r="AG484" s="289"/>
      <c r="AH484" s="289"/>
      <c r="AI484" s="289"/>
      <c r="AJ484" s="289"/>
      <c r="AK484" s="289"/>
      <c r="AL484" s="289"/>
      <c r="AM484" s="289"/>
      <c r="AN484" s="289"/>
      <c r="AO484" s="289"/>
      <c r="AP484" s="289"/>
      <c r="AQ484" s="289"/>
      <c r="AR484" s="289"/>
      <c r="AS484" s="289"/>
      <c r="AT484" s="289"/>
    </row>
    <row r="485" spans="1:46" ht="15.75" customHeight="1" x14ac:dyDescent="0.25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  <c r="AC485" s="289"/>
      <c r="AD485" s="289"/>
      <c r="AE485" s="289"/>
      <c r="AF485" s="289"/>
      <c r="AG485" s="289"/>
      <c r="AH485" s="289"/>
      <c r="AI485" s="289"/>
      <c r="AJ485" s="289"/>
      <c r="AK485" s="289"/>
      <c r="AL485" s="289"/>
      <c r="AM485" s="289"/>
      <c r="AN485" s="289"/>
      <c r="AO485" s="289"/>
      <c r="AP485" s="289"/>
      <c r="AQ485" s="289"/>
      <c r="AR485" s="289"/>
      <c r="AS485" s="289"/>
      <c r="AT485" s="289"/>
    </row>
    <row r="486" spans="1:46" ht="15.75" customHeight="1" x14ac:dyDescent="0.25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  <c r="AC486" s="289"/>
      <c r="AD486" s="289"/>
      <c r="AE486" s="289"/>
      <c r="AF486" s="289"/>
      <c r="AG486" s="289"/>
      <c r="AH486" s="289"/>
      <c r="AI486" s="289"/>
      <c r="AJ486" s="289"/>
      <c r="AK486" s="289"/>
      <c r="AL486" s="289"/>
      <c r="AM486" s="289"/>
      <c r="AN486" s="289"/>
      <c r="AO486" s="289"/>
      <c r="AP486" s="289"/>
      <c r="AQ486" s="289"/>
      <c r="AR486" s="289"/>
      <c r="AS486" s="289"/>
      <c r="AT486" s="289"/>
    </row>
    <row r="487" spans="1:46" ht="15.75" customHeight="1" x14ac:dyDescent="0.25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  <c r="AC487" s="289"/>
      <c r="AD487" s="289"/>
      <c r="AE487" s="289"/>
      <c r="AF487" s="289"/>
      <c r="AG487" s="289"/>
      <c r="AH487" s="289"/>
      <c r="AI487" s="289"/>
      <c r="AJ487" s="289"/>
      <c r="AK487" s="289"/>
      <c r="AL487" s="289"/>
      <c r="AM487" s="289"/>
      <c r="AN487" s="289"/>
      <c r="AO487" s="289"/>
      <c r="AP487" s="289"/>
      <c r="AQ487" s="289"/>
      <c r="AR487" s="289"/>
      <c r="AS487" s="289"/>
      <c r="AT487" s="289"/>
    </row>
    <row r="488" spans="1:46" ht="15.75" customHeight="1" x14ac:dyDescent="0.25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  <c r="AC488" s="289"/>
      <c r="AD488" s="289"/>
      <c r="AE488" s="289"/>
      <c r="AF488" s="289"/>
      <c r="AG488" s="289"/>
      <c r="AH488" s="289"/>
      <c r="AI488" s="289"/>
      <c r="AJ488" s="289"/>
      <c r="AK488" s="289"/>
      <c r="AL488" s="289"/>
      <c r="AM488" s="289"/>
      <c r="AN488" s="289"/>
      <c r="AO488" s="289"/>
      <c r="AP488" s="289"/>
      <c r="AQ488" s="289"/>
      <c r="AR488" s="289"/>
      <c r="AS488" s="289"/>
      <c r="AT488" s="289"/>
    </row>
    <row r="489" spans="1:46" ht="15.75" customHeight="1" x14ac:dyDescent="0.25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  <c r="AC489" s="289"/>
      <c r="AD489" s="289"/>
      <c r="AE489" s="289"/>
      <c r="AF489" s="289"/>
      <c r="AG489" s="289"/>
      <c r="AH489" s="289"/>
      <c r="AI489" s="289"/>
      <c r="AJ489" s="289"/>
      <c r="AK489" s="289"/>
      <c r="AL489" s="289"/>
      <c r="AM489" s="289"/>
      <c r="AN489" s="289"/>
      <c r="AO489" s="289"/>
      <c r="AP489" s="289"/>
      <c r="AQ489" s="289"/>
      <c r="AR489" s="289"/>
      <c r="AS489" s="289"/>
      <c r="AT489" s="289"/>
    </row>
    <row r="490" spans="1:46" ht="15.75" customHeight="1" x14ac:dyDescent="0.25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  <c r="AC490" s="289"/>
      <c r="AD490" s="289"/>
      <c r="AE490" s="289"/>
      <c r="AF490" s="289"/>
      <c r="AG490" s="289"/>
      <c r="AH490" s="289"/>
      <c r="AI490" s="289"/>
      <c r="AJ490" s="289"/>
      <c r="AK490" s="289"/>
      <c r="AL490" s="289"/>
      <c r="AM490" s="289"/>
      <c r="AN490" s="289"/>
      <c r="AO490" s="289"/>
      <c r="AP490" s="289"/>
      <c r="AQ490" s="289"/>
      <c r="AR490" s="289"/>
      <c r="AS490" s="289"/>
      <c r="AT490" s="289"/>
    </row>
    <row r="491" spans="1:46" ht="15.75" customHeight="1" x14ac:dyDescent="0.25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  <c r="AC491" s="289"/>
      <c r="AD491" s="289"/>
      <c r="AE491" s="289"/>
      <c r="AF491" s="289"/>
      <c r="AG491" s="289"/>
      <c r="AH491" s="289"/>
      <c r="AI491" s="289"/>
      <c r="AJ491" s="289"/>
      <c r="AK491" s="289"/>
      <c r="AL491" s="289"/>
      <c r="AM491" s="289"/>
      <c r="AN491" s="289"/>
      <c r="AO491" s="289"/>
      <c r="AP491" s="289"/>
      <c r="AQ491" s="289"/>
      <c r="AR491" s="289"/>
      <c r="AS491" s="289"/>
      <c r="AT491" s="289"/>
    </row>
    <row r="492" spans="1:46" ht="15.75" customHeight="1" x14ac:dyDescent="0.25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  <c r="AC492" s="289"/>
      <c r="AD492" s="289"/>
      <c r="AE492" s="289"/>
      <c r="AF492" s="289"/>
      <c r="AG492" s="289"/>
      <c r="AH492" s="289"/>
      <c r="AI492" s="289"/>
      <c r="AJ492" s="289"/>
      <c r="AK492" s="289"/>
      <c r="AL492" s="289"/>
      <c r="AM492" s="289"/>
      <c r="AN492" s="289"/>
      <c r="AO492" s="289"/>
      <c r="AP492" s="289"/>
      <c r="AQ492" s="289"/>
      <c r="AR492" s="289"/>
      <c r="AS492" s="289"/>
      <c r="AT492" s="289"/>
    </row>
    <row r="493" spans="1:46" ht="15.75" customHeight="1" x14ac:dyDescent="0.25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  <c r="AC493" s="289"/>
      <c r="AD493" s="289"/>
      <c r="AE493" s="289"/>
      <c r="AF493" s="289"/>
      <c r="AG493" s="289"/>
      <c r="AH493" s="289"/>
      <c r="AI493" s="289"/>
      <c r="AJ493" s="289"/>
      <c r="AK493" s="289"/>
      <c r="AL493" s="289"/>
      <c r="AM493" s="289"/>
      <c r="AN493" s="289"/>
      <c r="AO493" s="289"/>
      <c r="AP493" s="289"/>
      <c r="AQ493" s="289"/>
      <c r="AR493" s="289"/>
      <c r="AS493" s="289"/>
      <c r="AT493" s="289"/>
    </row>
    <row r="494" spans="1:46" ht="15.75" customHeight="1" x14ac:dyDescent="0.25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  <c r="AC494" s="289"/>
      <c r="AD494" s="289"/>
      <c r="AE494" s="289"/>
      <c r="AF494" s="289"/>
      <c r="AG494" s="289"/>
      <c r="AH494" s="289"/>
      <c r="AI494" s="289"/>
      <c r="AJ494" s="289"/>
      <c r="AK494" s="289"/>
      <c r="AL494" s="289"/>
      <c r="AM494" s="289"/>
      <c r="AN494" s="289"/>
      <c r="AO494" s="289"/>
      <c r="AP494" s="289"/>
      <c r="AQ494" s="289"/>
      <c r="AR494" s="289"/>
      <c r="AS494" s="289"/>
      <c r="AT494" s="289"/>
    </row>
    <row r="495" spans="1:46" ht="15.75" customHeight="1" x14ac:dyDescent="0.25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  <c r="AC495" s="289"/>
      <c r="AD495" s="289"/>
      <c r="AE495" s="289"/>
      <c r="AF495" s="289"/>
      <c r="AG495" s="289"/>
      <c r="AH495" s="289"/>
      <c r="AI495" s="289"/>
      <c r="AJ495" s="289"/>
      <c r="AK495" s="289"/>
      <c r="AL495" s="289"/>
      <c r="AM495" s="289"/>
      <c r="AN495" s="289"/>
      <c r="AO495" s="289"/>
      <c r="AP495" s="289"/>
      <c r="AQ495" s="289"/>
      <c r="AR495" s="289"/>
      <c r="AS495" s="289"/>
      <c r="AT495" s="289"/>
    </row>
    <row r="496" spans="1:46" ht="15.75" customHeight="1" x14ac:dyDescent="0.25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  <c r="AC496" s="289"/>
      <c r="AD496" s="289"/>
      <c r="AE496" s="289"/>
      <c r="AF496" s="289"/>
      <c r="AG496" s="289"/>
      <c r="AH496" s="289"/>
      <c r="AI496" s="289"/>
      <c r="AJ496" s="289"/>
      <c r="AK496" s="289"/>
      <c r="AL496" s="289"/>
      <c r="AM496" s="289"/>
      <c r="AN496" s="289"/>
      <c r="AO496" s="289"/>
      <c r="AP496" s="289"/>
      <c r="AQ496" s="289"/>
      <c r="AR496" s="289"/>
      <c r="AS496" s="289"/>
      <c r="AT496" s="289"/>
    </row>
    <row r="497" spans="1:46" ht="15.75" customHeight="1" x14ac:dyDescent="0.25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  <c r="AC497" s="289"/>
      <c r="AD497" s="289"/>
      <c r="AE497" s="289"/>
      <c r="AF497" s="289"/>
      <c r="AG497" s="289"/>
      <c r="AH497" s="289"/>
      <c r="AI497" s="289"/>
      <c r="AJ497" s="289"/>
      <c r="AK497" s="289"/>
      <c r="AL497" s="289"/>
      <c r="AM497" s="289"/>
      <c r="AN497" s="289"/>
      <c r="AO497" s="289"/>
      <c r="AP497" s="289"/>
      <c r="AQ497" s="289"/>
      <c r="AR497" s="289"/>
      <c r="AS497" s="289"/>
      <c r="AT497" s="289"/>
    </row>
    <row r="498" spans="1:46" ht="15.75" customHeight="1" x14ac:dyDescent="0.25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  <c r="AC498" s="289"/>
      <c r="AD498" s="289"/>
      <c r="AE498" s="289"/>
      <c r="AF498" s="289"/>
      <c r="AG498" s="289"/>
      <c r="AH498" s="289"/>
      <c r="AI498" s="289"/>
      <c r="AJ498" s="289"/>
      <c r="AK498" s="289"/>
      <c r="AL498" s="289"/>
      <c r="AM498" s="289"/>
      <c r="AN498" s="289"/>
      <c r="AO498" s="289"/>
      <c r="AP498" s="289"/>
      <c r="AQ498" s="289"/>
      <c r="AR498" s="289"/>
      <c r="AS498" s="289"/>
      <c r="AT498" s="289"/>
    </row>
    <row r="499" spans="1:46" ht="15.75" customHeight="1" x14ac:dyDescent="0.25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  <c r="AC499" s="289"/>
      <c r="AD499" s="289"/>
      <c r="AE499" s="289"/>
      <c r="AF499" s="289"/>
      <c r="AG499" s="289"/>
      <c r="AH499" s="289"/>
      <c r="AI499" s="289"/>
      <c r="AJ499" s="289"/>
      <c r="AK499" s="289"/>
      <c r="AL499" s="289"/>
      <c r="AM499" s="289"/>
      <c r="AN499" s="289"/>
      <c r="AO499" s="289"/>
      <c r="AP499" s="289"/>
      <c r="AQ499" s="289"/>
      <c r="AR499" s="289"/>
      <c r="AS499" s="289"/>
      <c r="AT499" s="289"/>
    </row>
    <row r="500" spans="1:46" ht="15.75" customHeight="1" x14ac:dyDescent="0.25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  <c r="AC500" s="289"/>
      <c r="AD500" s="289"/>
      <c r="AE500" s="289"/>
      <c r="AF500" s="289"/>
      <c r="AG500" s="289"/>
      <c r="AH500" s="289"/>
      <c r="AI500" s="289"/>
      <c r="AJ500" s="289"/>
      <c r="AK500" s="289"/>
      <c r="AL500" s="289"/>
      <c r="AM500" s="289"/>
      <c r="AN500" s="289"/>
      <c r="AO500" s="289"/>
      <c r="AP500" s="289"/>
      <c r="AQ500" s="289"/>
      <c r="AR500" s="289"/>
      <c r="AS500" s="289"/>
      <c r="AT500" s="289"/>
    </row>
    <row r="501" spans="1:46" ht="15.75" customHeight="1" x14ac:dyDescent="0.25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  <c r="AC501" s="289"/>
      <c r="AD501" s="289"/>
      <c r="AE501" s="289"/>
      <c r="AF501" s="289"/>
      <c r="AG501" s="289"/>
      <c r="AH501" s="289"/>
      <c r="AI501" s="289"/>
      <c r="AJ501" s="289"/>
      <c r="AK501" s="289"/>
      <c r="AL501" s="289"/>
      <c r="AM501" s="289"/>
      <c r="AN501" s="289"/>
      <c r="AO501" s="289"/>
      <c r="AP501" s="289"/>
      <c r="AQ501" s="289"/>
      <c r="AR501" s="289"/>
      <c r="AS501" s="289"/>
      <c r="AT501" s="289"/>
    </row>
    <row r="502" spans="1:46" ht="15.75" customHeight="1" x14ac:dyDescent="0.25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  <c r="AC502" s="289"/>
      <c r="AD502" s="289"/>
      <c r="AE502" s="289"/>
      <c r="AF502" s="289"/>
      <c r="AG502" s="289"/>
      <c r="AH502" s="289"/>
      <c r="AI502" s="289"/>
      <c r="AJ502" s="289"/>
      <c r="AK502" s="289"/>
      <c r="AL502" s="289"/>
      <c r="AM502" s="289"/>
      <c r="AN502" s="289"/>
      <c r="AO502" s="289"/>
      <c r="AP502" s="289"/>
      <c r="AQ502" s="289"/>
      <c r="AR502" s="289"/>
      <c r="AS502" s="289"/>
      <c r="AT502" s="289"/>
    </row>
    <row r="503" spans="1:46" ht="15.75" customHeight="1" x14ac:dyDescent="0.25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  <c r="AC503" s="289"/>
      <c r="AD503" s="289"/>
      <c r="AE503" s="289"/>
      <c r="AF503" s="289"/>
      <c r="AG503" s="289"/>
      <c r="AH503" s="289"/>
      <c r="AI503" s="289"/>
      <c r="AJ503" s="289"/>
      <c r="AK503" s="289"/>
      <c r="AL503" s="289"/>
      <c r="AM503" s="289"/>
      <c r="AN503" s="289"/>
      <c r="AO503" s="289"/>
      <c r="AP503" s="289"/>
      <c r="AQ503" s="289"/>
      <c r="AR503" s="289"/>
      <c r="AS503" s="289"/>
      <c r="AT503" s="289"/>
    </row>
    <row r="504" spans="1:46" ht="15.75" customHeight="1" x14ac:dyDescent="0.25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  <c r="AC504" s="289"/>
      <c r="AD504" s="289"/>
      <c r="AE504" s="289"/>
      <c r="AF504" s="289"/>
      <c r="AG504" s="289"/>
      <c r="AH504" s="289"/>
      <c r="AI504" s="289"/>
      <c r="AJ504" s="289"/>
      <c r="AK504" s="289"/>
      <c r="AL504" s="289"/>
      <c r="AM504" s="289"/>
      <c r="AN504" s="289"/>
      <c r="AO504" s="289"/>
      <c r="AP504" s="289"/>
      <c r="AQ504" s="289"/>
      <c r="AR504" s="289"/>
      <c r="AS504" s="289"/>
      <c r="AT504" s="289"/>
    </row>
    <row r="505" spans="1:46" ht="15.75" customHeight="1" x14ac:dyDescent="0.25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  <c r="AC505" s="289"/>
      <c r="AD505" s="289"/>
      <c r="AE505" s="289"/>
      <c r="AF505" s="289"/>
      <c r="AG505" s="289"/>
      <c r="AH505" s="289"/>
      <c r="AI505" s="289"/>
      <c r="AJ505" s="289"/>
      <c r="AK505" s="289"/>
      <c r="AL505" s="289"/>
      <c r="AM505" s="289"/>
      <c r="AN505" s="289"/>
      <c r="AO505" s="289"/>
      <c r="AP505" s="289"/>
      <c r="AQ505" s="289"/>
      <c r="AR505" s="289"/>
      <c r="AS505" s="289"/>
      <c r="AT505" s="289"/>
    </row>
    <row r="506" spans="1:46" ht="15.75" customHeight="1" x14ac:dyDescent="0.25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  <c r="AC506" s="289"/>
      <c r="AD506" s="289"/>
      <c r="AE506" s="289"/>
      <c r="AF506" s="289"/>
      <c r="AG506" s="289"/>
      <c r="AH506" s="289"/>
      <c r="AI506" s="289"/>
      <c r="AJ506" s="289"/>
      <c r="AK506" s="289"/>
      <c r="AL506" s="289"/>
      <c r="AM506" s="289"/>
      <c r="AN506" s="289"/>
      <c r="AO506" s="289"/>
      <c r="AP506" s="289"/>
      <c r="AQ506" s="289"/>
      <c r="AR506" s="289"/>
      <c r="AS506" s="289"/>
      <c r="AT506" s="289"/>
    </row>
    <row r="507" spans="1:46" ht="15.75" customHeight="1" x14ac:dyDescent="0.25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  <c r="AC507" s="289"/>
      <c r="AD507" s="289"/>
      <c r="AE507" s="289"/>
      <c r="AF507" s="289"/>
      <c r="AG507" s="289"/>
      <c r="AH507" s="289"/>
      <c r="AI507" s="289"/>
      <c r="AJ507" s="289"/>
      <c r="AK507" s="289"/>
      <c r="AL507" s="289"/>
      <c r="AM507" s="289"/>
      <c r="AN507" s="289"/>
      <c r="AO507" s="289"/>
      <c r="AP507" s="289"/>
      <c r="AQ507" s="289"/>
      <c r="AR507" s="289"/>
      <c r="AS507" s="289"/>
      <c r="AT507" s="289"/>
    </row>
    <row r="508" spans="1:46" ht="15.75" customHeight="1" x14ac:dyDescent="0.25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  <c r="AC508" s="289"/>
      <c r="AD508" s="289"/>
      <c r="AE508" s="289"/>
      <c r="AF508" s="289"/>
      <c r="AG508" s="289"/>
      <c r="AH508" s="289"/>
      <c r="AI508" s="289"/>
      <c r="AJ508" s="289"/>
      <c r="AK508" s="289"/>
      <c r="AL508" s="289"/>
      <c r="AM508" s="289"/>
      <c r="AN508" s="289"/>
      <c r="AO508" s="289"/>
      <c r="AP508" s="289"/>
      <c r="AQ508" s="289"/>
      <c r="AR508" s="289"/>
      <c r="AS508" s="289"/>
      <c r="AT508" s="289"/>
    </row>
    <row r="509" spans="1:46" ht="15.75" customHeight="1" x14ac:dyDescent="0.25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  <c r="AC509" s="289"/>
      <c r="AD509" s="289"/>
      <c r="AE509" s="289"/>
      <c r="AF509" s="289"/>
      <c r="AG509" s="289"/>
      <c r="AH509" s="289"/>
      <c r="AI509" s="289"/>
      <c r="AJ509" s="289"/>
      <c r="AK509" s="289"/>
      <c r="AL509" s="289"/>
      <c r="AM509" s="289"/>
      <c r="AN509" s="289"/>
      <c r="AO509" s="289"/>
      <c r="AP509" s="289"/>
      <c r="AQ509" s="289"/>
      <c r="AR509" s="289"/>
      <c r="AS509" s="289"/>
      <c r="AT509" s="289"/>
    </row>
    <row r="510" spans="1:46" ht="15.75" customHeight="1" x14ac:dyDescent="0.25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  <c r="AC510" s="289"/>
      <c r="AD510" s="289"/>
      <c r="AE510" s="289"/>
      <c r="AF510" s="289"/>
      <c r="AG510" s="289"/>
      <c r="AH510" s="289"/>
      <c r="AI510" s="289"/>
      <c r="AJ510" s="289"/>
      <c r="AK510" s="289"/>
      <c r="AL510" s="289"/>
      <c r="AM510" s="289"/>
      <c r="AN510" s="289"/>
      <c r="AO510" s="289"/>
      <c r="AP510" s="289"/>
      <c r="AQ510" s="289"/>
      <c r="AR510" s="289"/>
      <c r="AS510" s="289"/>
      <c r="AT510" s="289"/>
    </row>
    <row r="511" spans="1:46" ht="15.75" customHeight="1" x14ac:dyDescent="0.25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  <c r="AC511" s="289"/>
      <c r="AD511" s="289"/>
      <c r="AE511" s="289"/>
      <c r="AF511" s="289"/>
      <c r="AG511" s="289"/>
      <c r="AH511" s="289"/>
      <c r="AI511" s="289"/>
      <c r="AJ511" s="289"/>
      <c r="AK511" s="289"/>
      <c r="AL511" s="289"/>
      <c r="AM511" s="289"/>
      <c r="AN511" s="289"/>
      <c r="AO511" s="289"/>
      <c r="AP511" s="289"/>
      <c r="AQ511" s="289"/>
      <c r="AR511" s="289"/>
      <c r="AS511" s="289"/>
      <c r="AT511" s="289"/>
    </row>
    <row r="512" spans="1:46" ht="15.75" customHeight="1" x14ac:dyDescent="0.25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  <c r="AC512" s="289"/>
      <c r="AD512" s="289"/>
      <c r="AE512" s="289"/>
      <c r="AF512" s="289"/>
      <c r="AG512" s="289"/>
      <c r="AH512" s="289"/>
      <c r="AI512" s="289"/>
      <c r="AJ512" s="289"/>
      <c r="AK512" s="289"/>
      <c r="AL512" s="289"/>
      <c r="AM512" s="289"/>
      <c r="AN512" s="289"/>
      <c r="AO512" s="289"/>
      <c r="AP512" s="289"/>
      <c r="AQ512" s="289"/>
      <c r="AR512" s="289"/>
      <c r="AS512" s="289"/>
      <c r="AT512" s="289"/>
    </row>
    <row r="513" spans="1:46" ht="15.75" customHeight="1" x14ac:dyDescent="0.25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  <c r="AC513" s="289"/>
      <c r="AD513" s="289"/>
      <c r="AE513" s="289"/>
      <c r="AF513" s="289"/>
      <c r="AG513" s="289"/>
      <c r="AH513" s="289"/>
      <c r="AI513" s="289"/>
      <c r="AJ513" s="289"/>
      <c r="AK513" s="289"/>
      <c r="AL513" s="289"/>
      <c r="AM513" s="289"/>
      <c r="AN513" s="289"/>
      <c r="AO513" s="289"/>
      <c r="AP513" s="289"/>
      <c r="AQ513" s="289"/>
      <c r="AR513" s="289"/>
      <c r="AS513" s="289"/>
      <c r="AT513" s="289"/>
    </row>
    <row r="514" spans="1:46" ht="15.75" customHeight="1" x14ac:dyDescent="0.25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  <c r="AC514" s="289"/>
      <c r="AD514" s="289"/>
      <c r="AE514" s="289"/>
      <c r="AF514" s="289"/>
      <c r="AG514" s="289"/>
      <c r="AH514" s="289"/>
      <c r="AI514" s="289"/>
      <c r="AJ514" s="289"/>
      <c r="AK514" s="289"/>
      <c r="AL514" s="289"/>
      <c r="AM514" s="289"/>
      <c r="AN514" s="289"/>
      <c r="AO514" s="289"/>
      <c r="AP514" s="289"/>
      <c r="AQ514" s="289"/>
      <c r="AR514" s="289"/>
      <c r="AS514" s="289"/>
      <c r="AT514" s="289"/>
    </row>
    <row r="515" spans="1:46" ht="15.75" customHeight="1" x14ac:dyDescent="0.25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  <c r="AC515" s="289"/>
      <c r="AD515" s="289"/>
      <c r="AE515" s="289"/>
      <c r="AF515" s="289"/>
      <c r="AG515" s="289"/>
      <c r="AH515" s="289"/>
      <c r="AI515" s="289"/>
      <c r="AJ515" s="289"/>
      <c r="AK515" s="289"/>
      <c r="AL515" s="289"/>
      <c r="AM515" s="289"/>
      <c r="AN515" s="289"/>
      <c r="AO515" s="289"/>
      <c r="AP515" s="289"/>
      <c r="AQ515" s="289"/>
      <c r="AR515" s="289"/>
      <c r="AS515" s="289"/>
      <c r="AT515" s="289"/>
    </row>
    <row r="516" spans="1:46" ht="15.75" customHeight="1" x14ac:dyDescent="0.25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  <c r="AC516" s="289"/>
      <c r="AD516" s="289"/>
      <c r="AE516" s="289"/>
      <c r="AF516" s="289"/>
      <c r="AG516" s="289"/>
      <c r="AH516" s="289"/>
      <c r="AI516" s="289"/>
      <c r="AJ516" s="289"/>
      <c r="AK516" s="289"/>
      <c r="AL516" s="289"/>
      <c r="AM516" s="289"/>
      <c r="AN516" s="289"/>
      <c r="AO516" s="289"/>
      <c r="AP516" s="289"/>
      <c r="AQ516" s="289"/>
      <c r="AR516" s="289"/>
      <c r="AS516" s="289"/>
      <c r="AT516" s="289"/>
    </row>
    <row r="517" spans="1:46" ht="15.75" customHeight="1" x14ac:dyDescent="0.25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  <c r="AC517" s="289"/>
      <c r="AD517" s="289"/>
      <c r="AE517" s="289"/>
      <c r="AF517" s="289"/>
      <c r="AG517" s="289"/>
      <c r="AH517" s="289"/>
      <c r="AI517" s="289"/>
      <c r="AJ517" s="289"/>
      <c r="AK517" s="289"/>
      <c r="AL517" s="289"/>
      <c r="AM517" s="289"/>
      <c r="AN517" s="289"/>
      <c r="AO517" s="289"/>
      <c r="AP517" s="289"/>
      <c r="AQ517" s="289"/>
      <c r="AR517" s="289"/>
      <c r="AS517" s="289"/>
      <c r="AT517" s="289"/>
    </row>
    <row r="518" spans="1:46" ht="15.75" customHeight="1" x14ac:dyDescent="0.25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  <c r="AC518" s="289"/>
      <c r="AD518" s="289"/>
      <c r="AE518" s="289"/>
      <c r="AF518" s="289"/>
      <c r="AG518" s="289"/>
      <c r="AH518" s="289"/>
      <c r="AI518" s="289"/>
      <c r="AJ518" s="289"/>
      <c r="AK518" s="289"/>
      <c r="AL518" s="289"/>
      <c r="AM518" s="289"/>
      <c r="AN518" s="289"/>
      <c r="AO518" s="289"/>
      <c r="AP518" s="289"/>
      <c r="AQ518" s="289"/>
      <c r="AR518" s="289"/>
      <c r="AS518" s="289"/>
      <c r="AT518" s="289"/>
    </row>
    <row r="519" spans="1:46" ht="15.75" customHeight="1" x14ac:dyDescent="0.25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  <c r="AC519" s="289"/>
      <c r="AD519" s="289"/>
      <c r="AE519" s="289"/>
      <c r="AF519" s="289"/>
      <c r="AG519" s="289"/>
      <c r="AH519" s="289"/>
      <c r="AI519" s="289"/>
      <c r="AJ519" s="289"/>
      <c r="AK519" s="289"/>
      <c r="AL519" s="289"/>
      <c r="AM519" s="289"/>
      <c r="AN519" s="289"/>
      <c r="AO519" s="289"/>
      <c r="AP519" s="289"/>
      <c r="AQ519" s="289"/>
      <c r="AR519" s="289"/>
      <c r="AS519" s="289"/>
      <c r="AT519" s="289"/>
    </row>
    <row r="520" spans="1:46" ht="15.75" customHeight="1" x14ac:dyDescent="0.25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  <c r="AC520" s="289"/>
      <c r="AD520" s="289"/>
      <c r="AE520" s="289"/>
      <c r="AF520" s="289"/>
      <c r="AG520" s="289"/>
      <c r="AH520" s="289"/>
      <c r="AI520" s="289"/>
      <c r="AJ520" s="289"/>
      <c r="AK520" s="289"/>
      <c r="AL520" s="289"/>
      <c r="AM520" s="289"/>
      <c r="AN520" s="289"/>
      <c r="AO520" s="289"/>
      <c r="AP520" s="289"/>
      <c r="AQ520" s="289"/>
      <c r="AR520" s="289"/>
      <c r="AS520" s="289"/>
      <c r="AT520" s="289"/>
    </row>
    <row r="521" spans="1:46" ht="15.75" customHeight="1" x14ac:dyDescent="0.25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  <c r="AC521" s="289"/>
      <c r="AD521" s="289"/>
      <c r="AE521" s="289"/>
      <c r="AF521" s="289"/>
      <c r="AG521" s="289"/>
      <c r="AH521" s="289"/>
      <c r="AI521" s="289"/>
      <c r="AJ521" s="289"/>
      <c r="AK521" s="289"/>
      <c r="AL521" s="289"/>
      <c r="AM521" s="289"/>
      <c r="AN521" s="289"/>
      <c r="AO521" s="289"/>
      <c r="AP521" s="289"/>
      <c r="AQ521" s="289"/>
      <c r="AR521" s="289"/>
      <c r="AS521" s="289"/>
      <c r="AT521" s="289"/>
    </row>
    <row r="522" spans="1:46" ht="15.75" customHeight="1" x14ac:dyDescent="0.25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  <c r="AC522" s="289"/>
      <c r="AD522" s="289"/>
      <c r="AE522" s="289"/>
      <c r="AF522" s="289"/>
      <c r="AG522" s="289"/>
      <c r="AH522" s="289"/>
      <c r="AI522" s="289"/>
      <c r="AJ522" s="289"/>
      <c r="AK522" s="289"/>
      <c r="AL522" s="289"/>
      <c r="AM522" s="289"/>
      <c r="AN522" s="289"/>
      <c r="AO522" s="289"/>
      <c r="AP522" s="289"/>
      <c r="AQ522" s="289"/>
      <c r="AR522" s="289"/>
      <c r="AS522" s="289"/>
      <c r="AT522" s="289"/>
    </row>
    <row r="523" spans="1:46" ht="15.75" customHeight="1" x14ac:dyDescent="0.25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  <c r="AC523" s="289"/>
      <c r="AD523" s="289"/>
      <c r="AE523" s="289"/>
      <c r="AF523" s="289"/>
      <c r="AG523" s="289"/>
      <c r="AH523" s="289"/>
      <c r="AI523" s="289"/>
      <c r="AJ523" s="289"/>
      <c r="AK523" s="289"/>
      <c r="AL523" s="289"/>
      <c r="AM523" s="289"/>
      <c r="AN523" s="289"/>
      <c r="AO523" s="289"/>
      <c r="AP523" s="289"/>
      <c r="AQ523" s="289"/>
      <c r="AR523" s="289"/>
      <c r="AS523" s="289"/>
      <c r="AT523" s="289"/>
    </row>
    <row r="524" spans="1:46" ht="15.75" customHeight="1" x14ac:dyDescent="0.25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  <c r="AC524" s="289"/>
      <c r="AD524" s="289"/>
      <c r="AE524" s="289"/>
      <c r="AF524" s="289"/>
      <c r="AG524" s="289"/>
      <c r="AH524" s="289"/>
      <c r="AI524" s="289"/>
      <c r="AJ524" s="289"/>
      <c r="AK524" s="289"/>
      <c r="AL524" s="289"/>
      <c r="AM524" s="289"/>
      <c r="AN524" s="289"/>
      <c r="AO524" s="289"/>
      <c r="AP524" s="289"/>
      <c r="AQ524" s="289"/>
      <c r="AR524" s="289"/>
      <c r="AS524" s="289"/>
      <c r="AT524" s="289"/>
    </row>
    <row r="525" spans="1:46" ht="15.75" customHeight="1" x14ac:dyDescent="0.25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  <c r="AC525" s="289"/>
      <c r="AD525" s="289"/>
      <c r="AE525" s="289"/>
      <c r="AF525" s="289"/>
      <c r="AG525" s="289"/>
      <c r="AH525" s="289"/>
      <c r="AI525" s="289"/>
      <c r="AJ525" s="289"/>
      <c r="AK525" s="289"/>
      <c r="AL525" s="289"/>
      <c r="AM525" s="289"/>
      <c r="AN525" s="289"/>
      <c r="AO525" s="289"/>
      <c r="AP525" s="289"/>
      <c r="AQ525" s="289"/>
      <c r="AR525" s="289"/>
      <c r="AS525" s="289"/>
      <c r="AT525" s="289"/>
    </row>
    <row r="526" spans="1:46" ht="15.75" customHeight="1" x14ac:dyDescent="0.25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  <c r="AC526" s="289"/>
      <c r="AD526" s="289"/>
      <c r="AE526" s="289"/>
      <c r="AF526" s="289"/>
      <c r="AG526" s="289"/>
      <c r="AH526" s="289"/>
      <c r="AI526" s="289"/>
      <c r="AJ526" s="289"/>
      <c r="AK526" s="289"/>
      <c r="AL526" s="289"/>
      <c r="AM526" s="289"/>
      <c r="AN526" s="289"/>
      <c r="AO526" s="289"/>
      <c r="AP526" s="289"/>
      <c r="AQ526" s="289"/>
      <c r="AR526" s="289"/>
      <c r="AS526" s="289"/>
      <c r="AT526" s="289"/>
    </row>
    <row r="527" spans="1:46" ht="15.75" customHeight="1" x14ac:dyDescent="0.25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  <c r="AC527" s="289"/>
      <c r="AD527" s="289"/>
      <c r="AE527" s="289"/>
      <c r="AF527" s="289"/>
      <c r="AG527" s="289"/>
      <c r="AH527" s="289"/>
      <c r="AI527" s="289"/>
      <c r="AJ527" s="289"/>
      <c r="AK527" s="289"/>
      <c r="AL527" s="289"/>
      <c r="AM527" s="289"/>
      <c r="AN527" s="289"/>
      <c r="AO527" s="289"/>
      <c r="AP527" s="289"/>
      <c r="AQ527" s="289"/>
      <c r="AR527" s="289"/>
      <c r="AS527" s="289"/>
      <c r="AT527" s="289"/>
    </row>
    <row r="528" spans="1:46" ht="15.75" customHeight="1" x14ac:dyDescent="0.25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  <c r="AC528" s="289"/>
      <c r="AD528" s="289"/>
      <c r="AE528" s="289"/>
      <c r="AF528" s="289"/>
      <c r="AG528" s="289"/>
      <c r="AH528" s="289"/>
      <c r="AI528" s="289"/>
      <c r="AJ528" s="289"/>
      <c r="AK528" s="289"/>
      <c r="AL528" s="289"/>
      <c r="AM528" s="289"/>
      <c r="AN528" s="289"/>
      <c r="AO528" s="289"/>
      <c r="AP528" s="289"/>
      <c r="AQ528" s="289"/>
      <c r="AR528" s="289"/>
      <c r="AS528" s="289"/>
      <c r="AT528" s="289"/>
    </row>
    <row r="529" spans="1:46" ht="15.75" customHeight="1" x14ac:dyDescent="0.25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  <c r="AC529" s="289"/>
      <c r="AD529" s="289"/>
      <c r="AE529" s="289"/>
      <c r="AF529" s="289"/>
      <c r="AG529" s="289"/>
      <c r="AH529" s="289"/>
      <c r="AI529" s="289"/>
      <c r="AJ529" s="289"/>
      <c r="AK529" s="289"/>
      <c r="AL529" s="289"/>
      <c r="AM529" s="289"/>
      <c r="AN529" s="289"/>
      <c r="AO529" s="289"/>
      <c r="AP529" s="289"/>
      <c r="AQ529" s="289"/>
      <c r="AR529" s="289"/>
      <c r="AS529" s="289"/>
      <c r="AT529" s="289"/>
    </row>
    <row r="530" spans="1:46" ht="15.75" customHeight="1" x14ac:dyDescent="0.25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  <c r="AC530" s="289"/>
      <c r="AD530" s="289"/>
      <c r="AE530" s="289"/>
      <c r="AF530" s="289"/>
      <c r="AG530" s="289"/>
      <c r="AH530" s="289"/>
      <c r="AI530" s="289"/>
      <c r="AJ530" s="289"/>
      <c r="AK530" s="289"/>
      <c r="AL530" s="289"/>
      <c r="AM530" s="289"/>
      <c r="AN530" s="289"/>
      <c r="AO530" s="289"/>
      <c r="AP530" s="289"/>
      <c r="AQ530" s="289"/>
      <c r="AR530" s="289"/>
      <c r="AS530" s="289"/>
      <c r="AT530" s="289"/>
    </row>
    <row r="531" spans="1:46" ht="15.75" customHeight="1" x14ac:dyDescent="0.25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  <c r="AC531" s="289"/>
      <c r="AD531" s="289"/>
      <c r="AE531" s="289"/>
      <c r="AF531" s="289"/>
      <c r="AG531" s="289"/>
      <c r="AH531" s="289"/>
      <c r="AI531" s="289"/>
      <c r="AJ531" s="289"/>
      <c r="AK531" s="289"/>
      <c r="AL531" s="289"/>
      <c r="AM531" s="289"/>
      <c r="AN531" s="289"/>
      <c r="AO531" s="289"/>
      <c r="AP531" s="289"/>
      <c r="AQ531" s="289"/>
      <c r="AR531" s="289"/>
      <c r="AS531" s="289"/>
      <c r="AT531" s="289"/>
    </row>
    <row r="532" spans="1:46" ht="15.75" customHeight="1" x14ac:dyDescent="0.25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  <c r="AC532" s="289"/>
      <c r="AD532" s="289"/>
      <c r="AE532" s="289"/>
      <c r="AF532" s="289"/>
      <c r="AG532" s="289"/>
      <c r="AH532" s="289"/>
      <c r="AI532" s="289"/>
      <c r="AJ532" s="289"/>
      <c r="AK532" s="289"/>
      <c r="AL532" s="289"/>
      <c r="AM532" s="289"/>
      <c r="AN532" s="289"/>
      <c r="AO532" s="289"/>
      <c r="AP532" s="289"/>
      <c r="AQ532" s="289"/>
      <c r="AR532" s="289"/>
      <c r="AS532" s="289"/>
      <c r="AT532" s="289"/>
    </row>
    <row r="533" spans="1:46" ht="15.75" customHeight="1" x14ac:dyDescent="0.25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  <c r="AC533" s="289"/>
      <c r="AD533" s="289"/>
      <c r="AE533" s="289"/>
      <c r="AF533" s="289"/>
      <c r="AG533" s="289"/>
      <c r="AH533" s="289"/>
      <c r="AI533" s="289"/>
      <c r="AJ533" s="289"/>
      <c r="AK533" s="289"/>
      <c r="AL533" s="289"/>
      <c r="AM533" s="289"/>
      <c r="AN533" s="289"/>
      <c r="AO533" s="289"/>
      <c r="AP533" s="289"/>
      <c r="AQ533" s="289"/>
      <c r="AR533" s="289"/>
      <c r="AS533" s="289"/>
      <c r="AT533" s="289"/>
    </row>
    <row r="534" spans="1:46" ht="15.75" customHeight="1" x14ac:dyDescent="0.25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  <c r="AC534" s="289"/>
      <c r="AD534" s="289"/>
      <c r="AE534" s="289"/>
      <c r="AF534" s="289"/>
      <c r="AG534" s="289"/>
      <c r="AH534" s="289"/>
      <c r="AI534" s="289"/>
      <c r="AJ534" s="289"/>
      <c r="AK534" s="289"/>
      <c r="AL534" s="289"/>
      <c r="AM534" s="289"/>
      <c r="AN534" s="289"/>
      <c r="AO534" s="289"/>
      <c r="AP534" s="289"/>
      <c r="AQ534" s="289"/>
      <c r="AR534" s="289"/>
      <c r="AS534" s="289"/>
      <c r="AT534" s="289"/>
    </row>
    <row r="535" spans="1:46" ht="15.75" customHeight="1" x14ac:dyDescent="0.25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  <c r="AC535" s="289"/>
      <c r="AD535" s="289"/>
      <c r="AE535" s="289"/>
      <c r="AF535" s="289"/>
      <c r="AG535" s="289"/>
      <c r="AH535" s="289"/>
      <c r="AI535" s="289"/>
      <c r="AJ535" s="289"/>
      <c r="AK535" s="289"/>
      <c r="AL535" s="289"/>
      <c r="AM535" s="289"/>
      <c r="AN535" s="289"/>
      <c r="AO535" s="289"/>
      <c r="AP535" s="289"/>
      <c r="AQ535" s="289"/>
      <c r="AR535" s="289"/>
      <c r="AS535" s="289"/>
      <c r="AT535" s="289"/>
    </row>
    <row r="536" spans="1:46" ht="15.75" customHeight="1" x14ac:dyDescent="0.25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  <c r="AC536" s="289"/>
      <c r="AD536" s="289"/>
      <c r="AE536" s="289"/>
      <c r="AF536" s="289"/>
      <c r="AG536" s="289"/>
      <c r="AH536" s="289"/>
      <c r="AI536" s="289"/>
      <c r="AJ536" s="289"/>
      <c r="AK536" s="289"/>
      <c r="AL536" s="289"/>
      <c r="AM536" s="289"/>
      <c r="AN536" s="289"/>
      <c r="AO536" s="289"/>
      <c r="AP536" s="289"/>
      <c r="AQ536" s="289"/>
      <c r="AR536" s="289"/>
      <c r="AS536" s="289"/>
      <c r="AT536" s="289"/>
    </row>
    <row r="537" spans="1:46" ht="15.75" customHeight="1" x14ac:dyDescent="0.25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  <c r="AC537" s="289"/>
      <c r="AD537" s="289"/>
      <c r="AE537" s="289"/>
      <c r="AF537" s="289"/>
      <c r="AG537" s="289"/>
      <c r="AH537" s="289"/>
      <c r="AI537" s="289"/>
      <c r="AJ537" s="289"/>
      <c r="AK537" s="289"/>
      <c r="AL537" s="289"/>
      <c r="AM537" s="289"/>
      <c r="AN537" s="289"/>
      <c r="AO537" s="289"/>
      <c r="AP537" s="289"/>
      <c r="AQ537" s="289"/>
      <c r="AR537" s="289"/>
      <c r="AS537" s="289"/>
      <c r="AT537" s="289"/>
    </row>
    <row r="538" spans="1:46" ht="15.75" customHeight="1" x14ac:dyDescent="0.25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  <c r="AC538" s="289"/>
      <c r="AD538" s="289"/>
      <c r="AE538" s="289"/>
      <c r="AF538" s="289"/>
      <c r="AG538" s="289"/>
      <c r="AH538" s="289"/>
      <c r="AI538" s="289"/>
      <c r="AJ538" s="289"/>
      <c r="AK538" s="289"/>
      <c r="AL538" s="289"/>
      <c r="AM538" s="289"/>
      <c r="AN538" s="289"/>
      <c r="AO538" s="289"/>
      <c r="AP538" s="289"/>
      <c r="AQ538" s="289"/>
      <c r="AR538" s="289"/>
      <c r="AS538" s="289"/>
      <c r="AT538" s="289"/>
    </row>
    <row r="539" spans="1:46" ht="15.75" customHeight="1" x14ac:dyDescent="0.25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  <c r="AC539" s="289"/>
      <c r="AD539" s="289"/>
      <c r="AE539" s="289"/>
      <c r="AF539" s="289"/>
      <c r="AG539" s="289"/>
      <c r="AH539" s="289"/>
      <c r="AI539" s="289"/>
      <c r="AJ539" s="289"/>
      <c r="AK539" s="289"/>
      <c r="AL539" s="289"/>
      <c r="AM539" s="289"/>
      <c r="AN539" s="289"/>
      <c r="AO539" s="289"/>
      <c r="AP539" s="289"/>
      <c r="AQ539" s="289"/>
      <c r="AR539" s="289"/>
      <c r="AS539" s="289"/>
      <c r="AT539" s="289"/>
    </row>
    <row r="540" spans="1:46" ht="15.75" customHeight="1" x14ac:dyDescent="0.25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  <c r="AC540" s="289"/>
      <c r="AD540" s="289"/>
      <c r="AE540" s="289"/>
      <c r="AF540" s="289"/>
      <c r="AG540" s="289"/>
      <c r="AH540" s="289"/>
      <c r="AI540" s="289"/>
      <c r="AJ540" s="289"/>
      <c r="AK540" s="289"/>
      <c r="AL540" s="289"/>
      <c r="AM540" s="289"/>
      <c r="AN540" s="289"/>
      <c r="AO540" s="289"/>
      <c r="AP540" s="289"/>
      <c r="AQ540" s="289"/>
      <c r="AR540" s="289"/>
      <c r="AS540" s="289"/>
      <c r="AT540" s="289"/>
    </row>
    <row r="541" spans="1:46" ht="15.75" customHeight="1" x14ac:dyDescent="0.25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  <c r="AC541" s="289"/>
      <c r="AD541" s="289"/>
      <c r="AE541" s="289"/>
      <c r="AF541" s="289"/>
      <c r="AG541" s="289"/>
      <c r="AH541" s="289"/>
      <c r="AI541" s="289"/>
      <c r="AJ541" s="289"/>
      <c r="AK541" s="289"/>
      <c r="AL541" s="289"/>
      <c r="AM541" s="289"/>
      <c r="AN541" s="289"/>
      <c r="AO541" s="289"/>
      <c r="AP541" s="289"/>
      <c r="AQ541" s="289"/>
      <c r="AR541" s="289"/>
      <c r="AS541" s="289"/>
      <c r="AT541" s="289"/>
    </row>
    <row r="542" spans="1:46" ht="15.75" customHeight="1" x14ac:dyDescent="0.25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  <c r="AC542" s="289"/>
      <c r="AD542" s="289"/>
      <c r="AE542" s="289"/>
      <c r="AF542" s="289"/>
      <c r="AG542" s="289"/>
      <c r="AH542" s="289"/>
      <c r="AI542" s="289"/>
      <c r="AJ542" s="289"/>
      <c r="AK542" s="289"/>
      <c r="AL542" s="289"/>
      <c r="AM542" s="289"/>
      <c r="AN542" s="289"/>
      <c r="AO542" s="289"/>
      <c r="AP542" s="289"/>
      <c r="AQ542" s="289"/>
      <c r="AR542" s="289"/>
      <c r="AS542" s="289"/>
      <c r="AT542" s="289"/>
    </row>
    <row r="543" spans="1:46" ht="15.75" customHeight="1" x14ac:dyDescent="0.25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  <c r="AC543" s="289"/>
      <c r="AD543" s="289"/>
      <c r="AE543" s="289"/>
      <c r="AF543" s="289"/>
      <c r="AG543" s="289"/>
      <c r="AH543" s="289"/>
      <c r="AI543" s="289"/>
      <c r="AJ543" s="289"/>
      <c r="AK543" s="289"/>
      <c r="AL543" s="289"/>
      <c r="AM543" s="289"/>
      <c r="AN543" s="289"/>
      <c r="AO543" s="289"/>
      <c r="AP543" s="289"/>
      <c r="AQ543" s="289"/>
      <c r="AR543" s="289"/>
      <c r="AS543" s="289"/>
      <c r="AT543" s="289"/>
    </row>
    <row r="544" spans="1:46" ht="15.75" customHeight="1" x14ac:dyDescent="0.25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  <c r="AC544" s="289"/>
      <c r="AD544" s="289"/>
      <c r="AE544" s="289"/>
      <c r="AF544" s="289"/>
      <c r="AG544" s="289"/>
      <c r="AH544" s="289"/>
      <c r="AI544" s="289"/>
      <c r="AJ544" s="289"/>
      <c r="AK544" s="289"/>
      <c r="AL544" s="289"/>
      <c r="AM544" s="289"/>
      <c r="AN544" s="289"/>
      <c r="AO544" s="289"/>
      <c r="AP544" s="289"/>
      <c r="AQ544" s="289"/>
      <c r="AR544" s="289"/>
      <c r="AS544" s="289"/>
      <c r="AT544" s="289"/>
    </row>
    <row r="545" spans="1:46" ht="15.75" customHeight="1" x14ac:dyDescent="0.25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  <c r="AR545" s="289"/>
      <c r="AS545" s="289"/>
      <c r="AT545" s="289"/>
    </row>
    <row r="546" spans="1:46" ht="15.75" customHeight="1" x14ac:dyDescent="0.25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  <c r="AC546" s="289"/>
      <c r="AD546" s="289"/>
      <c r="AE546" s="289"/>
      <c r="AF546" s="289"/>
      <c r="AG546" s="289"/>
      <c r="AH546" s="289"/>
      <c r="AI546" s="289"/>
      <c r="AJ546" s="289"/>
      <c r="AK546" s="289"/>
      <c r="AL546" s="289"/>
      <c r="AM546" s="289"/>
      <c r="AN546" s="289"/>
      <c r="AO546" s="289"/>
      <c r="AP546" s="289"/>
      <c r="AQ546" s="289"/>
      <c r="AR546" s="289"/>
      <c r="AS546" s="289"/>
      <c r="AT546" s="289"/>
    </row>
    <row r="547" spans="1:46" ht="15.75" customHeight="1" x14ac:dyDescent="0.25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  <c r="AR547" s="289"/>
      <c r="AS547" s="289"/>
      <c r="AT547" s="289"/>
    </row>
    <row r="548" spans="1:46" ht="15.75" customHeight="1" x14ac:dyDescent="0.25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  <c r="AD548" s="289"/>
      <c r="AE548" s="289"/>
      <c r="AF548" s="289"/>
      <c r="AG548" s="289"/>
      <c r="AH548" s="289"/>
      <c r="AI548" s="289"/>
      <c r="AJ548" s="289"/>
      <c r="AK548" s="289"/>
      <c r="AL548" s="289"/>
      <c r="AM548" s="289"/>
      <c r="AN548" s="289"/>
      <c r="AO548" s="289"/>
      <c r="AP548" s="289"/>
      <c r="AQ548" s="289"/>
      <c r="AR548" s="289"/>
      <c r="AS548" s="289"/>
      <c r="AT548" s="289"/>
    </row>
    <row r="549" spans="1:46" ht="15.75" customHeight="1" x14ac:dyDescent="0.25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  <c r="AC549" s="289"/>
      <c r="AD549" s="289"/>
      <c r="AE549" s="289"/>
      <c r="AF549" s="289"/>
      <c r="AG549" s="289"/>
      <c r="AH549" s="289"/>
      <c r="AI549" s="289"/>
      <c r="AJ549" s="289"/>
      <c r="AK549" s="289"/>
      <c r="AL549" s="289"/>
      <c r="AM549" s="289"/>
      <c r="AN549" s="289"/>
      <c r="AO549" s="289"/>
      <c r="AP549" s="289"/>
      <c r="AQ549" s="289"/>
      <c r="AR549" s="289"/>
      <c r="AS549" s="289"/>
      <c r="AT549" s="289"/>
    </row>
    <row r="550" spans="1:46" ht="15.75" customHeight="1" x14ac:dyDescent="0.25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  <c r="AC550" s="289"/>
      <c r="AD550" s="289"/>
      <c r="AE550" s="289"/>
      <c r="AF550" s="289"/>
      <c r="AG550" s="289"/>
      <c r="AH550" s="289"/>
      <c r="AI550" s="289"/>
      <c r="AJ550" s="289"/>
      <c r="AK550" s="289"/>
      <c r="AL550" s="289"/>
      <c r="AM550" s="289"/>
      <c r="AN550" s="289"/>
      <c r="AO550" s="289"/>
      <c r="AP550" s="289"/>
      <c r="AQ550" s="289"/>
      <c r="AR550" s="289"/>
      <c r="AS550" s="289"/>
      <c r="AT550" s="289"/>
    </row>
    <row r="551" spans="1:46" ht="15.75" customHeight="1" x14ac:dyDescent="0.25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  <c r="AC551" s="289"/>
      <c r="AD551" s="289"/>
      <c r="AE551" s="289"/>
      <c r="AF551" s="289"/>
      <c r="AG551" s="289"/>
      <c r="AH551" s="289"/>
      <c r="AI551" s="289"/>
      <c r="AJ551" s="289"/>
      <c r="AK551" s="289"/>
      <c r="AL551" s="289"/>
      <c r="AM551" s="289"/>
      <c r="AN551" s="289"/>
      <c r="AO551" s="289"/>
      <c r="AP551" s="289"/>
      <c r="AQ551" s="289"/>
      <c r="AR551" s="289"/>
      <c r="AS551" s="289"/>
      <c r="AT551" s="289"/>
    </row>
    <row r="552" spans="1:46" ht="15.75" customHeight="1" x14ac:dyDescent="0.25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  <c r="AC552" s="289"/>
      <c r="AD552" s="289"/>
      <c r="AE552" s="289"/>
      <c r="AF552" s="289"/>
      <c r="AG552" s="289"/>
      <c r="AH552" s="289"/>
      <c r="AI552" s="289"/>
      <c r="AJ552" s="289"/>
      <c r="AK552" s="289"/>
      <c r="AL552" s="289"/>
      <c r="AM552" s="289"/>
      <c r="AN552" s="289"/>
      <c r="AO552" s="289"/>
      <c r="AP552" s="289"/>
      <c r="AQ552" s="289"/>
      <c r="AR552" s="289"/>
      <c r="AS552" s="289"/>
      <c r="AT552" s="289"/>
    </row>
    <row r="553" spans="1:46" ht="15.75" customHeight="1" x14ac:dyDescent="0.25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  <c r="AC553" s="289"/>
      <c r="AD553" s="289"/>
      <c r="AE553" s="289"/>
      <c r="AF553" s="289"/>
      <c r="AG553" s="289"/>
      <c r="AH553" s="289"/>
      <c r="AI553" s="289"/>
      <c r="AJ553" s="289"/>
      <c r="AK553" s="289"/>
      <c r="AL553" s="289"/>
      <c r="AM553" s="289"/>
      <c r="AN553" s="289"/>
      <c r="AO553" s="289"/>
      <c r="AP553" s="289"/>
      <c r="AQ553" s="289"/>
      <c r="AR553" s="289"/>
      <c r="AS553" s="289"/>
      <c r="AT553" s="289"/>
    </row>
    <row r="554" spans="1:46" ht="15.75" customHeight="1" x14ac:dyDescent="0.25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  <c r="AC554" s="289"/>
      <c r="AD554" s="289"/>
      <c r="AE554" s="289"/>
      <c r="AF554" s="289"/>
      <c r="AG554" s="289"/>
      <c r="AH554" s="289"/>
      <c r="AI554" s="289"/>
      <c r="AJ554" s="289"/>
      <c r="AK554" s="289"/>
      <c r="AL554" s="289"/>
      <c r="AM554" s="289"/>
      <c r="AN554" s="289"/>
      <c r="AO554" s="289"/>
      <c r="AP554" s="289"/>
      <c r="AQ554" s="289"/>
      <c r="AR554" s="289"/>
      <c r="AS554" s="289"/>
      <c r="AT554" s="289"/>
    </row>
    <row r="555" spans="1:46" ht="15.75" customHeight="1" x14ac:dyDescent="0.25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  <c r="AC555" s="289"/>
      <c r="AD555" s="289"/>
      <c r="AE555" s="289"/>
      <c r="AF555" s="289"/>
      <c r="AG555" s="289"/>
      <c r="AH555" s="289"/>
      <c r="AI555" s="289"/>
      <c r="AJ555" s="289"/>
      <c r="AK555" s="289"/>
      <c r="AL555" s="289"/>
      <c r="AM555" s="289"/>
      <c r="AN555" s="289"/>
      <c r="AO555" s="289"/>
      <c r="AP555" s="289"/>
      <c r="AQ555" s="289"/>
      <c r="AR555" s="289"/>
      <c r="AS555" s="289"/>
      <c r="AT555" s="289"/>
    </row>
    <row r="556" spans="1:46" ht="15.75" customHeight="1" x14ac:dyDescent="0.25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  <c r="AC556" s="289"/>
      <c r="AD556" s="289"/>
      <c r="AE556" s="289"/>
      <c r="AF556" s="289"/>
      <c r="AG556" s="289"/>
      <c r="AH556" s="289"/>
      <c r="AI556" s="289"/>
      <c r="AJ556" s="289"/>
      <c r="AK556" s="289"/>
      <c r="AL556" s="289"/>
      <c r="AM556" s="289"/>
      <c r="AN556" s="289"/>
      <c r="AO556" s="289"/>
      <c r="AP556" s="289"/>
      <c r="AQ556" s="289"/>
      <c r="AR556" s="289"/>
      <c r="AS556" s="289"/>
      <c r="AT556" s="289"/>
    </row>
    <row r="557" spans="1:46" ht="15.75" customHeight="1" x14ac:dyDescent="0.25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  <c r="AC557" s="289"/>
      <c r="AD557" s="289"/>
      <c r="AE557" s="289"/>
      <c r="AF557" s="289"/>
      <c r="AG557" s="289"/>
      <c r="AH557" s="289"/>
      <c r="AI557" s="289"/>
      <c r="AJ557" s="289"/>
      <c r="AK557" s="289"/>
      <c r="AL557" s="289"/>
      <c r="AM557" s="289"/>
      <c r="AN557" s="289"/>
      <c r="AO557" s="289"/>
      <c r="AP557" s="289"/>
      <c r="AQ557" s="289"/>
      <c r="AR557" s="289"/>
      <c r="AS557" s="289"/>
      <c r="AT557" s="289"/>
    </row>
    <row r="558" spans="1:46" ht="15.75" customHeight="1" x14ac:dyDescent="0.25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  <c r="AC558" s="289"/>
      <c r="AD558" s="289"/>
      <c r="AE558" s="289"/>
      <c r="AF558" s="289"/>
      <c r="AG558" s="289"/>
      <c r="AH558" s="289"/>
      <c r="AI558" s="289"/>
      <c r="AJ558" s="289"/>
      <c r="AK558" s="289"/>
      <c r="AL558" s="289"/>
      <c r="AM558" s="289"/>
      <c r="AN558" s="289"/>
      <c r="AO558" s="289"/>
      <c r="AP558" s="289"/>
      <c r="AQ558" s="289"/>
      <c r="AR558" s="289"/>
      <c r="AS558" s="289"/>
      <c r="AT558" s="289"/>
    </row>
    <row r="559" spans="1:46" ht="15.75" customHeight="1" x14ac:dyDescent="0.25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  <c r="AC559" s="289"/>
      <c r="AD559" s="289"/>
      <c r="AE559" s="289"/>
      <c r="AF559" s="289"/>
      <c r="AG559" s="289"/>
      <c r="AH559" s="289"/>
      <c r="AI559" s="289"/>
      <c r="AJ559" s="289"/>
      <c r="AK559" s="289"/>
      <c r="AL559" s="289"/>
      <c r="AM559" s="289"/>
      <c r="AN559" s="289"/>
      <c r="AO559" s="289"/>
      <c r="AP559" s="289"/>
      <c r="AQ559" s="289"/>
      <c r="AR559" s="289"/>
      <c r="AS559" s="289"/>
      <c r="AT559" s="289"/>
    </row>
    <row r="560" spans="1:46" ht="15.75" customHeight="1" x14ac:dyDescent="0.25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  <c r="AC560" s="289"/>
      <c r="AD560" s="289"/>
      <c r="AE560" s="289"/>
      <c r="AF560" s="289"/>
      <c r="AG560" s="289"/>
      <c r="AH560" s="289"/>
      <c r="AI560" s="289"/>
      <c r="AJ560" s="289"/>
      <c r="AK560" s="289"/>
      <c r="AL560" s="289"/>
      <c r="AM560" s="289"/>
      <c r="AN560" s="289"/>
      <c r="AO560" s="289"/>
      <c r="AP560" s="289"/>
      <c r="AQ560" s="289"/>
      <c r="AR560" s="289"/>
      <c r="AS560" s="289"/>
      <c r="AT560" s="289"/>
    </row>
    <row r="561" spans="1:46" ht="15.75" customHeight="1" x14ac:dyDescent="0.25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  <c r="AC561" s="289"/>
      <c r="AD561" s="289"/>
      <c r="AE561" s="289"/>
      <c r="AF561" s="289"/>
      <c r="AG561" s="289"/>
      <c r="AH561" s="289"/>
      <c r="AI561" s="289"/>
      <c r="AJ561" s="289"/>
      <c r="AK561" s="289"/>
      <c r="AL561" s="289"/>
      <c r="AM561" s="289"/>
      <c r="AN561" s="289"/>
      <c r="AO561" s="289"/>
      <c r="AP561" s="289"/>
      <c r="AQ561" s="289"/>
      <c r="AR561" s="289"/>
      <c r="AS561" s="289"/>
      <c r="AT561" s="289"/>
    </row>
    <row r="562" spans="1:46" ht="15.75" customHeight="1" x14ac:dyDescent="0.25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  <c r="AC562" s="289"/>
      <c r="AD562" s="289"/>
      <c r="AE562" s="289"/>
      <c r="AF562" s="289"/>
      <c r="AG562" s="289"/>
      <c r="AH562" s="289"/>
      <c r="AI562" s="289"/>
      <c r="AJ562" s="289"/>
      <c r="AK562" s="289"/>
      <c r="AL562" s="289"/>
      <c r="AM562" s="289"/>
      <c r="AN562" s="289"/>
      <c r="AO562" s="289"/>
      <c r="AP562" s="289"/>
      <c r="AQ562" s="289"/>
      <c r="AR562" s="289"/>
      <c r="AS562" s="289"/>
      <c r="AT562" s="289"/>
    </row>
    <row r="563" spans="1:46" ht="15.75" customHeight="1" x14ac:dyDescent="0.25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  <c r="AC563" s="289"/>
      <c r="AD563" s="289"/>
      <c r="AE563" s="289"/>
      <c r="AF563" s="289"/>
      <c r="AG563" s="289"/>
      <c r="AH563" s="289"/>
      <c r="AI563" s="289"/>
      <c r="AJ563" s="289"/>
      <c r="AK563" s="289"/>
      <c r="AL563" s="289"/>
      <c r="AM563" s="289"/>
      <c r="AN563" s="289"/>
      <c r="AO563" s="289"/>
      <c r="AP563" s="289"/>
      <c r="AQ563" s="289"/>
      <c r="AR563" s="289"/>
      <c r="AS563" s="289"/>
      <c r="AT563" s="289"/>
    </row>
    <row r="564" spans="1:46" ht="15.75" customHeight="1" x14ac:dyDescent="0.25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  <c r="AC564" s="289"/>
      <c r="AD564" s="289"/>
      <c r="AE564" s="289"/>
      <c r="AF564" s="289"/>
      <c r="AG564" s="289"/>
      <c r="AH564" s="289"/>
      <c r="AI564" s="289"/>
      <c r="AJ564" s="289"/>
      <c r="AK564" s="289"/>
      <c r="AL564" s="289"/>
      <c r="AM564" s="289"/>
      <c r="AN564" s="289"/>
      <c r="AO564" s="289"/>
      <c r="AP564" s="289"/>
      <c r="AQ564" s="289"/>
      <c r="AR564" s="289"/>
      <c r="AS564" s="289"/>
      <c r="AT564" s="289"/>
    </row>
    <row r="565" spans="1:46" ht="15.75" customHeight="1" x14ac:dyDescent="0.25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  <c r="AC565" s="289"/>
      <c r="AD565" s="289"/>
      <c r="AE565" s="289"/>
      <c r="AF565" s="289"/>
      <c r="AG565" s="289"/>
      <c r="AH565" s="289"/>
      <c r="AI565" s="289"/>
      <c r="AJ565" s="289"/>
      <c r="AK565" s="289"/>
      <c r="AL565" s="289"/>
      <c r="AM565" s="289"/>
      <c r="AN565" s="289"/>
      <c r="AO565" s="289"/>
      <c r="AP565" s="289"/>
      <c r="AQ565" s="289"/>
      <c r="AR565" s="289"/>
      <c r="AS565" s="289"/>
      <c r="AT565" s="289"/>
    </row>
    <row r="566" spans="1:46" ht="15.75" customHeight="1" x14ac:dyDescent="0.25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  <c r="AC566" s="289"/>
      <c r="AD566" s="289"/>
      <c r="AE566" s="289"/>
      <c r="AF566" s="289"/>
      <c r="AG566" s="289"/>
      <c r="AH566" s="289"/>
      <c r="AI566" s="289"/>
      <c r="AJ566" s="289"/>
      <c r="AK566" s="289"/>
      <c r="AL566" s="289"/>
      <c r="AM566" s="289"/>
      <c r="AN566" s="289"/>
      <c r="AO566" s="289"/>
      <c r="AP566" s="289"/>
      <c r="AQ566" s="289"/>
      <c r="AR566" s="289"/>
      <c r="AS566" s="289"/>
      <c r="AT566" s="289"/>
    </row>
    <row r="567" spans="1:46" ht="15.75" customHeight="1" x14ac:dyDescent="0.25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  <c r="AC567" s="289"/>
      <c r="AD567" s="289"/>
      <c r="AE567" s="289"/>
      <c r="AF567" s="289"/>
      <c r="AG567" s="289"/>
      <c r="AH567" s="289"/>
      <c r="AI567" s="289"/>
      <c r="AJ567" s="289"/>
      <c r="AK567" s="289"/>
      <c r="AL567" s="289"/>
      <c r="AM567" s="289"/>
      <c r="AN567" s="289"/>
      <c r="AO567" s="289"/>
      <c r="AP567" s="289"/>
      <c r="AQ567" s="289"/>
      <c r="AR567" s="289"/>
      <c r="AS567" s="289"/>
      <c r="AT567" s="289"/>
    </row>
    <row r="568" spans="1:46" ht="15.75" customHeight="1" x14ac:dyDescent="0.25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  <c r="AC568" s="289"/>
      <c r="AD568" s="289"/>
      <c r="AE568" s="289"/>
      <c r="AF568" s="289"/>
      <c r="AG568" s="289"/>
      <c r="AH568" s="289"/>
      <c r="AI568" s="289"/>
      <c r="AJ568" s="289"/>
      <c r="AK568" s="289"/>
      <c r="AL568" s="289"/>
      <c r="AM568" s="289"/>
      <c r="AN568" s="289"/>
      <c r="AO568" s="289"/>
      <c r="AP568" s="289"/>
      <c r="AQ568" s="289"/>
      <c r="AR568" s="289"/>
      <c r="AS568" s="289"/>
      <c r="AT568" s="289"/>
    </row>
    <row r="569" spans="1:46" ht="15.75" customHeight="1" x14ac:dyDescent="0.25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  <c r="AC569" s="289"/>
      <c r="AD569" s="289"/>
      <c r="AE569" s="289"/>
      <c r="AF569" s="289"/>
      <c r="AG569" s="289"/>
      <c r="AH569" s="289"/>
      <c r="AI569" s="289"/>
      <c r="AJ569" s="289"/>
      <c r="AK569" s="289"/>
      <c r="AL569" s="289"/>
      <c r="AM569" s="289"/>
      <c r="AN569" s="289"/>
      <c r="AO569" s="289"/>
      <c r="AP569" s="289"/>
      <c r="AQ569" s="289"/>
      <c r="AR569" s="289"/>
      <c r="AS569" s="289"/>
      <c r="AT569" s="289"/>
    </row>
    <row r="570" spans="1:46" ht="15.75" customHeight="1" x14ac:dyDescent="0.25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  <c r="AC570" s="289"/>
      <c r="AD570" s="289"/>
      <c r="AE570" s="289"/>
      <c r="AF570" s="289"/>
      <c r="AG570" s="289"/>
      <c r="AH570" s="289"/>
      <c r="AI570" s="289"/>
      <c r="AJ570" s="289"/>
      <c r="AK570" s="289"/>
      <c r="AL570" s="289"/>
      <c r="AM570" s="289"/>
      <c r="AN570" s="289"/>
      <c r="AO570" s="289"/>
      <c r="AP570" s="289"/>
      <c r="AQ570" s="289"/>
      <c r="AR570" s="289"/>
      <c r="AS570" s="289"/>
      <c r="AT570" s="289"/>
    </row>
    <row r="571" spans="1:46" ht="15.75" customHeight="1" x14ac:dyDescent="0.25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  <c r="AC571" s="289"/>
      <c r="AD571" s="289"/>
      <c r="AE571" s="289"/>
      <c r="AF571" s="289"/>
      <c r="AG571" s="289"/>
      <c r="AH571" s="289"/>
      <c r="AI571" s="289"/>
      <c r="AJ571" s="289"/>
      <c r="AK571" s="289"/>
      <c r="AL571" s="289"/>
      <c r="AM571" s="289"/>
      <c r="AN571" s="289"/>
      <c r="AO571" s="289"/>
      <c r="AP571" s="289"/>
      <c r="AQ571" s="289"/>
      <c r="AR571" s="289"/>
      <c r="AS571" s="289"/>
      <c r="AT571" s="289"/>
    </row>
    <row r="572" spans="1:46" ht="15.75" customHeight="1" x14ac:dyDescent="0.25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  <c r="AC572" s="289"/>
      <c r="AD572" s="289"/>
      <c r="AE572" s="289"/>
      <c r="AF572" s="289"/>
      <c r="AG572" s="289"/>
      <c r="AH572" s="289"/>
      <c r="AI572" s="289"/>
      <c r="AJ572" s="289"/>
      <c r="AK572" s="289"/>
      <c r="AL572" s="289"/>
      <c r="AM572" s="289"/>
      <c r="AN572" s="289"/>
      <c r="AO572" s="289"/>
      <c r="AP572" s="289"/>
      <c r="AQ572" s="289"/>
      <c r="AR572" s="289"/>
      <c r="AS572" s="289"/>
      <c r="AT572" s="289"/>
    </row>
    <row r="573" spans="1:46" ht="15.75" customHeight="1" x14ac:dyDescent="0.25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  <c r="AC573" s="289"/>
      <c r="AD573" s="289"/>
      <c r="AE573" s="289"/>
      <c r="AF573" s="289"/>
      <c r="AG573" s="289"/>
      <c r="AH573" s="289"/>
      <c r="AI573" s="289"/>
      <c r="AJ573" s="289"/>
      <c r="AK573" s="289"/>
      <c r="AL573" s="289"/>
      <c r="AM573" s="289"/>
      <c r="AN573" s="289"/>
      <c r="AO573" s="289"/>
      <c r="AP573" s="289"/>
      <c r="AQ573" s="289"/>
      <c r="AR573" s="289"/>
      <c r="AS573" s="289"/>
      <c r="AT573" s="289"/>
    </row>
    <row r="574" spans="1:46" ht="15.75" customHeight="1" x14ac:dyDescent="0.25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  <c r="AC574" s="289"/>
      <c r="AD574" s="289"/>
      <c r="AE574" s="289"/>
      <c r="AF574" s="289"/>
      <c r="AG574" s="289"/>
      <c r="AH574" s="289"/>
      <c r="AI574" s="289"/>
      <c r="AJ574" s="289"/>
      <c r="AK574" s="289"/>
      <c r="AL574" s="289"/>
      <c r="AM574" s="289"/>
      <c r="AN574" s="289"/>
      <c r="AO574" s="289"/>
      <c r="AP574" s="289"/>
      <c r="AQ574" s="289"/>
      <c r="AR574" s="289"/>
      <c r="AS574" s="289"/>
      <c r="AT574" s="289"/>
    </row>
    <row r="575" spans="1:46" ht="15.75" customHeight="1" x14ac:dyDescent="0.25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  <c r="AC575" s="289"/>
      <c r="AD575" s="289"/>
      <c r="AE575" s="289"/>
      <c r="AF575" s="289"/>
      <c r="AG575" s="289"/>
      <c r="AH575" s="289"/>
      <c r="AI575" s="289"/>
      <c r="AJ575" s="289"/>
      <c r="AK575" s="289"/>
      <c r="AL575" s="289"/>
      <c r="AM575" s="289"/>
      <c r="AN575" s="289"/>
      <c r="AO575" s="289"/>
      <c r="AP575" s="289"/>
      <c r="AQ575" s="289"/>
      <c r="AR575" s="289"/>
      <c r="AS575" s="289"/>
      <c r="AT575" s="289"/>
    </row>
    <row r="576" spans="1:46" ht="15.75" customHeight="1" x14ac:dyDescent="0.25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  <c r="AC576" s="289"/>
      <c r="AD576" s="289"/>
      <c r="AE576" s="289"/>
      <c r="AF576" s="289"/>
      <c r="AG576" s="289"/>
      <c r="AH576" s="289"/>
      <c r="AI576" s="289"/>
      <c r="AJ576" s="289"/>
      <c r="AK576" s="289"/>
      <c r="AL576" s="289"/>
      <c r="AM576" s="289"/>
      <c r="AN576" s="289"/>
      <c r="AO576" s="289"/>
      <c r="AP576" s="289"/>
      <c r="AQ576" s="289"/>
      <c r="AR576" s="289"/>
      <c r="AS576" s="289"/>
      <c r="AT576" s="289"/>
    </row>
    <row r="577" spans="1:46" ht="15.75" customHeight="1" x14ac:dyDescent="0.25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  <c r="AC577" s="289"/>
      <c r="AD577" s="289"/>
      <c r="AE577" s="289"/>
      <c r="AF577" s="289"/>
      <c r="AG577" s="289"/>
      <c r="AH577" s="289"/>
      <c r="AI577" s="289"/>
      <c r="AJ577" s="289"/>
      <c r="AK577" s="289"/>
      <c r="AL577" s="289"/>
      <c r="AM577" s="289"/>
      <c r="AN577" s="289"/>
      <c r="AO577" s="289"/>
      <c r="AP577" s="289"/>
      <c r="AQ577" s="289"/>
      <c r="AR577" s="289"/>
      <c r="AS577" s="289"/>
      <c r="AT577" s="289"/>
    </row>
    <row r="578" spans="1:46" ht="15.75" customHeight="1" x14ac:dyDescent="0.25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  <c r="AC578" s="289"/>
      <c r="AD578" s="289"/>
      <c r="AE578" s="289"/>
      <c r="AF578" s="289"/>
      <c r="AG578" s="289"/>
      <c r="AH578" s="289"/>
      <c r="AI578" s="289"/>
      <c r="AJ578" s="289"/>
      <c r="AK578" s="289"/>
      <c r="AL578" s="289"/>
      <c r="AM578" s="289"/>
      <c r="AN578" s="289"/>
      <c r="AO578" s="289"/>
      <c r="AP578" s="289"/>
      <c r="AQ578" s="289"/>
      <c r="AR578" s="289"/>
      <c r="AS578" s="289"/>
      <c r="AT578" s="289"/>
    </row>
    <row r="579" spans="1:46" ht="15.75" customHeight="1" x14ac:dyDescent="0.25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  <c r="AC579" s="289"/>
      <c r="AD579" s="289"/>
      <c r="AE579" s="289"/>
      <c r="AF579" s="289"/>
      <c r="AG579" s="289"/>
      <c r="AH579" s="289"/>
      <c r="AI579" s="289"/>
      <c r="AJ579" s="289"/>
      <c r="AK579" s="289"/>
      <c r="AL579" s="289"/>
      <c r="AM579" s="289"/>
      <c r="AN579" s="289"/>
      <c r="AO579" s="289"/>
      <c r="AP579" s="289"/>
      <c r="AQ579" s="289"/>
      <c r="AR579" s="289"/>
      <c r="AS579" s="289"/>
      <c r="AT579" s="289"/>
    </row>
    <row r="580" spans="1:46" ht="15.75" customHeight="1" x14ac:dyDescent="0.25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  <c r="AC580" s="289"/>
      <c r="AD580" s="289"/>
      <c r="AE580" s="289"/>
      <c r="AF580" s="289"/>
      <c r="AG580" s="289"/>
      <c r="AH580" s="289"/>
      <c r="AI580" s="289"/>
      <c r="AJ580" s="289"/>
      <c r="AK580" s="289"/>
      <c r="AL580" s="289"/>
      <c r="AM580" s="289"/>
      <c r="AN580" s="289"/>
      <c r="AO580" s="289"/>
      <c r="AP580" s="289"/>
      <c r="AQ580" s="289"/>
      <c r="AR580" s="289"/>
      <c r="AS580" s="289"/>
      <c r="AT580" s="289"/>
    </row>
    <row r="581" spans="1:46" ht="15.75" customHeight="1" x14ac:dyDescent="0.25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  <c r="AC581" s="289"/>
      <c r="AD581" s="289"/>
      <c r="AE581" s="289"/>
      <c r="AF581" s="289"/>
      <c r="AG581" s="289"/>
      <c r="AH581" s="289"/>
      <c r="AI581" s="289"/>
      <c r="AJ581" s="289"/>
      <c r="AK581" s="289"/>
      <c r="AL581" s="289"/>
      <c r="AM581" s="289"/>
      <c r="AN581" s="289"/>
      <c r="AO581" s="289"/>
      <c r="AP581" s="289"/>
      <c r="AQ581" s="289"/>
      <c r="AR581" s="289"/>
      <c r="AS581" s="289"/>
      <c r="AT581" s="289"/>
    </row>
    <row r="582" spans="1:46" ht="15.75" customHeight="1" x14ac:dyDescent="0.25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  <c r="AC582" s="289"/>
      <c r="AD582" s="289"/>
      <c r="AE582" s="289"/>
      <c r="AF582" s="289"/>
      <c r="AG582" s="289"/>
      <c r="AH582" s="289"/>
      <c r="AI582" s="289"/>
      <c r="AJ582" s="289"/>
      <c r="AK582" s="289"/>
      <c r="AL582" s="289"/>
      <c r="AM582" s="289"/>
      <c r="AN582" s="289"/>
      <c r="AO582" s="289"/>
      <c r="AP582" s="289"/>
      <c r="AQ582" s="289"/>
      <c r="AR582" s="289"/>
      <c r="AS582" s="289"/>
      <c r="AT582" s="289"/>
    </row>
    <row r="583" spans="1:46" ht="15.75" customHeight="1" x14ac:dyDescent="0.25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  <c r="AC583" s="289"/>
      <c r="AD583" s="289"/>
      <c r="AE583" s="289"/>
      <c r="AF583" s="289"/>
      <c r="AG583" s="289"/>
      <c r="AH583" s="289"/>
      <c r="AI583" s="289"/>
      <c r="AJ583" s="289"/>
      <c r="AK583" s="289"/>
      <c r="AL583" s="289"/>
      <c r="AM583" s="289"/>
      <c r="AN583" s="289"/>
      <c r="AO583" s="289"/>
      <c r="AP583" s="289"/>
      <c r="AQ583" s="289"/>
      <c r="AR583" s="289"/>
      <c r="AS583" s="289"/>
      <c r="AT583" s="289"/>
    </row>
    <row r="584" spans="1:46" ht="15.75" customHeight="1" x14ac:dyDescent="0.25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  <c r="AC584" s="289"/>
      <c r="AD584" s="289"/>
      <c r="AE584" s="289"/>
      <c r="AF584" s="289"/>
      <c r="AG584" s="289"/>
      <c r="AH584" s="289"/>
      <c r="AI584" s="289"/>
      <c r="AJ584" s="289"/>
      <c r="AK584" s="289"/>
      <c r="AL584" s="289"/>
      <c r="AM584" s="289"/>
      <c r="AN584" s="289"/>
      <c r="AO584" s="289"/>
      <c r="AP584" s="289"/>
      <c r="AQ584" s="289"/>
      <c r="AR584" s="289"/>
      <c r="AS584" s="289"/>
      <c r="AT584" s="289"/>
    </row>
    <row r="585" spans="1:46" ht="15.75" customHeight="1" x14ac:dyDescent="0.25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  <c r="AC585" s="289"/>
      <c r="AD585" s="289"/>
      <c r="AE585" s="289"/>
      <c r="AF585" s="289"/>
      <c r="AG585" s="289"/>
      <c r="AH585" s="289"/>
      <c r="AI585" s="289"/>
      <c r="AJ585" s="289"/>
      <c r="AK585" s="289"/>
      <c r="AL585" s="289"/>
      <c r="AM585" s="289"/>
      <c r="AN585" s="289"/>
      <c r="AO585" s="289"/>
      <c r="AP585" s="289"/>
      <c r="AQ585" s="289"/>
      <c r="AR585" s="289"/>
      <c r="AS585" s="289"/>
      <c r="AT585" s="289"/>
    </row>
    <row r="586" spans="1:46" ht="15.75" customHeight="1" x14ac:dyDescent="0.25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  <c r="AC586" s="289"/>
      <c r="AD586" s="289"/>
      <c r="AE586" s="289"/>
      <c r="AF586" s="289"/>
      <c r="AG586" s="289"/>
      <c r="AH586" s="289"/>
      <c r="AI586" s="289"/>
      <c r="AJ586" s="289"/>
      <c r="AK586" s="289"/>
      <c r="AL586" s="289"/>
      <c r="AM586" s="289"/>
      <c r="AN586" s="289"/>
      <c r="AO586" s="289"/>
      <c r="AP586" s="289"/>
      <c r="AQ586" s="289"/>
      <c r="AR586" s="289"/>
      <c r="AS586" s="289"/>
      <c r="AT586" s="289"/>
    </row>
    <row r="587" spans="1:46" ht="15.75" customHeight="1" x14ac:dyDescent="0.25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  <c r="AC587" s="289"/>
      <c r="AD587" s="289"/>
      <c r="AE587" s="289"/>
      <c r="AF587" s="289"/>
      <c r="AG587" s="289"/>
      <c r="AH587" s="289"/>
      <c r="AI587" s="289"/>
      <c r="AJ587" s="289"/>
      <c r="AK587" s="289"/>
      <c r="AL587" s="289"/>
      <c r="AM587" s="289"/>
      <c r="AN587" s="289"/>
      <c r="AO587" s="289"/>
      <c r="AP587" s="289"/>
      <c r="AQ587" s="289"/>
      <c r="AR587" s="289"/>
      <c r="AS587" s="289"/>
      <c r="AT587" s="289"/>
    </row>
    <row r="588" spans="1:46" ht="15.75" customHeight="1" x14ac:dyDescent="0.25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  <c r="AC588" s="289"/>
      <c r="AD588" s="289"/>
      <c r="AE588" s="289"/>
      <c r="AF588" s="289"/>
      <c r="AG588" s="289"/>
      <c r="AH588" s="289"/>
      <c r="AI588" s="289"/>
      <c r="AJ588" s="289"/>
      <c r="AK588" s="289"/>
      <c r="AL588" s="289"/>
      <c r="AM588" s="289"/>
      <c r="AN588" s="289"/>
      <c r="AO588" s="289"/>
      <c r="AP588" s="289"/>
      <c r="AQ588" s="289"/>
      <c r="AR588" s="289"/>
      <c r="AS588" s="289"/>
      <c r="AT588" s="289"/>
    </row>
    <row r="589" spans="1:46" ht="15.75" customHeight="1" x14ac:dyDescent="0.25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  <c r="AC589" s="289"/>
      <c r="AD589" s="289"/>
      <c r="AE589" s="289"/>
      <c r="AF589" s="289"/>
      <c r="AG589" s="289"/>
      <c r="AH589" s="289"/>
      <c r="AI589" s="289"/>
      <c r="AJ589" s="289"/>
      <c r="AK589" s="289"/>
      <c r="AL589" s="289"/>
      <c r="AM589" s="289"/>
      <c r="AN589" s="289"/>
      <c r="AO589" s="289"/>
      <c r="AP589" s="289"/>
      <c r="AQ589" s="289"/>
      <c r="AR589" s="289"/>
      <c r="AS589" s="289"/>
      <c r="AT589" s="289"/>
    </row>
    <row r="590" spans="1:46" ht="15.75" customHeight="1" x14ac:dyDescent="0.25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  <c r="AC590" s="289"/>
      <c r="AD590" s="289"/>
      <c r="AE590" s="289"/>
      <c r="AF590" s="289"/>
      <c r="AG590" s="289"/>
      <c r="AH590" s="289"/>
      <c r="AI590" s="289"/>
      <c r="AJ590" s="289"/>
      <c r="AK590" s="289"/>
      <c r="AL590" s="289"/>
      <c r="AM590" s="289"/>
      <c r="AN590" s="289"/>
      <c r="AO590" s="289"/>
      <c r="AP590" s="289"/>
      <c r="AQ590" s="289"/>
      <c r="AR590" s="289"/>
      <c r="AS590" s="289"/>
      <c r="AT590" s="289"/>
    </row>
    <row r="591" spans="1:46" ht="15.75" customHeight="1" x14ac:dyDescent="0.25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  <c r="AC591" s="289"/>
      <c r="AD591" s="289"/>
      <c r="AE591" s="289"/>
      <c r="AF591" s="289"/>
      <c r="AG591" s="289"/>
      <c r="AH591" s="289"/>
      <c r="AI591" s="289"/>
      <c r="AJ591" s="289"/>
      <c r="AK591" s="289"/>
      <c r="AL591" s="289"/>
      <c r="AM591" s="289"/>
      <c r="AN591" s="289"/>
      <c r="AO591" s="289"/>
      <c r="AP591" s="289"/>
      <c r="AQ591" s="289"/>
      <c r="AR591" s="289"/>
      <c r="AS591" s="289"/>
      <c r="AT591" s="289"/>
    </row>
    <row r="592" spans="1:46" ht="15.75" customHeight="1" x14ac:dyDescent="0.25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  <c r="AC592" s="289"/>
      <c r="AD592" s="289"/>
      <c r="AE592" s="289"/>
      <c r="AF592" s="289"/>
      <c r="AG592" s="289"/>
      <c r="AH592" s="289"/>
      <c r="AI592" s="289"/>
      <c r="AJ592" s="289"/>
      <c r="AK592" s="289"/>
      <c r="AL592" s="289"/>
      <c r="AM592" s="289"/>
      <c r="AN592" s="289"/>
      <c r="AO592" s="289"/>
      <c r="AP592" s="289"/>
      <c r="AQ592" s="289"/>
      <c r="AR592" s="289"/>
      <c r="AS592" s="289"/>
      <c r="AT592" s="289"/>
    </row>
    <row r="593" spans="1:46" ht="15.75" customHeight="1" x14ac:dyDescent="0.25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  <c r="AC593" s="289"/>
      <c r="AD593" s="289"/>
      <c r="AE593" s="289"/>
      <c r="AF593" s="289"/>
      <c r="AG593" s="289"/>
      <c r="AH593" s="289"/>
      <c r="AI593" s="289"/>
      <c r="AJ593" s="289"/>
      <c r="AK593" s="289"/>
      <c r="AL593" s="289"/>
      <c r="AM593" s="289"/>
      <c r="AN593" s="289"/>
      <c r="AO593" s="289"/>
      <c r="AP593" s="289"/>
      <c r="AQ593" s="289"/>
      <c r="AR593" s="289"/>
      <c r="AS593" s="289"/>
      <c r="AT593" s="289"/>
    </row>
    <row r="594" spans="1:46" ht="15.75" customHeight="1" x14ac:dyDescent="0.25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  <c r="AC594" s="289"/>
      <c r="AD594" s="289"/>
      <c r="AE594" s="289"/>
      <c r="AF594" s="289"/>
      <c r="AG594" s="289"/>
      <c r="AH594" s="289"/>
      <c r="AI594" s="289"/>
      <c r="AJ594" s="289"/>
      <c r="AK594" s="289"/>
      <c r="AL594" s="289"/>
      <c r="AM594" s="289"/>
      <c r="AN594" s="289"/>
      <c r="AO594" s="289"/>
      <c r="AP594" s="289"/>
      <c r="AQ594" s="289"/>
      <c r="AR594" s="289"/>
      <c r="AS594" s="289"/>
      <c r="AT594" s="289"/>
    </row>
    <row r="595" spans="1:46" ht="15.75" customHeight="1" x14ac:dyDescent="0.25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  <c r="AC595" s="289"/>
      <c r="AD595" s="289"/>
      <c r="AE595" s="289"/>
      <c r="AF595" s="289"/>
      <c r="AG595" s="289"/>
      <c r="AH595" s="289"/>
      <c r="AI595" s="289"/>
      <c r="AJ595" s="289"/>
      <c r="AK595" s="289"/>
      <c r="AL595" s="289"/>
      <c r="AM595" s="289"/>
      <c r="AN595" s="289"/>
      <c r="AO595" s="289"/>
      <c r="AP595" s="289"/>
      <c r="AQ595" s="289"/>
      <c r="AR595" s="289"/>
      <c r="AS595" s="289"/>
      <c r="AT595" s="289"/>
    </row>
    <row r="596" spans="1:46" ht="15.75" customHeight="1" x14ac:dyDescent="0.25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  <c r="AC596" s="289"/>
      <c r="AD596" s="289"/>
      <c r="AE596" s="289"/>
      <c r="AF596" s="289"/>
      <c r="AG596" s="289"/>
      <c r="AH596" s="289"/>
      <c r="AI596" s="289"/>
      <c r="AJ596" s="289"/>
      <c r="AK596" s="289"/>
      <c r="AL596" s="289"/>
      <c r="AM596" s="289"/>
      <c r="AN596" s="289"/>
      <c r="AO596" s="289"/>
      <c r="AP596" s="289"/>
      <c r="AQ596" s="289"/>
      <c r="AR596" s="289"/>
      <c r="AS596" s="289"/>
      <c r="AT596" s="289"/>
    </row>
    <row r="597" spans="1:46" ht="15.75" customHeight="1" x14ac:dyDescent="0.25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  <c r="AC597" s="289"/>
      <c r="AD597" s="289"/>
      <c r="AE597" s="289"/>
      <c r="AF597" s="289"/>
      <c r="AG597" s="289"/>
      <c r="AH597" s="289"/>
      <c r="AI597" s="289"/>
      <c r="AJ597" s="289"/>
      <c r="AK597" s="289"/>
      <c r="AL597" s="289"/>
      <c r="AM597" s="289"/>
      <c r="AN597" s="289"/>
      <c r="AO597" s="289"/>
      <c r="AP597" s="289"/>
      <c r="AQ597" s="289"/>
      <c r="AR597" s="289"/>
      <c r="AS597" s="289"/>
      <c r="AT597" s="289"/>
    </row>
    <row r="598" spans="1:46" ht="15.75" customHeight="1" x14ac:dyDescent="0.25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  <c r="AC598" s="289"/>
      <c r="AD598" s="289"/>
      <c r="AE598" s="289"/>
      <c r="AF598" s="289"/>
      <c r="AG598" s="289"/>
      <c r="AH598" s="289"/>
      <c r="AI598" s="289"/>
      <c r="AJ598" s="289"/>
      <c r="AK598" s="289"/>
      <c r="AL598" s="289"/>
      <c r="AM598" s="289"/>
      <c r="AN598" s="289"/>
      <c r="AO598" s="289"/>
      <c r="AP598" s="289"/>
      <c r="AQ598" s="289"/>
      <c r="AR598" s="289"/>
      <c r="AS598" s="289"/>
      <c r="AT598" s="289"/>
    </row>
    <row r="599" spans="1:46" ht="15.75" customHeight="1" x14ac:dyDescent="0.25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  <c r="AC599" s="289"/>
      <c r="AD599" s="289"/>
      <c r="AE599" s="289"/>
      <c r="AF599" s="289"/>
      <c r="AG599" s="289"/>
      <c r="AH599" s="289"/>
      <c r="AI599" s="289"/>
      <c r="AJ599" s="289"/>
      <c r="AK599" s="289"/>
      <c r="AL599" s="289"/>
      <c r="AM599" s="289"/>
      <c r="AN599" s="289"/>
      <c r="AO599" s="289"/>
      <c r="AP599" s="289"/>
      <c r="AQ599" s="289"/>
      <c r="AR599" s="289"/>
      <c r="AS599" s="289"/>
      <c r="AT599" s="289"/>
    </row>
    <row r="600" spans="1:46" ht="15.75" customHeight="1" x14ac:dyDescent="0.25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  <c r="AC600" s="289"/>
      <c r="AD600" s="289"/>
      <c r="AE600" s="289"/>
      <c r="AF600" s="289"/>
      <c r="AG600" s="289"/>
      <c r="AH600" s="289"/>
      <c r="AI600" s="289"/>
      <c r="AJ600" s="289"/>
      <c r="AK600" s="289"/>
      <c r="AL600" s="289"/>
      <c r="AM600" s="289"/>
      <c r="AN600" s="289"/>
      <c r="AO600" s="289"/>
      <c r="AP600" s="289"/>
      <c r="AQ600" s="289"/>
      <c r="AR600" s="289"/>
      <c r="AS600" s="289"/>
      <c r="AT600" s="289"/>
    </row>
    <row r="601" spans="1:46" ht="15.75" customHeight="1" x14ac:dyDescent="0.25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  <c r="AC601" s="289"/>
      <c r="AD601" s="289"/>
      <c r="AE601" s="289"/>
      <c r="AF601" s="289"/>
      <c r="AG601" s="289"/>
      <c r="AH601" s="289"/>
      <c r="AI601" s="289"/>
      <c r="AJ601" s="289"/>
      <c r="AK601" s="289"/>
      <c r="AL601" s="289"/>
      <c r="AM601" s="289"/>
      <c r="AN601" s="289"/>
      <c r="AO601" s="289"/>
      <c r="AP601" s="289"/>
      <c r="AQ601" s="289"/>
      <c r="AR601" s="289"/>
      <c r="AS601" s="289"/>
      <c r="AT601" s="289"/>
    </row>
    <row r="602" spans="1:46" ht="15.75" customHeight="1" x14ac:dyDescent="0.25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  <c r="AC602" s="289"/>
      <c r="AD602" s="289"/>
      <c r="AE602" s="289"/>
      <c r="AF602" s="289"/>
      <c r="AG602" s="289"/>
      <c r="AH602" s="289"/>
      <c r="AI602" s="289"/>
      <c r="AJ602" s="289"/>
      <c r="AK602" s="289"/>
      <c r="AL602" s="289"/>
      <c r="AM602" s="289"/>
      <c r="AN602" s="289"/>
      <c r="AO602" s="289"/>
      <c r="AP602" s="289"/>
      <c r="AQ602" s="289"/>
      <c r="AR602" s="289"/>
      <c r="AS602" s="289"/>
      <c r="AT602" s="289"/>
    </row>
    <row r="603" spans="1:46" ht="15.75" customHeight="1" x14ac:dyDescent="0.25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  <c r="AC603" s="289"/>
      <c r="AD603" s="289"/>
      <c r="AE603" s="289"/>
      <c r="AF603" s="289"/>
      <c r="AG603" s="289"/>
      <c r="AH603" s="289"/>
      <c r="AI603" s="289"/>
      <c r="AJ603" s="289"/>
      <c r="AK603" s="289"/>
      <c r="AL603" s="289"/>
      <c r="AM603" s="289"/>
      <c r="AN603" s="289"/>
      <c r="AO603" s="289"/>
      <c r="AP603" s="289"/>
      <c r="AQ603" s="289"/>
      <c r="AR603" s="289"/>
      <c r="AS603" s="289"/>
      <c r="AT603" s="289"/>
    </row>
    <row r="604" spans="1:46" ht="15.75" customHeight="1" x14ac:dyDescent="0.25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  <c r="AC604" s="289"/>
      <c r="AD604" s="289"/>
      <c r="AE604" s="289"/>
      <c r="AF604" s="289"/>
      <c r="AG604" s="289"/>
      <c r="AH604" s="289"/>
      <c r="AI604" s="289"/>
      <c r="AJ604" s="289"/>
      <c r="AK604" s="289"/>
      <c r="AL604" s="289"/>
      <c r="AM604" s="289"/>
      <c r="AN604" s="289"/>
      <c r="AO604" s="289"/>
      <c r="AP604" s="289"/>
      <c r="AQ604" s="289"/>
      <c r="AR604" s="289"/>
      <c r="AS604" s="289"/>
      <c r="AT604" s="289"/>
    </row>
    <row r="605" spans="1:46" ht="15.75" customHeight="1" x14ac:dyDescent="0.25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  <c r="AC605" s="289"/>
      <c r="AD605" s="289"/>
      <c r="AE605" s="289"/>
      <c r="AF605" s="289"/>
      <c r="AG605" s="289"/>
      <c r="AH605" s="289"/>
      <c r="AI605" s="289"/>
      <c r="AJ605" s="289"/>
      <c r="AK605" s="289"/>
      <c r="AL605" s="289"/>
      <c r="AM605" s="289"/>
      <c r="AN605" s="289"/>
      <c r="AO605" s="289"/>
      <c r="AP605" s="289"/>
      <c r="AQ605" s="289"/>
      <c r="AR605" s="289"/>
      <c r="AS605" s="289"/>
      <c r="AT605" s="289"/>
    </row>
    <row r="606" spans="1:46" ht="15.75" customHeight="1" x14ac:dyDescent="0.25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  <c r="AC606" s="289"/>
      <c r="AD606" s="289"/>
      <c r="AE606" s="289"/>
      <c r="AF606" s="289"/>
      <c r="AG606" s="289"/>
      <c r="AH606" s="289"/>
      <c r="AI606" s="289"/>
      <c r="AJ606" s="289"/>
      <c r="AK606" s="289"/>
      <c r="AL606" s="289"/>
      <c r="AM606" s="289"/>
      <c r="AN606" s="289"/>
      <c r="AO606" s="289"/>
      <c r="AP606" s="289"/>
      <c r="AQ606" s="289"/>
      <c r="AR606" s="289"/>
      <c r="AS606" s="289"/>
      <c r="AT606" s="289"/>
    </row>
    <row r="607" spans="1:46" ht="15.75" customHeight="1" x14ac:dyDescent="0.25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  <c r="AC607" s="289"/>
      <c r="AD607" s="289"/>
      <c r="AE607" s="289"/>
      <c r="AF607" s="289"/>
      <c r="AG607" s="289"/>
      <c r="AH607" s="289"/>
      <c r="AI607" s="289"/>
      <c r="AJ607" s="289"/>
      <c r="AK607" s="289"/>
      <c r="AL607" s="289"/>
      <c r="AM607" s="289"/>
      <c r="AN607" s="289"/>
      <c r="AO607" s="289"/>
      <c r="AP607" s="289"/>
      <c r="AQ607" s="289"/>
      <c r="AR607" s="289"/>
      <c r="AS607" s="289"/>
      <c r="AT607" s="289"/>
    </row>
    <row r="608" spans="1:46" ht="15.75" customHeight="1" x14ac:dyDescent="0.25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  <c r="AC608" s="289"/>
      <c r="AD608" s="289"/>
      <c r="AE608" s="289"/>
      <c r="AF608" s="289"/>
      <c r="AG608" s="289"/>
      <c r="AH608" s="289"/>
      <c r="AI608" s="289"/>
      <c r="AJ608" s="289"/>
      <c r="AK608" s="289"/>
      <c r="AL608" s="289"/>
      <c r="AM608" s="289"/>
      <c r="AN608" s="289"/>
      <c r="AO608" s="289"/>
      <c r="AP608" s="289"/>
      <c r="AQ608" s="289"/>
      <c r="AR608" s="289"/>
      <c r="AS608" s="289"/>
      <c r="AT608" s="289"/>
    </row>
    <row r="609" spans="1:46" ht="15.75" customHeight="1" x14ac:dyDescent="0.25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  <c r="AC609" s="289"/>
      <c r="AD609" s="289"/>
      <c r="AE609" s="289"/>
      <c r="AF609" s="289"/>
      <c r="AG609" s="289"/>
      <c r="AH609" s="289"/>
      <c r="AI609" s="289"/>
      <c r="AJ609" s="289"/>
      <c r="AK609" s="289"/>
      <c r="AL609" s="289"/>
      <c r="AM609" s="289"/>
      <c r="AN609" s="289"/>
      <c r="AO609" s="289"/>
      <c r="AP609" s="289"/>
      <c r="AQ609" s="289"/>
      <c r="AR609" s="289"/>
      <c r="AS609" s="289"/>
      <c r="AT609" s="289"/>
    </row>
    <row r="610" spans="1:46" ht="15.75" customHeight="1" x14ac:dyDescent="0.25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  <c r="AC610" s="289"/>
      <c r="AD610" s="289"/>
      <c r="AE610" s="289"/>
      <c r="AF610" s="289"/>
      <c r="AG610" s="289"/>
      <c r="AH610" s="289"/>
      <c r="AI610" s="289"/>
      <c r="AJ610" s="289"/>
      <c r="AK610" s="289"/>
      <c r="AL610" s="289"/>
      <c r="AM610" s="289"/>
      <c r="AN610" s="289"/>
      <c r="AO610" s="289"/>
      <c r="AP610" s="289"/>
      <c r="AQ610" s="289"/>
      <c r="AR610" s="289"/>
      <c r="AS610" s="289"/>
      <c r="AT610" s="289"/>
    </row>
    <row r="611" spans="1:46" ht="15.75" customHeight="1" x14ac:dyDescent="0.25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  <c r="AC611" s="289"/>
      <c r="AD611" s="289"/>
      <c r="AE611" s="289"/>
      <c r="AF611" s="289"/>
      <c r="AG611" s="289"/>
      <c r="AH611" s="289"/>
      <c r="AI611" s="289"/>
      <c r="AJ611" s="289"/>
      <c r="AK611" s="289"/>
      <c r="AL611" s="289"/>
      <c r="AM611" s="289"/>
      <c r="AN611" s="289"/>
      <c r="AO611" s="289"/>
      <c r="AP611" s="289"/>
      <c r="AQ611" s="289"/>
      <c r="AR611" s="289"/>
      <c r="AS611" s="289"/>
      <c r="AT611" s="289"/>
    </row>
    <row r="612" spans="1:46" ht="15.75" customHeight="1" x14ac:dyDescent="0.25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  <c r="AC612" s="289"/>
      <c r="AD612" s="289"/>
      <c r="AE612" s="289"/>
      <c r="AF612" s="289"/>
      <c r="AG612" s="289"/>
      <c r="AH612" s="289"/>
      <c r="AI612" s="289"/>
      <c r="AJ612" s="289"/>
      <c r="AK612" s="289"/>
      <c r="AL612" s="289"/>
      <c r="AM612" s="289"/>
      <c r="AN612" s="289"/>
      <c r="AO612" s="289"/>
      <c r="AP612" s="289"/>
      <c r="AQ612" s="289"/>
      <c r="AR612" s="289"/>
      <c r="AS612" s="289"/>
      <c r="AT612" s="289"/>
    </row>
    <row r="613" spans="1:46" ht="15.75" customHeight="1" x14ac:dyDescent="0.25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  <c r="AC613" s="289"/>
      <c r="AD613" s="289"/>
      <c r="AE613" s="289"/>
      <c r="AF613" s="289"/>
      <c r="AG613" s="289"/>
      <c r="AH613" s="289"/>
      <c r="AI613" s="289"/>
      <c r="AJ613" s="289"/>
      <c r="AK613" s="289"/>
      <c r="AL613" s="289"/>
      <c r="AM613" s="289"/>
      <c r="AN613" s="289"/>
      <c r="AO613" s="289"/>
      <c r="AP613" s="289"/>
      <c r="AQ613" s="289"/>
      <c r="AR613" s="289"/>
      <c r="AS613" s="289"/>
      <c r="AT613" s="289"/>
    </row>
    <row r="614" spans="1:46" ht="15.75" customHeight="1" x14ac:dyDescent="0.25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  <c r="AC614" s="289"/>
      <c r="AD614" s="289"/>
      <c r="AE614" s="289"/>
      <c r="AF614" s="289"/>
      <c r="AG614" s="289"/>
      <c r="AH614" s="289"/>
      <c r="AI614" s="289"/>
      <c r="AJ614" s="289"/>
      <c r="AK614" s="289"/>
      <c r="AL614" s="289"/>
      <c r="AM614" s="289"/>
      <c r="AN614" s="289"/>
      <c r="AO614" s="289"/>
      <c r="AP614" s="289"/>
      <c r="AQ614" s="289"/>
      <c r="AR614" s="289"/>
      <c r="AS614" s="289"/>
      <c r="AT614" s="289"/>
    </row>
    <row r="615" spans="1:46" ht="15.75" customHeight="1" x14ac:dyDescent="0.25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  <c r="AC615" s="289"/>
      <c r="AD615" s="289"/>
      <c r="AE615" s="289"/>
      <c r="AF615" s="289"/>
      <c r="AG615" s="289"/>
      <c r="AH615" s="289"/>
      <c r="AI615" s="289"/>
      <c r="AJ615" s="289"/>
      <c r="AK615" s="289"/>
      <c r="AL615" s="289"/>
      <c r="AM615" s="289"/>
      <c r="AN615" s="289"/>
      <c r="AO615" s="289"/>
      <c r="AP615" s="289"/>
      <c r="AQ615" s="289"/>
      <c r="AR615" s="289"/>
      <c r="AS615" s="289"/>
      <c r="AT615" s="289"/>
    </row>
    <row r="616" spans="1:46" ht="15.75" customHeight="1" x14ac:dyDescent="0.25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  <c r="AC616" s="289"/>
      <c r="AD616" s="289"/>
      <c r="AE616" s="289"/>
      <c r="AF616" s="289"/>
      <c r="AG616" s="289"/>
      <c r="AH616" s="289"/>
      <c r="AI616" s="289"/>
      <c r="AJ616" s="289"/>
      <c r="AK616" s="289"/>
      <c r="AL616" s="289"/>
      <c r="AM616" s="289"/>
      <c r="AN616" s="289"/>
      <c r="AO616" s="289"/>
      <c r="AP616" s="289"/>
      <c r="AQ616" s="289"/>
      <c r="AR616" s="289"/>
      <c r="AS616" s="289"/>
      <c r="AT616" s="289"/>
    </row>
    <row r="617" spans="1:46" ht="15.75" customHeight="1" x14ac:dyDescent="0.25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  <c r="AC617" s="289"/>
      <c r="AD617" s="289"/>
      <c r="AE617" s="289"/>
      <c r="AF617" s="289"/>
      <c r="AG617" s="289"/>
      <c r="AH617" s="289"/>
      <c r="AI617" s="289"/>
      <c r="AJ617" s="289"/>
      <c r="AK617" s="289"/>
      <c r="AL617" s="289"/>
      <c r="AM617" s="289"/>
      <c r="AN617" s="289"/>
      <c r="AO617" s="289"/>
      <c r="AP617" s="289"/>
      <c r="AQ617" s="289"/>
      <c r="AR617" s="289"/>
      <c r="AS617" s="289"/>
      <c r="AT617" s="289"/>
    </row>
    <row r="618" spans="1:46" ht="15.75" customHeight="1" x14ac:dyDescent="0.25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  <c r="AC618" s="289"/>
      <c r="AD618" s="289"/>
      <c r="AE618" s="289"/>
      <c r="AF618" s="289"/>
      <c r="AG618" s="289"/>
      <c r="AH618" s="289"/>
      <c r="AI618" s="289"/>
      <c r="AJ618" s="289"/>
      <c r="AK618" s="289"/>
      <c r="AL618" s="289"/>
      <c r="AM618" s="289"/>
      <c r="AN618" s="289"/>
      <c r="AO618" s="289"/>
      <c r="AP618" s="289"/>
      <c r="AQ618" s="289"/>
      <c r="AR618" s="289"/>
      <c r="AS618" s="289"/>
      <c r="AT618" s="289"/>
    </row>
    <row r="619" spans="1:46" ht="15.75" customHeight="1" x14ac:dyDescent="0.25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  <c r="AC619" s="289"/>
      <c r="AD619" s="289"/>
      <c r="AE619" s="289"/>
      <c r="AF619" s="289"/>
      <c r="AG619" s="289"/>
      <c r="AH619" s="289"/>
      <c r="AI619" s="289"/>
      <c r="AJ619" s="289"/>
      <c r="AK619" s="289"/>
      <c r="AL619" s="289"/>
      <c r="AM619" s="289"/>
      <c r="AN619" s="289"/>
      <c r="AO619" s="289"/>
      <c r="AP619" s="289"/>
      <c r="AQ619" s="289"/>
      <c r="AR619" s="289"/>
      <c r="AS619" s="289"/>
      <c r="AT619" s="289"/>
    </row>
    <row r="620" spans="1:46" ht="15.75" customHeight="1" x14ac:dyDescent="0.25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  <c r="AC620" s="289"/>
      <c r="AD620" s="289"/>
      <c r="AE620" s="289"/>
      <c r="AF620" s="289"/>
      <c r="AG620" s="289"/>
      <c r="AH620" s="289"/>
      <c r="AI620" s="289"/>
      <c r="AJ620" s="289"/>
      <c r="AK620" s="289"/>
      <c r="AL620" s="289"/>
      <c r="AM620" s="289"/>
      <c r="AN620" s="289"/>
      <c r="AO620" s="289"/>
      <c r="AP620" s="289"/>
      <c r="AQ620" s="289"/>
      <c r="AR620" s="289"/>
      <c r="AS620" s="289"/>
      <c r="AT620" s="289"/>
    </row>
    <row r="621" spans="1:46" ht="15.75" customHeight="1" x14ac:dyDescent="0.25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  <c r="AC621" s="289"/>
      <c r="AD621" s="289"/>
      <c r="AE621" s="289"/>
      <c r="AF621" s="289"/>
      <c r="AG621" s="289"/>
      <c r="AH621" s="289"/>
      <c r="AI621" s="289"/>
      <c r="AJ621" s="289"/>
      <c r="AK621" s="289"/>
      <c r="AL621" s="289"/>
      <c r="AM621" s="289"/>
      <c r="AN621" s="289"/>
      <c r="AO621" s="289"/>
      <c r="AP621" s="289"/>
      <c r="AQ621" s="289"/>
      <c r="AR621" s="289"/>
      <c r="AS621" s="289"/>
      <c r="AT621" s="289"/>
    </row>
    <row r="622" spans="1:46" ht="15.75" customHeight="1" x14ac:dyDescent="0.25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  <c r="AC622" s="289"/>
      <c r="AD622" s="289"/>
      <c r="AE622" s="289"/>
      <c r="AF622" s="289"/>
      <c r="AG622" s="289"/>
      <c r="AH622" s="289"/>
      <c r="AI622" s="289"/>
      <c r="AJ622" s="289"/>
      <c r="AK622" s="289"/>
      <c r="AL622" s="289"/>
      <c r="AM622" s="289"/>
      <c r="AN622" s="289"/>
      <c r="AO622" s="289"/>
      <c r="AP622" s="289"/>
      <c r="AQ622" s="289"/>
      <c r="AR622" s="289"/>
      <c r="AS622" s="289"/>
      <c r="AT622" s="289"/>
    </row>
    <row r="623" spans="1:46" ht="15.75" customHeight="1" x14ac:dyDescent="0.25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  <c r="AC623" s="289"/>
      <c r="AD623" s="289"/>
      <c r="AE623" s="289"/>
      <c r="AF623" s="289"/>
      <c r="AG623" s="289"/>
      <c r="AH623" s="289"/>
      <c r="AI623" s="289"/>
      <c r="AJ623" s="289"/>
      <c r="AK623" s="289"/>
      <c r="AL623" s="289"/>
      <c r="AM623" s="289"/>
      <c r="AN623" s="289"/>
      <c r="AO623" s="289"/>
      <c r="AP623" s="289"/>
      <c r="AQ623" s="289"/>
      <c r="AR623" s="289"/>
      <c r="AS623" s="289"/>
      <c r="AT623" s="289"/>
    </row>
    <row r="624" spans="1:46" ht="15.75" customHeight="1" x14ac:dyDescent="0.25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  <c r="AC624" s="289"/>
      <c r="AD624" s="289"/>
      <c r="AE624" s="289"/>
      <c r="AF624" s="289"/>
      <c r="AG624" s="289"/>
      <c r="AH624" s="289"/>
      <c r="AI624" s="289"/>
      <c r="AJ624" s="289"/>
      <c r="AK624" s="289"/>
      <c r="AL624" s="289"/>
      <c r="AM624" s="289"/>
      <c r="AN624" s="289"/>
      <c r="AO624" s="289"/>
      <c r="AP624" s="289"/>
      <c r="AQ624" s="289"/>
      <c r="AR624" s="289"/>
      <c r="AS624" s="289"/>
      <c r="AT624" s="289"/>
    </row>
    <row r="625" spans="1:46" ht="15.75" customHeight="1" x14ac:dyDescent="0.25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  <c r="AC625" s="289"/>
      <c r="AD625" s="289"/>
      <c r="AE625" s="289"/>
      <c r="AF625" s="289"/>
      <c r="AG625" s="289"/>
      <c r="AH625" s="289"/>
      <c r="AI625" s="289"/>
      <c r="AJ625" s="289"/>
      <c r="AK625" s="289"/>
      <c r="AL625" s="289"/>
      <c r="AM625" s="289"/>
      <c r="AN625" s="289"/>
      <c r="AO625" s="289"/>
      <c r="AP625" s="289"/>
      <c r="AQ625" s="289"/>
      <c r="AR625" s="289"/>
      <c r="AS625" s="289"/>
      <c r="AT625" s="289"/>
    </row>
    <row r="626" spans="1:46" ht="15.75" customHeight="1" x14ac:dyDescent="0.25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  <c r="AC626" s="289"/>
      <c r="AD626" s="289"/>
      <c r="AE626" s="289"/>
      <c r="AF626" s="289"/>
      <c r="AG626" s="289"/>
      <c r="AH626" s="289"/>
      <c r="AI626" s="289"/>
      <c r="AJ626" s="289"/>
      <c r="AK626" s="289"/>
      <c r="AL626" s="289"/>
      <c r="AM626" s="289"/>
      <c r="AN626" s="289"/>
      <c r="AO626" s="289"/>
      <c r="AP626" s="289"/>
      <c r="AQ626" s="289"/>
      <c r="AR626" s="289"/>
      <c r="AS626" s="289"/>
      <c r="AT626" s="289"/>
    </row>
    <row r="627" spans="1:46" ht="15.75" customHeight="1" x14ac:dyDescent="0.25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  <c r="AC627" s="289"/>
      <c r="AD627" s="289"/>
      <c r="AE627" s="289"/>
      <c r="AF627" s="289"/>
      <c r="AG627" s="289"/>
      <c r="AH627" s="289"/>
      <c r="AI627" s="289"/>
      <c r="AJ627" s="289"/>
      <c r="AK627" s="289"/>
      <c r="AL627" s="289"/>
      <c r="AM627" s="289"/>
      <c r="AN627" s="289"/>
      <c r="AO627" s="289"/>
      <c r="AP627" s="289"/>
      <c r="AQ627" s="289"/>
      <c r="AR627" s="289"/>
      <c r="AS627" s="289"/>
      <c r="AT627" s="289"/>
    </row>
    <row r="628" spans="1:46" ht="15.75" customHeight="1" x14ac:dyDescent="0.25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  <c r="AC628" s="289"/>
      <c r="AD628" s="289"/>
      <c r="AE628" s="289"/>
      <c r="AF628" s="289"/>
      <c r="AG628" s="289"/>
      <c r="AH628" s="289"/>
      <c r="AI628" s="289"/>
      <c r="AJ628" s="289"/>
      <c r="AK628" s="289"/>
      <c r="AL628" s="289"/>
      <c r="AM628" s="289"/>
      <c r="AN628" s="289"/>
      <c r="AO628" s="289"/>
      <c r="AP628" s="289"/>
      <c r="AQ628" s="289"/>
      <c r="AR628" s="289"/>
      <c r="AS628" s="289"/>
      <c r="AT628" s="289"/>
    </row>
    <row r="629" spans="1:46" ht="15.75" customHeight="1" x14ac:dyDescent="0.25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  <c r="AC629" s="289"/>
      <c r="AD629" s="289"/>
      <c r="AE629" s="289"/>
      <c r="AF629" s="289"/>
      <c r="AG629" s="289"/>
      <c r="AH629" s="289"/>
      <c r="AI629" s="289"/>
      <c r="AJ629" s="289"/>
      <c r="AK629" s="289"/>
      <c r="AL629" s="289"/>
      <c r="AM629" s="289"/>
      <c r="AN629" s="289"/>
      <c r="AO629" s="289"/>
      <c r="AP629" s="289"/>
      <c r="AQ629" s="289"/>
      <c r="AR629" s="289"/>
      <c r="AS629" s="289"/>
      <c r="AT629" s="289"/>
    </row>
    <row r="630" spans="1:46" ht="15.75" customHeight="1" x14ac:dyDescent="0.25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  <c r="AC630" s="289"/>
      <c r="AD630" s="289"/>
      <c r="AE630" s="289"/>
      <c r="AF630" s="289"/>
      <c r="AG630" s="289"/>
      <c r="AH630" s="289"/>
      <c r="AI630" s="289"/>
      <c r="AJ630" s="289"/>
      <c r="AK630" s="289"/>
      <c r="AL630" s="289"/>
      <c r="AM630" s="289"/>
      <c r="AN630" s="289"/>
      <c r="AO630" s="289"/>
      <c r="AP630" s="289"/>
      <c r="AQ630" s="289"/>
      <c r="AR630" s="289"/>
      <c r="AS630" s="289"/>
      <c r="AT630" s="289"/>
    </row>
    <row r="631" spans="1:46" ht="15.75" customHeight="1" x14ac:dyDescent="0.25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289"/>
      <c r="AI631" s="289"/>
      <c r="AJ631" s="289"/>
      <c r="AK631" s="289"/>
      <c r="AL631" s="289"/>
      <c r="AM631" s="289"/>
      <c r="AN631" s="289"/>
      <c r="AO631" s="289"/>
      <c r="AP631" s="289"/>
      <c r="AQ631" s="289"/>
      <c r="AR631" s="289"/>
      <c r="AS631" s="289"/>
      <c r="AT631" s="289"/>
    </row>
    <row r="632" spans="1:46" ht="15.75" customHeight="1" x14ac:dyDescent="0.25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  <c r="AC632" s="289"/>
      <c r="AD632" s="289"/>
      <c r="AE632" s="289"/>
      <c r="AF632" s="289"/>
      <c r="AG632" s="289"/>
      <c r="AH632" s="289"/>
      <c r="AI632" s="289"/>
      <c r="AJ632" s="289"/>
      <c r="AK632" s="289"/>
      <c r="AL632" s="289"/>
      <c r="AM632" s="289"/>
      <c r="AN632" s="289"/>
      <c r="AO632" s="289"/>
      <c r="AP632" s="289"/>
      <c r="AQ632" s="289"/>
      <c r="AR632" s="289"/>
      <c r="AS632" s="289"/>
      <c r="AT632" s="289"/>
    </row>
    <row r="633" spans="1:46" ht="15.75" customHeight="1" x14ac:dyDescent="0.25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  <c r="AC633" s="289"/>
      <c r="AD633" s="289"/>
      <c r="AE633" s="289"/>
      <c r="AF633" s="289"/>
      <c r="AG633" s="289"/>
      <c r="AH633" s="289"/>
      <c r="AI633" s="289"/>
      <c r="AJ633" s="289"/>
      <c r="AK633" s="289"/>
      <c r="AL633" s="289"/>
      <c r="AM633" s="289"/>
      <c r="AN633" s="289"/>
      <c r="AO633" s="289"/>
      <c r="AP633" s="289"/>
      <c r="AQ633" s="289"/>
      <c r="AR633" s="289"/>
      <c r="AS633" s="289"/>
      <c r="AT633" s="289"/>
    </row>
    <row r="634" spans="1:46" ht="15.75" customHeight="1" x14ac:dyDescent="0.25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  <c r="AC634" s="289"/>
      <c r="AD634" s="289"/>
      <c r="AE634" s="289"/>
      <c r="AF634" s="289"/>
      <c r="AG634" s="289"/>
      <c r="AH634" s="289"/>
      <c r="AI634" s="289"/>
      <c r="AJ634" s="289"/>
      <c r="AK634" s="289"/>
      <c r="AL634" s="289"/>
      <c r="AM634" s="289"/>
      <c r="AN634" s="289"/>
      <c r="AO634" s="289"/>
      <c r="AP634" s="289"/>
      <c r="AQ634" s="289"/>
      <c r="AR634" s="289"/>
      <c r="AS634" s="289"/>
      <c r="AT634" s="289"/>
    </row>
    <row r="635" spans="1:46" ht="15.75" customHeight="1" x14ac:dyDescent="0.25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  <c r="AC635" s="289"/>
      <c r="AD635" s="289"/>
      <c r="AE635" s="289"/>
      <c r="AF635" s="289"/>
      <c r="AG635" s="289"/>
      <c r="AH635" s="289"/>
      <c r="AI635" s="289"/>
      <c r="AJ635" s="289"/>
      <c r="AK635" s="289"/>
      <c r="AL635" s="289"/>
      <c r="AM635" s="289"/>
      <c r="AN635" s="289"/>
      <c r="AO635" s="289"/>
      <c r="AP635" s="289"/>
      <c r="AQ635" s="289"/>
      <c r="AR635" s="289"/>
      <c r="AS635" s="289"/>
      <c r="AT635" s="289"/>
    </row>
    <row r="636" spans="1:46" ht="15.75" customHeight="1" x14ac:dyDescent="0.25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  <c r="AC636" s="289"/>
      <c r="AD636" s="289"/>
      <c r="AE636" s="289"/>
      <c r="AF636" s="289"/>
      <c r="AG636" s="289"/>
      <c r="AH636" s="289"/>
      <c r="AI636" s="289"/>
      <c r="AJ636" s="289"/>
      <c r="AK636" s="289"/>
      <c r="AL636" s="289"/>
      <c r="AM636" s="289"/>
      <c r="AN636" s="289"/>
      <c r="AO636" s="289"/>
      <c r="AP636" s="289"/>
      <c r="AQ636" s="289"/>
      <c r="AR636" s="289"/>
      <c r="AS636" s="289"/>
      <c r="AT636" s="289"/>
    </row>
    <row r="637" spans="1:46" ht="15.75" customHeight="1" x14ac:dyDescent="0.25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  <c r="AC637" s="289"/>
      <c r="AD637" s="289"/>
      <c r="AE637" s="289"/>
      <c r="AF637" s="289"/>
      <c r="AG637" s="289"/>
      <c r="AH637" s="289"/>
      <c r="AI637" s="289"/>
      <c r="AJ637" s="289"/>
      <c r="AK637" s="289"/>
      <c r="AL637" s="289"/>
      <c r="AM637" s="289"/>
      <c r="AN637" s="289"/>
      <c r="AO637" s="289"/>
      <c r="AP637" s="289"/>
      <c r="AQ637" s="289"/>
      <c r="AR637" s="289"/>
      <c r="AS637" s="289"/>
      <c r="AT637" s="289"/>
    </row>
    <row r="638" spans="1:46" ht="15.75" customHeight="1" x14ac:dyDescent="0.25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  <c r="AC638" s="289"/>
      <c r="AD638" s="289"/>
      <c r="AE638" s="289"/>
      <c r="AF638" s="289"/>
      <c r="AG638" s="289"/>
      <c r="AH638" s="289"/>
      <c r="AI638" s="289"/>
      <c r="AJ638" s="289"/>
      <c r="AK638" s="289"/>
      <c r="AL638" s="289"/>
      <c r="AM638" s="289"/>
      <c r="AN638" s="289"/>
      <c r="AO638" s="289"/>
      <c r="AP638" s="289"/>
      <c r="AQ638" s="289"/>
      <c r="AR638" s="289"/>
      <c r="AS638" s="289"/>
      <c r="AT638" s="289"/>
    </row>
    <row r="639" spans="1:46" ht="15.75" customHeight="1" x14ac:dyDescent="0.25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  <c r="AC639" s="289"/>
      <c r="AD639" s="289"/>
      <c r="AE639" s="289"/>
      <c r="AF639" s="289"/>
      <c r="AG639" s="289"/>
      <c r="AH639" s="289"/>
      <c r="AI639" s="289"/>
      <c r="AJ639" s="289"/>
      <c r="AK639" s="289"/>
      <c r="AL639" s="289"/>
      <c r="AM639" s="289"/>
      <c r="AN639" s="289"/>
      <c r="AO639" s="289"/>
      <c r="AP639" s="289"/>
      <c r="AQ639" s="289"/>
      <c r="AR639" s="289"/>
      <c r="AS639" s="289"/>
      <c r="AT639" s="289"/>
    </row>
    <row r="640" spans="1:46" ht="15.75" customHeight="1" x14ac:dyDescent="0.25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  <c r="AC640" s="289"/>
      <c r="AD640" s="289"/>
      <c r="AE640" s="289"/>
      <c r="AF640" s="289"/>
      <c r="AG640" s="289"/>
      <c r="AH640" s="289"/>
      <c r="AI640" s="289"/>
      <c r="AJ640" s="289"/>
      <c r="AK640" s="289"/>
      <c r="AL640" s="289"/>
      <c r="AM640" s="289"/>
      <c r="AN640" s="289"/>
      <c r="AO640" s="289"/>
      <c r="AP640" s="289"/>
      <c r="AQ640" s="289"/>
      <c r="AR640" s="289"/>
      <c r="AS640" s="289"/>
      <c r="AT640" s="289"/>
    </row>
    <row r="641" spans="1:46" ht="15.75" customHeight="1" x14ac:dyDescent="0.25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  <c r="AC641" s="289"/>
      <c r="AD641" s="289"/>
      <c r="AE641" s="289"/>
      <c r="AF641" s="289"/>
      <c r="AG641" s="289"/>
      <c r="AH641" s="289"/>
      <c r="AI641" s="289"/>
      <c r="AJ641" s="289"/>
      <c r="AK641" s="289"/>
      <c r="AL641" s="289"/>
      <c r="AM641" s="289"/>
      <c r="AN641" s="289"/>
      <c r="AO641" s="289"/>
      <c r="AP641" s="289"/>
      <c r="AQ641" s="289"/>
      <c r="AR641" s="289"/>
      <c r="AS641" s="289"/>
      <c r="AT641" s="289"/>
    </row>
    <row r="642" spans="1:46" ht="15.75" customHeight="1" x14ac:dyDescent="0.25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  <c r="AC642" s="289"/>
      <c r="AD642" s="289"/>
      <c r="AE642" s="289"/>
      <c r="AF642" s="289"/>
      <c r="AG642" s="289"/>
      <c r="AH642" s="289"/>
      <c r="AI642" s="289"/>
      <c r="AJ642" s="289"/>
      <c r="AK642" s="289"/>
      <c r="AL642" s="289"/>
      <c r="AM642" s="289"/>
      <c r="AN642" s="289"/>
      <c r="AO642" s="289"/>
      <c r="AP642" s="289"/>
      <c r="AQ642" s="289"/>
      <c r="AR642" s="289"/>
      <c r="AS642" s="289"/>
      <c r="AT642" s="289"/>
    </row>
    <row r="643" spans="1:46" ht="15.75" customHeight="1" x14ac:dyDescent="0.25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289"/>
      <c r="AE643" s="289"/>
      <c r="AF643" s="289"/>
      <c r="AG643" s="289"/>
      <c r="AH643" s="289"/>
      <c r="AI643" s="289"/>
      <c r="AJ643" s="289"/>
      <c r="AK643" s="289"/>
      <c r="AL643" s="289"/>
      <c r="AM643" s="289"/>
      <c r="AN643" s="289"/>
      <c r="AO643" s="289"/>
      <c r="AP643" s="289"/>
      <c r="AQ643" s="289"/>
      <c r="AR643" s="289"/>
      <c r="AS643" s="289"/>
      <c r="AT643" s="289"/>
    </row>
    <row r="644" spans="1:46" ht="15.75" customHeight="1" x14ac:dyDescent="0.25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  <c r="AC644" s="289"/>
      <c r="AD644" s="289"/>
      <c r="AE644" s="289"/>
      <c r="AF644" s="289"/>
      <c r="AG644" s="289"/>
      <c r="AH644" s="289"/>
      <c r="AI644" s="289"/>
      <c r="AJ644" s="289"/>
      <c r="AK644" s="289"/>
      <c r="AL644" s="289"/>
      <c r="AM644" s="289"/>
      <c r="AN644" s="289"/>
      <c r="AO644" s="289"/>
      <c r="AP644" s="289"/>
      <c r="AQ644" s="289"/>
      <c r="AR644" s="289"/>
      <c r="AS644" s="289"/>
      <c r="AT644" s="289"/>
    </row>
    <row r="645" spans="1:46" ht="15.75" customHeight="1" x14ac:dyDescent="0.25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  <c r="AC645" s="289"/>
      <c r="AD645" s="289"/>
      <c r="AE645" s="289"/>
      <c r="AF645" s="289"/>
      <c r="AG645" s="289"/>
      <c r="AH645" s="289"/>
      <c r="AI645" s="289"/>
      <c r="AJ645" s="289"/>
      <c r="AK645" s="289"/>
      <c r="AL645" s="289"/>
      <c r="AM645" s="289"/>
      <c r="AN645" s="289"/>
      <c r="AO645" s="289"/>
      <c r="AP645" s="289"/>
      <c r="AQ645" s="289"/>
      <c r="AR645" s="289"/>
      <c r="AS645" s="289"/>
      <c r="AT645" s="289"/>
    </row>
    <row r="646" spans="1:46" ht="15.75" customHeight="1" x14ac:dyDescent="0.25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  <c r="AC646" s="289"/>
      <c r="AD646" s="289"/>
      <c r="AE646" s="289"/>
      <c r="AF646" s="289"/>
      <c r="AG646" s="289"/>
      <c r="AH646" s="289"/>
      <c r="AI646" s="289"/>
      <c r="AJ646" s="289"/>
      <c r="AK646" s="289"/>
      <c r="AL646" s="289"/>
      <c r="AM646" s="289"/>
      <c r="AN646" s="289"/>
      <c r="AO646" s="289"/>
      <c r="AP646" s="289"/>
      <c r="AQ646" s="289"/>
      <c r="AR646" s="289"/>
      <c r="AS646" s="289"/>
      <c r="AT646" s="289"/>
    </row>
    <row r="647" spans="1:46" ht="15.75" customHeight="1" x14ac:dyDescent="0.25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  <c r="AC647" s="289"/>
      <c r="AD647" s="289"/>
      <c r="AE647" s="289"/>
      <c r="AF647" s="289"/>
      <c r="AG647" s="289"/>
      <c r="AH647" s="289"/>
      <c r="AI647" s="289"/>
      <c r="AJ647" s="289"/>
      <c r="AK647" s="289"/>
      <c r="AL647" s="289"/>
      <c r="AM647" s="289"/>
      <c r="AN647" s="289"/>
      <c r="AO647" s="289"/>
      <c r="AP647" s="289"/>
      <c r="AQ647" s="289"/>
      <c r="AR647" s="289"/>
      <c r="AS647" s="289"/>
      <c r="AT647" s="289"/>
    </row>
    <row r="648" spans="1:46" ht="15.75" customHeight="1" x14ac:dyDescent="0.25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  <c r="AC648" s="289"/>
      <c r="AD648" s="289"/>
      <c r="AE648" s="289"/>
      <c r="AF648" s="289"/>
      <c r="AG648" s="289"/>
      <c r="AH648" s="289"/>
      <c r="AI648" s="289"/>
      <c r="AJ648" s="289"/>
      <c r="AK648" s="289"/>
      <c r="AL648" s="289"/>
      <c r="AM648" s="289"/>
      <c r="AN648" s="289"/>
      <c r="AO648" s="289"/>
      <c r="AP648" s="289"/>
      <c r="AQ648" s="289"/>
      <c r="AR648" s="289"/>
      <c r="AS648" s="289"/>
      <c r="AT648" s="289"/>
    </row>
    <row r="649" spans="1:46" ht="15.75" customHeight="1" x14ac:dyDescent="0.25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  <c r="AC649" s="289"/>
      <c r="AD649" s="289"/>
      <c r="AE649" s="289"/>
      <c r="AF649" s="289"/>
      <c r="AG649" s="289"/>
      <c r="AH649" s="289"/>
      <c r="AI649" s="289"/>
      <c r="AJ649" s="289"/>
      <c r="AK649" s="289"/>
      <c r="AL649" s="289"/>
      <c r="AM649" s="289"/>
      <c r="AN649" s="289"/>
      <c r="AO649" s="289"/>
      <c r="AP649" s="289"/>
      <c r="AQ649" s="289"/>
      <c r="AR649" s="289"/>
      <c r="AS649" s="289"/>
      <c r="AT649" s="289"/>
    </row>
    <row r="650" spans="1:46" ht="15.75" customHeight="1" x14ac:dyDescent="0.25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  <c r="AC650" s="289"/>
      <c r="AD650" s="289"/>
      <c r="AE650" s="289"/>
      <c r="AF650" s="289"/>
      <c r="AG650" s="289"/>
      <c r="AH650" s="289"/>
      <c r="AI650" s="289"/>
      <c r="AJ650" s="289"/>
      <c r="AK650" s="289"/>
      <c r="AL650" s="289"/>
      <c r="AM650" s="289"/>
      <c r="AN650" s="289"/>
      <c r="AO650" s="289"/>
      <c r="AP650" s="289"/>
      <c r="AQ650" s="289"/>
      <c r="AR650" s="289"/>
      <c r="AS650" s="289"/>
      <c r="AT650" s="289"/>
    </row>
    <row r="651" spans="1:46" ht="15.75" customHeight="1" x14ac:dyDescent="0.25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  <c r="AC651" s="289"/>
      <c r="AD651" s="289"/>
      <c r="AE651" s="289"/>
      <c r="AF651" s="289"/>
      <c r="AG651" s="289"/>
      <c r="AH651" s="289"/>
      <c r="AI651" s="289"/>
      <c r="AJ651" s="289"/>
      <c r="AK651" s="289"/>
      <c r="AL651" s="289"/>
      <c r="AM651" s="289"/>
      <c r="AN651" s="289"/>
      <c r="AO651" s="289"/>
      <c r="AP651" s="289"/>
      <c r="AQ651" s="289"/>
      <c r="AR651" s="289"/>
      <c r="AS651" s="289"/>
      <c r="AT651" s="289"/>
    </row>
    <row r="652" spans="1:46" ht="15.75" customHeight="1" x14ac:dyDescent="0.25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  <c r="AC652" s="289"/>
      <c r="AD652" s="289"/>
      <c r="AE652" s="289"/>
      <c r="AF652" s="289"/>
      <c r="AG652" s="289"/>
      <c r="AH652" s="289"/>
      <c r="AI652" s="289"/>
      <c r="AJ652" s="289"/>
      <c r="AK652" s="289"/>
      <c r="AL652" s="289"/>
      <c r="AM652" s="289"/>
      <c r="AN652" s="289"/>
      <c r="AO652" s="289"/>
      <c r="AP652" s="289"/>
      <c r="AQ652" s="289"/>
      <c r="AR652" s="289"/>
      <c r="AS652" s="289"/>
      <c r="AT652" s="289"/>
    </row>
    <row r="653" spans="1:46" ht="15.75" customHeight="1" x14ac:dyDescent="0.25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  <c r="AC653" s="289"/>
      <c r="AD653" s="289"/>
      <c r="AE653" s="289"/>
      <c r="AF653" s="289"/>
      <c r="AG653" s="289"/>
      <c r="AH653" s="289"/>
      <c r="AI653" s="289"/>
      <c r="AJ653" s="289"/>
      <c r="AK653" s="289"/>
      <c r="AL653" s="289"/>
      <c r="AM653" s="289"/>
      <c r="AN653" s="289"/>
      <c r="AO653" s="289"/>
      <c r="AP653" s="289"/>
      <c r="AQ653" s="289"/>
      <c r="AR653" s="289"/>
      <c r="AS653" s="289"/>
      <c r="AT653" s="289"/>
    </row>
    <row r="654" spans="1:46" ht="15.75" customHeight="1" x14ac:dyDescent="0.25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  <c r="AC654" s="289"/>
      <c r="AD654" s="289"/>
      <c r="AE654" s="289"/>
      <c r="AF654" s="289"/>
      <c r="AG654" s="289"/>
      <c r="AH654" s="289"/>
      <c r="AI654" s="289"/>
      <c r="AJ654" s="289"/>
      <c r="AK654" s="289"/>
      <c r="AL654" s="289"/>
      <c r="AM654" s="289"/>
      <c r="AN654" s="289"/>
      <c r="AO654" s="289"/>
      <c r="AP654" s="289"/>
      <c r="AQ654" s="289"/>
      <c r="AR654" s="289"/>
      <c r="AS654" s="289"/>
      <c r="AT654" s="289"/>
    </row>
    <row r="655" spans="1:46" ht="15.75" customHeight="1" x14ac:dyDescent="0.25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  <c r="AC655" s="289"/>
      <c r="AD655" s="289"/>
      <c r="AE655" s="289"/>
      <c r="AF655" s="289"/>
      <c r="AG655" s="289"/>
      <c r="AH655" s="289"/>
      <c r="AI655" s="289"/>
      <c r="AJ655" s="289"/>
      <c r="AK655" s="289"/>
      <c r="AL655" s="289"/>
      <c r="AM655" s="289"/>
      <c r="AN655" s="289"/>
      <c r="AO655" s="289"/>
      <c r="AP655" s="289"/>
      <c r="AQ655" s="289"/>
      <c r="AR655" s="289"/>
      <c r="AS655" s="289"/>
      <c r="AT655" s="289"/>
    </row>
    <row r="656" spans="1:46" ht="15.75" customHeight="1" x14ac:dyDescent="0.25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  <c r="AC656" s="289"/>
      <c r="AD656" s="289"/>
      <c r="AE656" s="289"/>
      <c r="AF656" s="289"/>
      <c r="AG656" s="289"/>
      <c r="AH656" s="289"/>
      <c r="AI656" s="289"/>
      <c r="AJ656" s="289"/>
      <c r="AK656" s="289"/>
      <c r="AL656" s="289"/>
      <c r="AM656" s="289"/>
      <c r="AN656" s="289"/>
      <c r="AO656" s="289"/>
      <c r="AP656" s="289"/>
      <c r="AQ656" s="289"/>
      <c r="AR656" s="289"/>
      <c r="AS656" s="289"/>
      <c r="AT656" s="289"/>
    </row>
    <row r="657" spans="1:46" ht="15.75" customHeight="1" x14ac:dyDescent="0.25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  <c r="AC657" s="289"/>
      <c r="AD657" s="289"/>
      <c r="AE657" s="289"/>
      <c r="AF657" s="289"/>
      <c r="AG657" s="289"/>
      <c r="AH657" s="289"/>
      <c r="AI657" s="289"/>
      <c r="AJ657" s="289"/>
      <c r="AK657" s="289"/>
      <c r="AL657" s="289"/>
      <c r="AM657" s="289"/>
      <c r="AN657" s="289"/>
      <c r="AO657" s="289"/>
      <c r="AP657" s="289"/>
      <c r="AQ657" s="289"/>
      <c r="AR657" s="289"/>
      <c r="AS657" s="289"/>
      <c r="AT657" s="289"/>
    </row>
    <row r="658" spans="1:46" ht="15.75" customHeight="1" x14ac:dyDescent="0.25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  <c r="AC658" s="289"/>
      <c r="AD658" s="289"/>
      <c r="AE658" s="289"/>
      <c r="AF658" s="289"/>
      <c r="AG658" s="289"/>
      <c r="AH658" s="289"/>
      <c r="AI658" s="289"/>
      <c r="AJ658" s="289"/>
      <c r="AK658" s="289"/>
      <c r="AL658" s="289"/>
      <c r="AM658" s="289"/>
      <c r="AN658" s="289"/>
      <c r="AO658" s="289"/>
      <c r="AP658" s="289"/>
      <c r="AQ658" s="289"/>
      <c r="AR658" s="289"/>
      <c r="AS658" s="289"/>
      <c r="AT658" s="289"/>
    </row>
    <row r="659" spans="1:46" ht="15.75" customHeight="1" x14ac:dyDescent="0.25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  <c r="AC659" s="289"/>
      <c r="AD659" s="289"/>
      <c r="AE659" s="289"/>
      <c r="AF659" s="289"/>
      <c r="AG659" s="289"/>
      <c r="AH659" s="289"/>
      <c r="AI659" s="289"/>
      <c r="AJ659" s="289"/>
      <c r="AK659" s="289"/>
      <c r="AL659" s="289"/>
      <c r="AM659" s="289"/>
      <c r="AN659" s="289"/>
      <c r="AO659" s="289"/>
      <c r="AP659" s="289"/>
      <c r="AQ659" s="289"/>
      <c r="AR659" s="289"/>
      <c r="AS659" s="289"/>
      <c r="AT659" s="289"/>
    </row>
    <row r="660" spans="1:46" ht="15.75" customHeight="1" x14ac:dyDescent="0.25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  <c r="AC660" s="289"/>
      <c r="AD660" s="289"/>
      <c r="AE660" s="289"/>
      <c r="AF660" s="289"/>
      <c r="AG660" s="289"/>
      <c r="AH660" s="289"/>
      <c r="AI660" s="289"/>
      <c r="AJ660" s="289"/>
      <c r="AK660" s="289"/>
      <c r="AL660" s="289"/>
      <c r="AM660" s="289"/>
      <c r="AN660" s="289"/>
      <c r="AO660" s="289"/>
      <c r="AP660" s="289"/>
      <c r="AQ660" s="289"/>
      <c r="AR660" s="289"/>
      <c r="AS660" s="289"/>
      <c r="AT660" s="289"/>
    </row>
    <row r="661" spans="1:46" ht="15.75" customHeight="1" x14ac:dyDescent="0.25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  <c r="AC661" s="289"/>
      <c r="AD661" s="289"/>
      <c r="AE661" s="289"/>
      <c r="AF661" s="289"/>
      <c r="AG661" s="289"/>
      <c r="AH661" s="289"/>
      <c r="AI661" s="289"/>
      <c r="AJ661" s="289"/>
      <c r="AK661" s="289"/>
      <c r="AL661" s="289"/>
      <c r="AM661" s="289"/>
      <c r="AN661" s="289"/>
      <c r="AO661" s="289"/>
      <c r="AP661" s="289"/>
      <c r="AQ661" s="289"/>
      <c r="AR661" s="289"/>
      <c r="AS661" s="289"/>
      <c r="AT661" s="289"/>
    </row>
    <row r="662" spans="1:46" ht="15.75" customHeight="1" x14ac:dyDescent="0.25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  <c r="AC662" s="289"/>
      <c r="AD662" s="289"/>
      <c r="AE662" s="289"/>
      <c r="AF662" s="289"/>
      <c r="AG662" s="289"/>
      <c r="AH662" s="289"/>
      <c r="AI662" s="289"/>
      <c r="AJ662" s="289"/>
      <c r="AK662" s="289"/>
      <c r="AL662" s="289"/>
      <c r="AM662" s="289"/>
      <c r="AN662" s="289"/>
      <c r="AO662" s="289"/>
      <c r="AP662" s="289"/>
      <c r="AQ662" s="289"/>
      <c r="AR662" s="289"/>
      <c r="AS662" s="289"/>
      <c r="AT662" s="289"/>
    </row>
    <row r="663" spans="1:46" ht="15.75" customHeight="1" x14ac:dyDescent="0.25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  <c r="AC663" s="289"/>
      <c r="AD663" s="289"/>
      <c r="AE663" s="289"/>
      <c r="AF663" s="289"/>
      <c r="AG663" s="289"/>
      <c r="AH663" s="289"/>
      <c r="AI663" s="289"/>
      <c r="AJ663" s="289"/>
      <c r="AK663" s="289"/>
      <c r="AL663" s="289"/>
      <c r="AM663" s="289"/>
      <c r="AN663" s="289"/>
      <c r="AO663" s="289"/>
      <c r="AP663" s="289"/>
      <c r="AQ663" s="289"/>
      <c r="AR663" s="289"/>
      <c r="AS663" s="289"/>
      <c r="AT663" s="289"/>
    </row>
    <row r="664" spans="1:46" ht="15.75" customHeight="1" x14ac:dyDescent="0.25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  <c r="AC664" s="289"/>
      <c r="AD664" s="289"/>
      <c r="AE664" s="289"/>
      <c r="AF664" s="289"/>
      <c r="AG664" s="289"/>
      <c r="AH664" s="289"/>
      <c r="AI664" s="289"/>
      <c r="AJ664" s="289"/>
      <c r="AK664" s="289"/>
      <c r="AL664" s="289"/>
      <c r="AM664" s="289"/>
      <c r="AN664" s="289"/>
      <c r="AO664" s="289"/>
      <c r="AP664" s="289"/>
      <c r="AQ664" s="289"/>
      <c r="AR664" s="289"/>
      <c r="AS664" s="289"/>
      <c r="AT664" s="289"/>
    </row>
    <row r="665" spans="1:46" ht="15.75" customHeight="1" x14ac:dyDescent="0.25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  <c r="AC665" s="289"/>
      <c r="AD665" s="289"/>
      <c r="AE665" s="289"/>
      <c r="AF665" s="289"/>
      <c r="AG665" s="289"/>
      <c r="AH665" s="289"/>
      <c r="AI665" s="289"/>
      <c r="AJ665" s="289"/>
      <c r="AK665" s="289"/>
      <c r="AL665" s="289"/>
      <c r="AM665" s="289"/>
      <c r="AN665" s="289"/>
      <c r="AO665" s="289"/>
      <c r="AP665" s="289"/>
      <c r="AQ665" s="289"/>
      <c r="AR665" s="289"/>
      <c r="AS665" s="289"/>
      <c r="AT665" s="289"/>
    </row>
    <row r="666" spans="1:46" ht="15.75" customHeight="1" x14ac:dyDescent="0.25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  <c r="AC666" s="289"/>
      <c r="AD666" s="289"/>
      <c r="AE666" s="289"/>
      <c r="AF666" s="289"/>
      <c r="AG666" s="289"/>
      <c r="AH666" s="289"/>
      <c r="AI666" s="289"/>
      <c r="AJ666" s="289"/>
      <c r="AK666" s="289"/>
      <c r="AL666" s="289"/>
      <c r="AM666" s="289"/>
      <c r="AN666" s="289"/>
      <c r="AO666" s="289"/>
      <c r="AP666" s="289"/>
      <c r="AQ666" s="289"/>
      <c r="AR666" s="289"/>
      <c r="AS666" s="289"/>
      <c r="AT666" s="289"/>
    </row>
    <row r="667" spans="1:46" ht="15.75" customHeight="1" x14ac:dyDescent="0.25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  <c r="AC667" s="289"/>
      <c r="AD667" s="289"/>
      <c r="AE667" s="289"/>
      <c r="AF667" s="289"/>
      <c r="AG667" s="289"/>
      <c r="AH667" s="289"/>
      <c r="AI667" s="289"/>
      <c r="AJ667" s="289"/>
      <c r="AK667" s="289"/>
      <c r="AL667" s="289"/>
      <c r="AM667" s="289"/>
      <c r="AN667" s="289"/>
      <c r="AO667" s="289"/>
      <c r="AP667" s="289"/>
      <c r="AQ667" s="289"/>
      <c r="AR667" s="289"/>
      <c r="AS667" s="289"/>
      <c r="AT667" s="289"/>
    </row>
    <row r="668" spans="1:46" ht="15.75" customHeight="1" x14ac:dyDescent="0.25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  <c r="AC668" s="289"/>
      <c r="AD668" s="289"/>
      <c r="AE668" s="289"/>
      <c r="AF668" s="289"/>
      <c r="AG668" s="289"/>
      <c r="AH668" s="289"/>
      <c r="AI668" s="289"/>
      <c r="AJ668" s="289"/>
      <c r="AK668" s="289"/>
      <c r="AL668" s="289"/>
      <c r="AM668" s="289"/>
      <c r="AN668" s="289"/>
      <c r="AO668" s="289"/>
      <c r="AP668" s="289"/>
      <c r="AQ668" s="289"/>
      <c r="AR668" s="289"/>
      <c r="AS668" s="289"/>
      <c r="AT668" s="289"/>
    </row>
    <row r="669" spans="1:46" ht="15.75" customHeight="1" x14ac:dyDescent="0.25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  <c r="AC669" s="289"/>
      <c r="AD669" s="289"/>
      <c r="AE669" s="289"/>
      <c r="AF669" s="289"/>
      <c r="AG669" s="289"/>
      <c r="AH669" s="289"/>
      <c r="AI669" s="289"/>
      <c r="AJ669" s="289"/>
      <c r="AK669" s="289"/>
      <c r="AL669" s="289"/>
      <c r="AM669" s="289"/>
      <c r="AN669" s="289"/>
      <c r="AO669" s="289"/>
      <c r="AP669" s="289"/>
      <c r="AQ669" s="289"/>
      <c r="AR669" s="289"/>
      <c r="AS669" s="289"/>
      <c r="AT669" s="289"/>
    </row>
    <row r="670" spans="1:46" ht="15.75" customHeight="1" x14ac:dyDescent="0.25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  <c r="AC670" s="289"/>
      <c r="AD670" s="289"/>
      <c r="AE670" s="289"/>
      <c r="AF670" s="289"/>
      <c r="AG670" s="289"/>
      <c r="AH670" s="289"/>
      <c r="AI670" s="289"/>
      <c r="AJ670" s="289"/>
      <c r="AK670" s="289"/>
      <c r="AL670" s="289"/>
      <c r="AM670" s="289"/>
      <c r="AN670" s="289"/>
      <c r="AO670" s="289"/>
      <c r="AP670" s="289"/>
      <c r="AQ670" s="289"/>
      <c r="AR670" s="289"/>
      <c r="AS670" s="289"/>
      <c r="AT670" s="289"/>
    </row>
    <row r="671" spans="1:46" ht="15.75" customHeight="1" x14ac:dyDescent="0.25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  <c r="AC671" s="289"/>
      <c r="AD671" s="289"/>
      <c r="AE671" s="289"/>
      <c r="AF671" s="289"/>
      <c r="AG671" s="289"/>
      <c r="AH671" s="289"/>
      <c r="AI671" s="289"/>
      <c r="AJ671" s="289"/>
      <c r="AK671" s="289"/>
      <c r="AL671" s="289"/>
      <c r="AM671" s="289"/>
      <c r="AN671" s="289"/>
      <c r="AO671" s="289"/>
      <c r="AP671" s="289"/>
      <c r="AQ671" s="289"/>
      <c r="AR671" s="289"/>
      <c r="AS671" s="289"/>
      <c r="AT671" s="289"/>
    </row>
    <row r="672" spans="1:46" ht="15.75" customHeight="1" x14ac:dyDescent="0.25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  <c r="AC672" s="289"/>
      <c r="AD672" s="289"/>
      <c r="AE672" s="289"/>
      <c r="AF672" s="289"/>
      <c r="AG672" s="289"/>
      <c r="AH672" s="289"/>
      <c r="AI672" s="289"/>
      <c r="AJ672" s="289"/>
      <c r="AK672" s="289"/>
      <c r="AL672" s="289"/>
      <c r="AM672" s="289"/>
      <c r="AN672" s="289"/>
      <c r="AO672" s="289"/>
      <c r="AP672" s="289"/>
      <c r="AQ672" s="289"/>
      <c r="AR672" s="289"/>
      <c r="AS672" s="289"/>
      <c r="AT672" s="289"/>
    </row>
    <row r="673" spans="1:46" ht="15.75" customHeight="1" x14ac:dyDescent="0.25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  <c r="AC673" s="289"/>
      <c r="AD673" s="289"/>
      <c r="AE673" s="289"/>
      <c r="AF673" s="289"/>
      <c r="AG673" s="289"/>
      <c r="AH673" s="289"/>
      <c r="AI673" s="289"/>
      <c r="AJ673" s="289"/>
      <c r="AK673" s="289"/>
      <c r="AL673" s="289"/>
      <c r="AM673" s="289"/>
      <c r="AN673" s="289"/>
      <c r="AO673" s="289"/>
      <c r="AP673" s="289"/>
      <c r="AQ673" s="289"/>
      <c r="AR673" s="289"/>
      <c r="AS673" s="289"/>
      <c r="AT673" s="289"/>
    </row>
    <row r="674" spans="1:46" ht="15.75" customHeight="1" x14ac:dyDescent="0.25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  <c r="AC674" s="289"/>
      <c r="AD674" s="289"/>
      <c r="AE674" s="289"/>
      <c r="AF674" s="289"/>
      <c r="AG674" s="289"/>
      <c r="AH674" s="289"/>
      <c r="AI674" s="289"/>
      <c r="AJ674" s="289"/>
      <c r="AK674" s="289"/>
      <c r="AL674" s="289"/>
      <c r="AM674" s="289"/>
      <c r="AN674" s="289"/>
      <c r="AO674" s="289"/>
      <c r="AP674" s="289"/>
      <c r="AQ674" s="289"/>
      <c r="AR674" s="289"/>
      <c r="AS674" s="289"/>
      <c r="AT674" s="289"/>
    </row>
    <row r="675" spans="1:46" ht="15.75" customHeight="1" x14ac:dyDescent="0.25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  <c r="AC675" s="289"/>
      <c r="AD675" s="289"/>
      <c r="AE675" s="289"/>
      <c r="AF675" s="289"/>
      <c r="AG675" s="289"/>
      <c r="AH675" s="289"/>
      <c r="AI675" s="289"/>
      <c r="AJ675" s="289"/>
      <c r="AK675" s="289"/>
      <c r="AL675" s="289"/>
      <c r="AM675" s="289"/>
      <c r="AN675" s="289"/>
      <c r="AO675" s="289"/>
      <c r="AP675" s="289"/>
      <c r="AQ675" s="289"/>
      <c r="AR675" s="289"/>
      <c r="AS675" s="289"/>
      <c r="AT675" s="289"/>
    </row>
    <row r="676" spans="1:46" ht="15.75" customHeight="1" x14ac:dyDescent="0.25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  <c r="AC676" s="289"/>
      <c r="AD676" s="289"/>
      <c r="AE676" s="289"/>
      <c r="AF676" s="289"/>
      <c r="AG676" s="289"/>
      <c r="AH676" s="289"/>
      <c r="AI676" s="289"/>
      <c r="AJ676" s="289"/>
      <c r="AK676" s="289"/>
      <c r="AL676" s="289"/>
      <c r="AM676" s="289"/>
      <c r="AN676" s="289"/>
      <c r="AO676" s="289"/>
      <c r="AP676" s="289"/>
      <c r="AQ676" s="289"/>
      <c r="AR676" s="289"/>
      <c r="AS676" s="289"/>
      <c r="AT676" s="289"/>
    </row>
    <row r="677" spans="1:46" ht="15.75" customHeight="1" x14ac:dyDescent="0.25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  <c r="AC677" s="289"/>
      <c r="AD677" s="289"/>
      <c r="AE677" s="289"/>
      <c r="AF677" s="289"/>
      <c r="AG677" s="289"/>
      <c r="AH677" s="289"/>
      <c r="AI677" s="289"/>
      <c r="AJ677" s="289"/>
      <c r="AK677" s="289"/>
      <c r="AL677" s="289"/>
      <c r="AM677" s="289"/>
      <c r="AN677" s="289"/>
      <c r="AO677" s="289"/>
      <c r="AP677" s="289"/>
      <c r="AQ677" s="289"/>
      <c r="AR677" s="289"/>
      <c r="AS677" s="289"/>
      <c r="AT677" s="289"/>
    </row>
    <row r="678" spans="1:46" ht="15.75" customHeight="1" x14ac:dyDescent="0.25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  <c r="AC678" s="289"/>
      <c r="AD678" s="289"/>
      <c r="AE678" s="289"/>
      <c r="AF678" s="289"/>
      <c r="AG678" s="289"/>
      <c r="AH678" s="289"/>
      <c r="AI678" s="289"/>
      <c r="AJ678" s="289"/>
      <c r="AK678" s="289"/>
      <c r="AL678" s="289"/>
      <c r="AM678" s="289"/>
      <c r="AN678" s="289"/>
      <c r="AO678" s="289"/>
      <c r="AP678" s="289"/>
      <c r="AQ678" s="289"/>
      <c r="AR678" s="289"/>
      <c r="AS678" s="289"/>
      <c r="AT678" s="289"/>
    </row>
    <row r="679" spans="1:46" ht="15.75" customHeight="1" x14ac:dyDescent="0.25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  <c r="AC679" s="289"/>
      <c r="AD679" s="289"/>
      <c r="AE679" s="289"/>
      <c r="AF679" s="289"/>
      <c r="AG679" s="289"/>
      <c r="AH679" s="289"/>
      <c r="AI679" s="289"/>
      <c r="AJ679" s="289"/>
      <c r="AK679" s="289"/>
      <c r="AL679" s="289"/>
      <c r="AM679" s="289"/>
      <c r="AN679" s="289"/>
      <c r="AO679" s="289"/>
      <c r="AP679" s="289"/>
      <c r="AQ679" s="289"/>
      <c r="AR679" s="289"/>
      <c r="AS679" s="289"/>
      <c r="AT679" s="289"/>
    </row>
    <row r="680" spans="1:46" ht="15.75" customHeight="1" x14ac:dyDescent="0.25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  <c r="AC680" s="289"/>
      <c r="AD680" s="289"/>
      <c r="AE680" s="289"/>
      <c r="AF680" s="289"/>
      <c r="AG680" s="289"/>
      <c r="AH680" s="289"/>
      <c r="AI680" s="289"/>
      <c r="AJ680" s="289"/>
      <c r="AK680" s="289"/>
      <c r="AL680" s="289"/>
      <c r="AM680" s="289"/>
      <c r="AN680" s="289"/>
      <c r="AO680" s="289"/>
      <c r="AP680" s="289"/>
      <c r="AQ680" s="289"/>
      <c r="AR680" s="289"/>
      <c r="AS680" s="289"/>
      <c r="AT680" s="289"/>
    </row>
    <row r="681" spans="1:46" ht="15.75" customHeight="1" x14ac:dyDescent="0.25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  <c r="AC681" s="289"/>
      <c r="AD681" s="289"/>
      <c r="AE681" s="289"/>
      <c r="AF681" s="289"/>
      <c r="AG681" s="289"/>
      <c r="AH681" s="289"/>
      <c r="AI681" s="289"/>
      <c r="AJ681" s="289"/>
      <c r="AK681" s="289"/>
      <c r="AL681" s="289"/>
      <c r="AM681" s="289"/>
      <c r="AN681" s="289"/>
      <c r="AO681" s="289"/>
      <c r="AP681" s="289"/>
      <c r="AQ681" s="289"/>
      <c r="AR681" s="289"/>
      <c r="AS681" s="289"/>
      <c r="AT681" s="289"/>
    </row>
    <row r="682" spans="1:46" ht="15.75" customHeight="1" x14ac:dyDescent="0.25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  <c r="AC682" s="289"/>
      <c r="AD682" s="289"/>
      <c r="AE682" s="289"/>
      <c r="AF682" s="289"/>
      <c r="AG682" s="289"/>
      <c r="AH682" s="289"/>
      <c r="AI682" s="289"/>
      <c r="AJ682" s="289"/>
      <c r="AK682" s="289"/>
      <c r="AL682" s="289"/>
      <c r="AM682" s="289"/>
      <c r="AN682" s="289"/>
      <c r="AO682" s="289"/>
      <c r="AP682" s="289"/>
      <c r="AQ682" s="289"/>
      <c r="AR682" s="289"/>
      <c r="AS682" s="289"/>
      <c r="AT682" s="289"/>
    </row>
    <row r="683" spans="1:46" ht="15.75" customHeight="1" x14ac:dyDescent="0.25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  <c r="AC683" s="289"/>
      <c r="AD683" s="289"/>
      <c r="AE683" s="289"/>
      <c r="AF683" s="289"/>
      <c r="AG683" s="289"/>
      <c r="AH683" s="289"/>
      <c r="AI683" s="289"/>
      <c r="AJ683" s="289"/>
      <c r="AK683" s="289"/>
      <c r="AL683" s="289"/>
      <c r="AM683" s="289"/>
      <c r="AN683" s="289"/>
      <c r="AO683" s="289"/>
      <c r="AP683" s="289"/>
      <c r="AQ683" s="289"/>
      <c r="AR683" s="289"/>
      <c r="AS683" s="289"/>
      <c r="AT683" s="289"/>
    </row>
    <row r="684" spans="1:46" ht="15.75" customHeight="1" x14ac:dyDescent="0.25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  <c r="AC684" s="289"/>
      <c r="AD684" s="289"/>
      <c r="AE684" s="289"/>
      <c r="AF684" s="289"/>
      <c r="AG684" s="289"/>
      <c r="AH684" s="289"/>
      <c r="AI684" s="289"/>
      <c r="AJ684" s="289"/>
      <c r="AK684" s="289"/>
      <c r="AL684" s="289"/>
      <c r="AM684" s="289"/>
      <c r="AN684" s="289"/>
      <c r="AO684" s="289"/>
      <c r="AP684" s="289"/>
      <c r="AQ684" s="289"/>
      <c r="AR684" s="289"/>
      <c r="AS684" s="289"/>
      <c r="AT684" s="289"/>
    </row>
    <row r="685" spans="1:46" ht="15.75" customHeight="1" x14ac:dyDescent="0.25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  <c r="AC685" s="289"/>
      <c r="AD685" s="289"/>
      <c r="AE685" s="289"/>
      <c r="AF685" s="289"/>
      <c r="AG685" s="289"/>
      <c r="AH685" s="289"/>
      <c r="AI685" s="289"/>
      <c r="AJ685" s="289"/>
      <c r="AK685" s="289"/>
      <c r="AL685" s="289"/>
      <c r="AM685" s="289"/>
      <c r="AN685" s="289"/>
      <c r="AO685" s="289"/>
      <c r="AP685" s="289"/>
      <c r="AQ685" s="289"/>
      <c r="AR685" s="289"/>
      <c r="AS685" s="289"/>
      <c r="AT685" s="289"/>
    </row>
    <row r="686" spans="1:46" ht="15.75" customHeight="1" x14ac:dyDescent="0.25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  <c r="AC686" s="289"/>
      <c r="AD686" s="289"/>
      <c r="AE686" s="289"/>
      <c r="AF686" s="289"/>
      <c r="AG686" s="289"/>
      <c r="AH686" s="289"/>
      <c r="AI686" s="289"/>
      <c r="AJ686" s="289"/>
      <c r="AK686" s="289"/>
      <c r="AL686" s="289"/>
      <c r="AM686" s="289"/>
      <c r="AN686" s="289"/>
      <c r="AO686" s="289"/>
      <c r="AP686" s="289"/>
      <c r="AQ686" s="289"/>
      <c r="AR686" s="289"/>
      <c r="AS686" s="289"/>
      <c r="AT686" s="289"/>
    </row>
    <row r="687" spans="1:46" ht="15.75" customHeight="1" x14ac:dyDescent="0.25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  <c r="AC687" s="289"/>
      <c r="AD687" s="289"/>
      <c r="AE687" s="289"/>
      <c r="AF687" s="289"/>
      <c r="AG687" s="289"/>
      <c r="AH687" s="289"/>
      <c r="AI687" s="289"/>
      <c r="AJ687" s="289"/>
      <c r="AK687" s="289"/>
      <c r="AL687" s="289"/>
      <c r="AM687" s="289"/>
      <c r="AN687" s="289"/>
      <c r="AO687" s="289"/>
      <c r="AP687" s="289"/>
      <c r="AQ687" s="289"/>
      <c r="AR687" s="289"/>
      <c r="AS687" s="289"/>
      <c r="AT687" s="289"/>
    </row>
    <row r="688" spans="1:46" ht="15.75" customHeight="1" x14ac:dyDescent="0.25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  <c r="AC688" s="289"/>
      <c r="AD688" s="289"/>
      <c r="AE688" s="289"/>
      <c r="AF688" s="289"/>
      <c r="AG688" s="289"/>
      <c r="AH688" s="289"/>
      <c r="AI688" s="289"/>
      <c r="AJ688" s="289"/>
      <c r="AK688" s="289"/>
      <c r="AL688" s="289"/>
      <c r="AM688" s="289"/>
      <c r="AN688" s="289"/>
      <c r="AO688" s="289"/>
      <c r="AP688" s="289"/>
      <c r="AQ688" s="289"/>
      <c r="AR688" s="289"/>
      <c r="AS688" s="289"/>
      <c r="AT688" s="289"/>
    </row>
    <row r="689" spans="1:46" ht="15.75" customHeight="1" x14ac:dyDescent="0.25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  <c r="AC689" s="289"/>
      <c r="AD689" s="289"/>
      <c r="AE689" s="289"/>
      <c r="AF689" s="289"/>
      <c r="AG689" s="289"/>
      <c r="AH689" s="289"/>
      <c r="AI689" s="289"/>
      <c r="AJ689" s="289"/>
      <c r="AK689" s="289"/>
      <c r="AL689" s="289"/>
      <c r="AM689" s="289"/>
      <c r="AN689" s="289"/>
      <c r="AO689" s="289"/>
      <c r="AP689" s="289"/>
      <c r="AQ689" s="289"/>
      <c r="AR689" s="289"/>
      <c r="AS689" s="289"/>
      <c r="AT689" s="289"/>
    </row>
    <row r="690" spans="1:46" ht="15.75" customHeight="1" x14ac:dyDescent="0.25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  <c r="AC690" s="289"/>
      <c r="AD690" s="289"/>
      <c r="AE690" s="289"/>
      <c r="AF690" s="289"/>
      <c r="AG690" s="289"/>
      <c r="AH690" s="289"/>
      <c r="AI690" s="289"/>
      <c r="AJ690" s="289"/>
      <c r="AK690" s="289"/>
      <c r="AL690" s="289"/>
      <c r="AM690" s="289"/>
      <c r="AN690" s="289"/>
      <c r="AO690" s="289"/>
      <c r="AP690" s="289"/>
      <c r="AQ690" s="289"/>
      <c r="AR690" s="289"/>
      <c r="AS690" s="289"/>
      <c r="AT690" s="289"/>
    </row>
    <row r="691" spans="1:46" ht="15.75" customHeight="1" x14ac:dyDescent="0.25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  <c r="AC691" s="289"/>
      <c r="AD691" s="289"/>
      <c r="AE691" s="289"/>
      <c r="AF691" s="289"/>
      <c r="AG691" s="289"/>
      <c r="AH691" s="289"/>
      <c r="AI691" s="289"/>
      <c r="AJ691" s="289"/>
      <c r="AK691" s="289"/>
      <c r="AL691" s="289"/>
      <c r="AM691" s="289"/>
      <c r="AN691" s="289"/>
      <c r="AO691" s="289"/>
      <c r="AP691" s="289"/>
      <c r="AQ691" s="289"/>
      <c r="AR691" s="289"/>
      <c r="AS691" s="289"/>
      <c r="AT691" s="289"/>
    </row>
    <row r="692" spans="1:46" ht="15.75" customHeight="1" x14ac:dyDescent="0.25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  <c r="AC692" s="289"/>
      <c r="AD692" s="289"/>
      <c r="AE692" s="289"/>
      <c r="AF692" s="289"/>
      <c r="AG692" s="289"/>
      <c r="AH692" s="289"/>
      <c r="AI692" s="289"/>
      <c r="AJ692" s="289"/>
      <c r="AK692" s="289"/>
      <c r="AL692" s="289"/>
      <c r="AM692" s="289"/>
      <c r="AN692" s="289"/>
      <c r="AO692" s="289"/>
      <c r="AP692" s="289"/>
      <c r="AQ692" s="289"/>
      <c r="AR692" s="289"/>
      <c r="AS692" s="289"/>
      <c r="AT692" s="289"/>
    </row>
    <row r="693" spans="1:46" ht="15.75" customHeight="1" x14ac:dyDescent="0.25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  <c r="AC693" s="289"/>
      <c r="AD693" s="289"/>
      <c r="AE693" s="289"/>
      <c r="AF693" s="289"/>
      <c r="AG693" s="289"/>
      <c r="AH693" s="289"/>
      <c r="AI693" s="289"/>
      <c r="AJ693" s="289"/>
      <c r="AK693" s="289"/>
      <c r="AL693" s="289"/>
      <c r="AM693" s="289"/>
      <c r="AN693" s="289"/>
      <c r="AO693" s="289"/>
      <c r="AP693" s="289"/>
      <c r="AQ693" s="289"/>
      <c r="AR693" s="289"/>
      <c r="AS693" s="289"/>
      <c r="AT693" s="289"/>
    </row>
    <row r="694" spans="1:46" ht="15.75" customHeight="1" x14ac:dyDescent="0.25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  <c r="AC694" s="289"/>
      <c r="AD694" s="289"/>
      <c r="AE694" s="289"/>
      <c r="AF694" s="289"/>
      <c r="AG694" s="289"/>
      <c r="AH694" s="289"/>
      <c r="AI694" s="289"/>
      <c r="AJ694" s="289"/>
      <c r="AK694" s="289"/>
      <c r="AL694" s="289"/>
      <c r="AM694" s="289"/>
      <c r="AN694" s="289"/>
      <c r="AO694" s="289"/>
      <c r="AP694" s="289"/>
      <c r="AQ694" s="289"/>
      <c r="AR694" s="289"/>
      <c r="AS694" s="289"/>
      <c r="AT694" s="289"/>
    </row>
    <row r="695" spans="1:46" ht="15.75" customHeight="1" x14ac:dyDescent="0.25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  <c r="AC695" s="289"/>
      <c r="AD695" s="289"/>
      <c r="AE695" s="289"/>
      <c r="AF695" s="289"/>
      <c r="AG695" s="289"/>
      <c r="AH695" s="289"/>
      <c r="AI695" s="289"/>
      <c r="AJ695" s="289"/>
      <c r="AK695" s="289"/>
      <c r="AL695" s="289"/>
      <c r="AM695" s="289"/>
      <c r="AN695" s="289"/>
      <c r="AO695" s="289"/>
      <c r="AP695" s="289"/>
      <c r="AQ695" s="289"/>
      <c r="AR695" s="289"/>
      <c r="AS695" s="289"/>
      <c r="AT695" s="289"/>
    </row>
    <row r="696" spans="1:46" ht="15.75" customHeight="1" x14ac:dyDescent="0.25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  <c r="AC696" s="289"/>
      <c r="AD696" s="289"/>
      <c r="AE696" s="289"/>
      <c r="AF696" s="289"/>
      <c r="AG696" s="289"/>
      <c r="AH696" s="289"/>
      <c r="AI696" s="289"/>
      <c r="AJ696" s="289"/>
      <c r="AK696" s="289"/>
      <c r="AL696" s="289"/>
      <c r="AM696" s="289"/>
      <c r="AN696" s="289"/>
      <c r="AO696" s="289"/>
      <c r="AP696" s="289"/>
      <c r="AQ696" s="289"/>
      <c r="AR696" s="289"/>
      <c r="AS696" s="289"/>
      <c r="AT696" s="289"/>
    </row>
    <row r="697" spans="1:46" ht="15.75" customHeight="1" x14ac:dyDescent="0.25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  <c r="AC697" s="289"/>
      <c r="AD697" s="289"/>
      <c r="AE697" s="289"/>
      <c r="AF697" s="289"/>
      <c r="AG697" s="289"/>
      <c r="AH697" s="289"/>
      <c r="AI697" s="289"/>
      <c r="AJ697" s="289"/>
      <c r="AK697" s="289"/>
      <c r="AL697" s="289"/>
      <c r="AM697" s="289"/>
      <c r="AN697" s="289"/>
      <c r="AO697" s="289"/>
      <c r="AP697" s="289"/>
      <c r="AQ697" s="289"/>
      <c r="AR697" s="289"/>
      <c r="AS697" s="289"/>
      <c r="AT697" s="289"/>
    </row>
    <row r="698" spans="1:46" ht="15.75" customHeight="1" x14ac:dyDescent="0.25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  <c r="AC698" s="289"/>
      <c r="AD698" s="289"/>
      <c r="AE698" s="289"/>
      <c r="AF698" s="289"/>
      <c r="AG698" s="289"/>
      <c r="AH698" s="289"/>
      <c r="AI698" s="289"/>
      <c r="AJ698" s="289"/>
      <c r="AK698" s="289"/>
      <c r="AL698" s="289"/>
      <c r="AM698" s="289"/>
      <c r="AN698" s="289"/>
      <c r="AO698" s="289"/>
      <c r="AP698" s="289"/>
      <c r="AQ698" s="289"/>
      <c r="AR698" s="289"/>
      <c r="AS698" s="289"/>
      <c r="AT698" s="289"/>
    </row>
    <row r="699" spans="1:46" ht="15.75" customHeight="1" x14ac:dyDescent="0.25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  <c r="AC699" s="289"/>
      <c r="AD699" s="289"/>
      <c r="AE699" s="289"/>
      <c r="AF699" s="289"/>
      <c r="AG699" s="289"/>
      <c r="AH699" s="289"/>
      <c r="AI699" s="289"/>
      <c r="AJ699" s="289"/>
      <c r="AK699" s="289"/>
      <c r="AL699" s="289"/>
      <c r="AM699" s="289"/>
      <c r="AN699" s="289"/>
      <c r="AO699" s="289"/>
      <c r="AP699" s="289"/>
      <c r="AQ699" s="289"/>
      <c r="AR699" s="289"/>
      <c r="AS699" s="289"/>
      <c r="AT699" s="289"/>
    </row>
    <row r="700" spans="1:46" ht="15.75" customHeight="1" x14ac:dyDescent="0.25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  <c r="AC700" s="289"/>
      <c r="AD700" s="289"/>
      <c r="AE700" s="289"/>
      <c r="AF700" s="289"/>
      <c r="AG700" s="289"/>
      <c r="AH700" s="289"/>
      <c r="AI700" s="289"/>
      <c r="AJ700" s="289"/>
      <c r="AK700" s="289"/>
      <c r="AL700" s="289"/>
      <c r="AM700" s="289"/>
      <c r="AN700" s="289"/>
      <c r="AO700" s="289"/>
      <c r="AP700" s="289"/>
      <c r="AQ700" s="289"/>
      <c r="AR700" s="289"/>
      <c r="AS700" s="289"/>
      <c r="AT700" s="289"/>
    </row>
    <row r="701" spans="1:46" ht="15.75" customHeight="1" x14ac:dyDescent="0.25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  <c r="AC701" s="289"/>
      <c r="AD701" s="289"/>
      <c r="AE701" s="289"/>
      <c r="AF701" s="289"/>
      <c r="AG701" s="289"/>
      <c r="AH701" s="289"/>
      <c r="AI701" s="289"/>
      <c r="AJ701" s="289"/>
      <c r="AK701" s="289"/>
      <c r="AL701" s="289"/>
      <c r="AM701" s="289"/>
      <c r="AN701" s="289"/>
      <c r="AO701" s="289"/>
      <c r="AP701" s="289"/>
      <c r="AQ701" s="289"/>
      <c r="AR701" s="289"/>
      <c r="AS701" s="289"/>
      <c r="AT701" s="289"/>
    </row>
    <row r="702" spans="1:46" ht="15.75" customHeight="1" x14ac:dyDescent="0.25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  <c r="AC702" s="289"/>
      <c r="AD702" s="289"/>
      <c r="AE702" s="289"/>
      <c r="AF702" s="289"/>
      <c r="AG702" s="289"/>
      <c r="AH702" s="289"/>
      <c r="AI702" s="289"/>
      <c r="AJ702" s="289"/>
      <c r="AK702" s="289"/>
      <c r="AL702" s="289"/>
      <c r="AM702" s="289"/>
      <c r="AN702" s="289"/>
      <c r="AO702" s="289"/>
      <c r="AP702" s="289"/>
      <c r="AQ702" s="289"/>
      <c r="AR702" s="289"/>
      <c r="AS702" s="289"/>
      <c r="AT702" s="289"/>
    </row>
    <row r="703" spans="1:46" ht="15.75" customHeight="1" x14ac:dyDescent="0.25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  <c r="AC703" s="289"/>
      <c r="AD703" s="289"/>
      <c r="AE703" s="289"/>
      <c r="AF703" s="289"/>
      <c r="AG703" s="289"/>
      <c r="AH703" s="289"/>
      <c r="AI703" s="289"/>
      <c r="AJ703" s="289"/>
      <c r="AK703" s="289"/>
      <c r="AL703" s="289"/>
      <c r="AM703" s="289"/>
      <c r="AN703" s="289"/>
      <c r="AO703" s="289"/>
      <c r="AP703" s="289"/>
      <c r="AQ703" s="289"/>
      <c r="AR703" s="289"/>
      <c r="AS703" s="289"/>
      <c r="AT703" s="289"/>
    </row>
    <row r="704" spans="1:46" ht="15.75" customHeight="1" x14ac:dyDescent="0.25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  <c r="AC704" s="289"/>
      <c r="AD704" s="289"/>
      <c r="AE704" s="289"/>
      <c r="AF704" s="289"/>
      <c r="AG704" s="289"/>
      <c r="AH704" s="289"/>
      <c r="AI704" s="289"/>
      <c r="AJ704" s="289"/>
      <c r="AK704" s="289"/>
      <c r="AL704" s="289"/>
      <c r="AM704" s="289"/>
      <c r="AN704" s="289"/>
      <c r="AO704" s="289"/>
      <c r="AP704" s="289"/>
      <c r="AQ704" s="289"/>
      <c r="AR704" s="289"/>
      <c r="AS704" s="289"/>
      <c r="AT704" s="289"/>
    </row>
    <row r="705" spans="1:46" ht="15.75" customHeight="1" x14ac:dyDescent="0.25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  <c r="AC705" s="289"/>
      <c r="AD705" s="289"/>
      <c r="AE705" s="289"/>
      <c r="AF705" s="289"/>
      <c r="AG705" s="289"/>
      <c r="AH705" s="289"/>
      <c r="AI705" s="289"/>
      <c r="AJ705" s="289"/>
      <c r="AK705" s="289"/>
      <c r="AL705" s="289"/>
      <c r="AM705" s="289"/>
      <c r="AN705" s="289"/>
      <c r="AO705" s="289"/>
      <c r="AP705" s="289"/>
      <c r="AQ705" s="289"/>
      <c r="AR705" s="289"/>
      <c r="AS705" s="289"/>
      <c r="AT705" s="289"/>
    </row>
    <row r="706" spans="1:46" ht="15.75" customHeight="1" x14ac:dyDescent="0.25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  <c r="AC706" s="289"/>
      <c r="AD706" s="289"/>
      <c r="AE706" s="289"/>
      <c r="AF706" s="289"/>
      <c r="AG706" s="289"/>
      <c r="AH706" s="289"/>
      <c r="AI706" s="289"/>
      <c r="AJ706" s="289"/>
      <c r="AK706" s="289"/>
      <c r="AL706" s="289"/>
      <c r="AM706" s="289"/>
      <c r="AN706" s="289"/>
      <c r="AO706" s="289"/>
      <c r="AP706" s="289"/>
      <c r="AQ706" s="289"/>
      <c r="AR706" s="289"/>
      <c r="AS706" s="289"/>
      <c r="AT706" s="289"/>
    </row>
    <row r="707" spans="1:46" ht="15.75" customHeight="1" x14ac:dyDescent="0.25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  <c r="AC707" s="289"/>
      <c r="AD707" s="289"/>
      <c r="AE707" s="289"/>
      <c r="AF707" s="289"/>
      <c r="AG707" s="289"/>
      <c r="AH707" s="289"/>
      <c r="AI707" s="289"/>
      <c r="AJ707" s="289"/>
      <c r="AK707" s="289"/>
      <c r="AL707" s="289"/>
      <c r="AM707" s="289"/>
      <c r="AN707" s="289"/>
      <c r="AO707" s="289"/>
      <c r="AP707" s="289"/>
      <c r="AQ707" s="289"/>
      <c r="AR707" s="289"/>
      <c r="AS707" s="289"/>
      <c r="AT707" s="289"/>
    </row>
    <row r="708" spans="1:46" ht="15.75" customHeight="1" x14ac:dyDescent="0.25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  <c r="AC708" s="289"/>
      <c r="AD708" s="289"/>
      <c r="AE708" s="289"/>
      <c r="AF708" s="289"/>
      <c r="AG708" s="289"/>
      <c r="AH708" s="289"/>
      <c r="AI708" s="289"/>
      <c r="AJ708" s="289"/>
      <c r="AK708" s="289"/>
      <c r="AL708" s="289"/>
      <c r="AM708" s="289"/>
      <c r="AN708" s="289"/>
      <c r="AO708" s="289"/>
      <c r="AP708" s="289"/>
      <c r="AQ708" s="289"/>
      <c r="AR708" s="289"/>
      <c r="AS708" s="289"/>
      <c r="AT708" s="289"/>
    </row>
    <row r="709" spans="1:46" ht="15.75" customHeight="1" x14ac:dyDescent="0.25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  <c r="AC709" s="289"/>
      <c r="AD709" s="289"/>
      <c r="AE709" s="289"/>
      <c r="AF709" s="289"/>
      <c r="AG709" s="289"/>
      <c r="AH709" s="289"/>
      <c r="AI709" s="289"/>
      <c r="AJ709" s="289"/>
      <c r="AK709" s="289"/>
      <c r="AL709" s="289"/>
      <c r="AM709" s="289"/>
      <c r="AN709" s="289"/>
      <c r="AO709" s="289"/>
      <c r="AP709" s="289"/>
      <c r="AQ709" s="289"/>
      <c r="AR709" s="289"/>
      <c r="AS709" s="289"/>
      <c r="AT709" s="289"/>
    </row>
    <row r="710" spans="1:46" ht="15.75" customHeight="1" x14ac:dyDescent="0.25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  <c r="AC710" s="289"/>
      <c r="AD710" s="289"/>
      <c r="AE710" s="289"/>
      <c r="AF710" s="289"/>
      <c r="AG710" s="289"/>
      <c r="AH710" s="289"/>
      <c r="AI710" s="289"/>
      <c r="AJ710" s="289"/>
      <c r="AK710" s="289"/>
      <c r="AL710" s="289"/>
      <c r="AM710" s="289"/>
      <c r="AN710" s="289"/>
      <c r="AO710" s="289"/>
      <c r="AP710" s="289"/>
      <c r="AQ710" s="289"/>
      <c r="AR710" s="289"/>
      <c r="AS710" s="289"/>
      <c r="AT710" s="289"/>
    </row>
    <row r="711" spans="1:46" ht="15.75" customHeight="1" x14ac:dyDescent="0.25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  <c r="AC711" s="289"/>
      <c r="AD711" s="289"/>
      <c r="AE711" s="289"/>
      <c r="AF711" s="289"/>
      <c r="AG711" s="289"/>
      <c r="AH711" s="289"/>
      <c r="AI711" s="289"/>
      <c r="AJ711" s="289"/>
      <c r="AK711" s="289"/>
      <c r="AL711" s="289"/>
      <c r="AM711" s="289"/>
      <c r="AN711" s="289"/>
      <c r="AO711" s="289"/>
      <c r="AP711" s="289"/>
      <c r="AQ711" s="289"/>
      <c r="AR711" s="289"/>
      <c r="AS711" s="289"/>
      <c r="AT711" s="289"/>
    </row>
    <row r="712" spans="1:46" ht="15.75" customHeight="1" x14ac:dyDescent="0.25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  <c r="AC712" s="289"/>
      <c r="AD712" s="289"/>
      <c r="AE712" s="289"/>
      <c r="AF712" s="289"/>
      <c r="AG712" s="289"/>
      <c r="AH712" s="289"/>
      <c r="AI712" s="289"/>
      <c r="AJ712" s="289"/>
      <c r="AK712" s="289"/>
      <c r="AL712" s="289"/>
      <c r="AM712" s="289"/>
      <c r="AN712" s="289"/>
      <c r="AO712" s="289"/>
      <c r="AP712" s="289"/>
      <c r="AQ712" s="289"/>
      <c r="AR712" s="289"/>
      <c r="AS712" s="289"/>
      <c r="AT712" s="289"/>
    </row>
    <row r="713" spans="1:46" ht="15.75" customHeight="1" x14ac:dyDescent="0.25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  <c r="AC713" s="289"/>
      <c r="AD713" s="289"/>
      <c r="AE713" s="289"/>
      <c r="AF713" s="289"/>
      <c r="AG713" s="289"/>
      <c r="AH713" s="289"/>
      <c r="AI713" s="289"/>
      <c r="AJ713" s="289"/>
      <c r="AK713" s="289"/>
      <c r="AL713" s="289"/>
      <c r="AM713" s="289"/>
      <c r="AN713" s="289"/>
      <c r="AO713" s="289"/>
      <c r="AP713" s="289"/>
      <c r="AQ713" s="289"/>
      <c r="AR713" s="289"/>
      <c r="AS713" s="289"/>
      <c r="AT713" s="289"/>
    </row>
    <row r="714" spans="1:46" ht="15.75" customHeight="1" x14ac:dyDescent="0.25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  <c r="AC714" s="289"/>
      <c r="AD714" s="289"/>
      <c r="AE714" s="289"/>
      <c r="AF714" s="289"/>
      <c r="AG714" s="289"/>
      <c r="AH714" s="289"/>
      <c r="AI714" s="289"/>
      <c r="AJ714" s="289"/>
      <c r="AK714" s="289"/>
      <c r="AL714" s="289"/>
      <c r="AM714" s="289"/>
      <c r="AN714" s="289"/>
      <c r="AO714" s="289"/>
      <c r="AP714" s="289"/>
      <c r="AQ714" s="289"/>
      <c r="AR714" s="289"/>
      <c r="AS714" s="289"/>
      <c r="AT714" s="289"/>
    </row>
    <row r="715" spans="1:46" ht="15.75" customHeight="1" x14ac:dyDescent="0.25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  <c r="AC715" s="289"/>
      <c r="AD715" s="289"/>
      <c r="AE715" s="289"/>
      <c r="AF715" s="289"/>
      <c r="AG715" s="289"/>
      <c r="AH715" s="289"/>
      <c r="AI715" s="289"/>
      <c r="AJ715" s="289"/>
      <c r="AK715" s="289"/>
      <c r="AL715" s="289"/>
      <c r="AM715" s="289"/>
      <c r="AN715" s="289"/>
      <c r="AO715" s="289"/>
      <c r="AP715" s="289"/>
      <c r="AQ715" s="289"/>
      <c r="AR715" s="289"/>
      <c r="AS715" s="289"/>
      <c r="AT715" s="289"/>
    </row>
    <row r="716" spans="1:46" ht="15.75" customHeight="1" x14ac:dyDescent="0.25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  <c r="AC716" s="289"/>
      <c r="AD716" s="289"/>
      <c r="AE716" s="289"/>
      <c r="AF716" s="289"/>
      <c r="AG716" s="289"/>
      <c r="AH716" s="289"/>
      <c r="AI716" s="289"/>
      <c r="AJ716" s="289"/>
      <c r="AK716" s="289"/>
      <c r="AL716" s="289"/>
      <c r="AM716" s="289"/>
      <c r="AN716" s="289"/>
      <c r="AO716" s="289"/>
      <c r="AP716" s="289"/>
      <c r="AQ716" s="289"/>
      <c r="AR716" s="289"/>
      <c r="AS716" s="289"/>
      <c r="AT716" s="289"/>
    </row>
    <row r="717" spans="1:46" ht="15.75" customHeight="1" x14ac:dyDescent="0.25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  <c r="AC717" s="289"/>
      <c r="AD717" s="289"/>
      <c r="AE717" s="289"/>
      <c r="AF717" s="289"/>
      <c r="AG717" s="289"/>
      <c r="AH717" s="289"/>
      <c r="AI717" s="289"/>
      <c r="AJ717" s="289"/>
      <c r="AK717" s="289"/>
      <c r="AL717" s="289"/>
      <c r="AM717" s="289"/>
      <c r="AN717" s="289"/>
      <c r="AO717" s="289"/>
      <c r="AP717" s="289"/>
      <c r="AQ717" s="289"/>
      <c r="AR717" s="289"/>
      <c r="AS717" s="289"/>
      <c r="AT717" s="289"/>
    </row>
    <row r="718" spans="1:46" ht="15.75" customHeight="1" x14ac:dyDescent="0.25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  <c r="AC718" s="289"/>
      <c r="AD718" s="289"/>
      <c r="AE718" s="289"/>
      <c r="AF718" s="289"/>
      <c r="AG718" s="289"/>
      <c r="AH718" s="289"/>
      <c r="AI718" s="289"/>
      <c r="AJ718" s="289"/>
      <c r="AK718" s="289"/>
      <c r="AL718" s="289"/>
      <c r="AM718" s="289"/>
      <c r="AN718" s="289"/>
      <c r="AO718" s="289"/>
      <c r="AP718" s="289"/>
      <c r="AQ718" s="289"/>
      <c r="AR718" s="289"/>
      <c r="AS718" s="289"/>
      <c r="AT718" s="289"/>
    </row>
    <row r="719" spans="1:46" ht="15.75" customHeight="1" x14ac:dyDescent="0.25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  <c r="AC719" s="289"/>
      <c r="AD719" s="289"/>
      <c r="AE719" s="289"/>
      <c r="AF719" s="289"/>
      <c r="AG719" s="289"/>
      <c r="AH719" s="289"/>
      <c r="AI719" s="289"/>
      <c r="AJ719" s="289"/>
      <c r="AK719" s="289"/>
      <c r="AL719" s="289"/>
      <c r="AM719" s="289"/>
      <c r="AN719" s="289"/>
      <c r="AO719" s="289"/>
      <c r="AP719" s="289"/>
      <c r="AQ719" s="289"/>
      <c r="AR719" s="289"/>
      <c r="AS719" s="289"/>
      <c r="AT719" s="289"/>
    </row>
    <row r="720" spans="1:46" ht="15.75" customHeight="1" x14ac:dyDescent="0.25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  <c r="AC720" s="289"/>
      <c r="AD720" s="289"/>
      <c r="AE720" s="289"/>
      <c r="AF720" s="289"/>
      <c r="AG720" s="289"/>
      <c r="AH720" s="289"/>
      <c r="AI720" s="289"/>
      <c r="AJ720" s="289"/>
      <c r="AK720" s="289"/>
      <c r="AL720" s="289"/>
      <c r="AM720" s="289"/>
      <c r="AN720" s="289"/>
      <c r="AO720" s="289"/>
      <c r="AP720" s="289"/>
      <c r="AQ720" s="289"/>
      <c r="AR720" s="289"/>
      <c r="AS720" s="289"/>
      <c r="AT720" s="289"/>
    </row>
    <row r="721" spans="1:46" ht="15.75" customHeight="1" x14ac:dyDescent="0.25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  <c r="AC721" s="289"/>
      <c r="AD721" s="289"/>
      <c r="AE721" s="289"/>
      <c r="AF721" s="289"/>
      <c r="AG721" s="289"/>
      <c r="AH721" s="289"/>
      <c r="AI721" s="289"/>
      <c r="AJ721" s="289"/>
      <c r="AK721" s="289"/>
      <c r="AL721" s="289"/>
      <c r="AM721" s="289"/>
      <c r="AN721" s="289"/>
      <c r="AO721" s="289"/>
      <c r="AP721" s="289"/>
      <c r="AQ721" s="289"/>
      <c r="AR721" s="289"/>
      <c r="AS721" s="289"/>
      <c r="AT721" s="289"/>
    </row>
    <row r="722" spans="1:46" ht="15.75" customHeight="1" x14ac:dyDescent="0.25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  <c r="AC722" s="289"/>
      <c r="AD722" s="289"/>
      <c r="AE722" s="289"/>
      <c r="AF722" s="289"/>
      <c r="AG722" s="289"/>
      <c r="AH722" s="289"/>
      <c r="AI722" s="289"/>
      <c r="AJ722" s="289"/>
      <c r="AK722" s="289"/>
      <c r="AL722" s="289"/>
      <c r="AM722" s="289"/>
      <c r="AN722" s="289"/>
      <c r="AO722" s="289"/>
      <c r="AP722" s="289"/>
      <c r="AQ722" s="289"/>
      <c r="AR722" s="289"/>
      <c r="AS722" s="289"/>
      <c r="AT722" s="289"/>
    </row>
    <row r="723" spans="1:46" ht="15.75" customHeight="1" x14ac:dyDescent="0.25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  <c r="AC723" s="289"/>
      <c r="AD723" s="289"/>
      <c r="AE723" s="289"/>
      <c r="AF723" s="289"/>
      <c r="AG723" s="289"/>
      <c r="AH723" s="289"/>
      <c r="AI723" s="289"/>
      <c r="AJ723" s="289"/>
      <c r="AK723" s="289"/>
      <c r="AL723" s="289"/>
      <c r="AM723" s="289"/>
      <c r="AN723" s="289"/>
      <c r="AO723" s="289"/>
      <c r="AP723" s="289"/>
      <c r="AQ723" s="289"/>
      <c r="AR723" s="289"/>
      <c r="AS723" s="289"/>
      <c r="AT723" s="289"/>
    </row>
    <row r="724" spans="1:46" ht="15.75" customHeight="1" x14ac:dyDescent="0.25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  <c r="AC724" s="289"/>
      <c r="AD724" s="289"/>
      <c r="AE724" s="289"/>
      <c r="AF724" s="289"/>
      <c r="AG724" s="289"/>
      <c r="AH724" s="289"/>
      <c r="AI724" s="289"/>
      <c r="AJ724" s="289"/>
      <c r="AK724" s="289"/>
      <c r="AL724" s="289"/>
      <c r="AM724" s="289"/>
      <c r="AN724" s="289"/>
      <c r="AO724" s="289"/>
      <c r="AP724" s="289"/>
      <c r="AQ724" s="289"/>
      <c r="AR724" s="289"/>
      <c r="AS724" s="289"/>
      <c r="AT724" s="289"/>
    </row>
    <row r="725" spans="1:46" ht="15.75" customHeight="1" x14ac:dyDescent="0.25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  <c r="AC725" s="289"/>
      <c r="AD725" s="289"/>
      <c r="AE725" s="289"/>
      <c r="AF725" s="289"/>
      <c r="AG725" s="289"/>
      <c r="AH725" s="289"/>
      <c r="AI725" s="289"/>
      <c r="AJ725" s="289"/>
      <c r="AK725" s="289"/>
      <c r="AL725" s="289"/>
      <c r="AM725" s="289"/>
      <c r="AN725" s="289"/>
      <c r="AO725" s="289"/>
      <c r="AP725" s="289"/>
      <c r="AQ725" s="289"/>
      <c r="AR725" s="289"/>
      <c r="AS725" s="289"/>
      <c r="AT725" s="289"/>
    </row>
    <row r="726" spans="1:46" ht="15.75" customHeight="1" x14ac:dyDescent="0.25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  <c r="AC726" s="289"/>
      <c r="AD726" s="289"/>
      <c r="AE726" s="289"/>
      <c r="AF726" s="289"/>
      <c r="AG726" s="289"/>
      <c r="AH726" s="289"/>
      <c r="AI726" s="289"/>
      <c r="AJ726" s="289"/>
      <c r="AK726" s="289"/>
      <c r="AL726" s="289"/>
      <c r="AM726" s="289"/>
      <c r="AN726" s="289"/>
      <c r="AO726" s="289"/>
      <c r="AP726" s="289"/>
      <c r="AQ726" s="289"/>
      <c r="AR726" s="289"/>
      <c r="AS726" s="289"/>
      <c r="AT726" s="289"/>
    </row>
    <row r="727" spans="1:46" ht="15.75" customHeight="1" x14ac:dyDescent="0.25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  <c r="AC727" s="289"/>
      <c r="AD727" s="289"/>
      <c r="AE727" s="289"/>
      <c r="AF727" s="289"/>
      <c r="AG727" s="289"/>
      <c r="AH727" s="289"/>
      <c r="AI727" s="289"/>
      <c r="AJ727" s="289"/>
      <c r="AK727" s="289"/>
      <c r="AL727" s="289"/>
      <c r="AM727" s="289"/>
      <c r="AN727" s="289"/>
      <c r="AO727" s="289"/>
      <c r="AP727" s="289"/>
      <c r="AQ727" s="289"/>
      <c r="AR727" s="289"/>
      <c r="AS727" s="289"/>
      <c r="AT727" s="289"/>
    </row>
    <row r="728" spans="1:46" ht="15.75" customHeight="1" x14ac:dyDescent="0.25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  <c r="AC728" s="289"/>
      <c r="AD728" s="289"/>
      <c r="AE728" s="289"/>
      <c r="AF728" s="289"/>
      <c r="AG728" s="289"/>
      <c r="AH728" s="289"/>
      <c r="AI728" s="289"/>
      <c r="AJ728" s="289"/>
      <c r="AK728" s="289"/>
      <c r="AL728" s="289"/>
      <c r="AM728" s="289"/>
      <c r="AN728" s="289"/>
      <c r="AO728" s="289"/>
      <c r="AP728" s="289"/>
      <c r="AQ728" s="289"/>
      <c r="AR728" s="289"/>
      <c r="AS728" s="289"/>
      <c r="AT728" s="289"/>
    </row>
    <row r="729" spans="1:46" ht="15.75" customHeight="1" x14ac:dyDescent="0.25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  <c r="AC729" s="289"/>
      <c r="AD729" s="289"/>
      <c r="AE729" s="289"/>
      <c r="AF729" s="289"/>
      <c r="AG729" s="289"/>
      <c r="AH729" s="289"/>
      <c r="AI729" s="289"/>
      <c r="AJ729" s="289"/>
      <c r="AK729" s="289"/>
      <c r="AL729" s="289"/>
      <c r="AM729" s="289"/>
      <c r="AN729" s="289"/>
      <c r="AO729" s="289"/>
      <c r="AP729" s="289"/>
      <c r="AQ729" s="289"/>
      <c r="AR729" s="289"/>
      <c r="AS729" s="289"/>
      <c r="AT729" s="289"/>
    </row>
    <row r="730" spans="1:46" ht="15.75" customHeight="1" x14ac:dyDescent="0.25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  <c r="AC730" s="289"/>
      <c r="AD730" s="289"/>
      <c r="AE730" s="289"/>
      <c r="AF730" s="289"/>
      <c r="AG730" s="289"/>
      <c r="AH730" s="289"/>
      <c r="AI730" s="289"/>
      <c r="AJ730" s="289"/>
      <c r="AK730" s="289"/>
      <c r="AL730" s="289"/>
      <c r="AM730" s="289"/>
      <c r="AN730" s="289"/>
      <c r="AO730" s="289"/>
      <c r="AP730" s="289"/>
      <c r="AQ730" s="289"/>
      <c r="AR730" s="289"/>
      <c r="AS730" s="289"/>
      <c r="AT730" s="289"/>
    </row>
    <row r="731" spans="1:46" ht="15.75" customHeight="1" x14ac:dyDescent="0.25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  <c r="AC731" s="289"/>
      <c r="AD731" s="289"/>
      <c r="AE731" s="289"/>
      <c r="AF731" s="289"/>
      <c r="AG731" s="289"/>
      <c r="AH731" s="289"/>
      <c r="AI731" s="289"/>
      <c r="AJ731" s="289"/>
      <c r="AK731" s="289"/>
      <c r="AL731" s="289"/>
      <c r="AM731" s="289"/>
      <c r="AN731" s="289"/>
      <c r="AO731" s="289"/>
      <c r="AP731" s="289"/>
      <c r="AQ731" s="289"/>
      <c r="AR731" s="289"/>
      <c r="AS731" s="289"/>
      <c r="AT731" s="289"/>
    </row>
    <row r="732" spans="1:46" ht="15.75" customHeight="1" x14ac:dyDescent="0.25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  <c r="AC732" s="289"/>
      <c r="AD732" s="289"/>
      <c r="AE732" s="289"/>
      <c r="AF732" s="289"/>
      <c r="AG732" s="289"/>
      <c r="AH732" s="289"/>
      <c r="AI732" s="289"/>
      <c r="AJ732" s="289"/>
      <c r="AK732" s="289"/>
      <c r="AL732" s="289"/>
      <c r="AM732" s="289"/>
      <c r="AN732" s="289"/>
      <c r="AO732" s="289"/>
      <c r="AP732" s="289"/>
      <c r="AQ732" s="289"/>
      <c r="AR732" s="289"/>
      <c r="AS732" s="289"/>
      <c r="AT732" s="289"/>
    </row>
    <row r="733" spans="1:46" ht="15.75" customHeight="1" x14ac:dyDescent="0.25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  <c r="AC733" s="289"/>
      <c r="AD733" s="289"/>
      <c r="AE733" s="289"/>
      <c r="AF733" s="289"/>
      <c r="AG733" s="289"/>
      <c r="AH733" s="289"/>
      <c r="AI733" s="289"/>
      <c r="AJ733" s="289"/>
      <c r="AK733" s="289"/>
      <c r="AL733" s="289"/>
      <c r="AM733" s="289"/>
      <c r="AN733" s="289"/>
      <c r="AO733" s="289"/>
      <c r="AP733" s="289"/>
      <c r="AQ733" s="289"/>
      <c r="AR733" s="289"/>
      <c r="AS733" s="289"/>
      <c r="AT733" s="289"/>
    </row>
    <row r="734" spans="1:46" ht="15.75" customHeight="1" x14ac:dyDescent="0.25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  <c r="AC734" s="289"/>
      <c r="AD734" s="289"/>
      <c r="AE734" s="289"/>
      <c r="AF734" s="289"/>
      <c r="AG734" s="289"/>
      <c r="AH734" s="289"/>
      <c r="AI734" s="289"/>
      <c r="AJ734" s="289"/>
      <c r="AK734" s="289"/>
      <c r="AL734" s="289"/>
      <c r="AM734" s="289"/>
      <c r="AN734" s="289"/>
      <c r="AO734" s="289"/>
      <c r="AP734" s="289"/>
      <c r="AQ734" s="289"/>
      <c r="AR734" s="289"/>
      <c r="AS734" s="289"/>
      <c r="AT734" s="289"/>
    </row>
    <row r="735" spans="1:46" ht="15.75" customHeight="1" x14ac:dyDescent="0.25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  <c r="AC735" s="289"/>
      <c r="AD735" s="289"/>
      <c r="AE735" s="289"/>
      <c r="AF735" s="289"/>
      <c r="AG735" s="289"/>
      <c r="AH735" s="289"/>
      <c r="AI735" s="289"/>
      <c r="AJ735" s="289"/>
      <c r="AK735" s="289"/>
      <c r="AL735" s="289"/>
      <c r="AM735" s="289"/>
      <c r="AN735" s="289"/>
      <c r="AO735" s="289"/>
      <c r="AP735" s="289"/>
      <c r="AQ735" s="289"/>
      <c r="AR735" s="289"/>
      <c r="AS735" s="289"/>
      <c r="AT735" s="289"/>
    </row>
    <row r="736" spans="1:46" ht="15.75" customHeight="1" x14ac:dyDescent="0.25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  <c r="AC736" s="289"/>
      <c r="AD736" s="289"/>
      <c r="AE736" s="289"/>
      <c r="AF736" s="289"/>
      <c r="AG736" s="289"/>
      <c r="AH736" s="289"/>
      <c r="AI736" s="289"/>
      <c r="AJ736" s="289"/>
      <c r="AK736" s="289"/>
      <c r="AL736" s="289"/>
      <c r="AM736" s="289"/>
      <c r="AN736" s="289"/>
      <c r="AO736" s="289"/>
      <c r="AP736" s="289"/>
      <c r="AQ736" s="289"/>
      <c r="AR736" s="289"/>
      <c r="AS736" s="289"/>
      <c r="AT736" s="289"/>
    </row>
    <row r="737" spans="1:46" ht="15.75" customHeight="1" x14ac:dyDescent="0.25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  <c r="AC737" s="289"/>
      <c r="AD737" s="289"/>
      <c r="AE737" s="289"/>
      <c r="AF737" s="289"/>
      <c r="AG737" s="289"/>
      <c r="AH737" s="289"/>
      <c r="AI737" s="289"/>
      <c r="AJ737" s="289"/>
      <c r="AK737" s="289"/>
      <c r="AL737" s="289"/>
      <c r="AM737" s="289"/>
      <c r="AN737" s="289"/>
      <c r="AO737" s="289"/>
      <c r="AP737" s="289"/>
      <c r="AQ737" s="289"/>
      <c r="AR737" s="289"/>
      <c r="AS737" s="289"/>
      <c r="AT737" s="289"/>
    </row>
    <row r="738" spans="1:46" ht="15.75" customHeight="1" x14ac:dyDescent="0.25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  <c r="AC738" s="289"/>
      <c r="AD738" s="289"/>
      <c r="AE738" s="289"/>
      <c r="AF738" s="289"/>
      <c r="AG738" s="289"/>
      <c r="AH738" s="289"/>
      <c r="AI738" s="289"/>
      <c r="AJ738" s="289"/>
      <c r="AK738" s="289"/>
      <c r="AL738" s="289"/>
      <c r="AM738" s="289"/>
      <c r="AN738" s="289"/>
      <c r="AO738" s="289"/>
      <c r="AP738" s="289"/>
      <c r="AQ738" s="289"/>
      <c r="AR738" s="289"/>
      <c r="AS738" s="289"/>
      <c r="AT738" s="289"/>
    </row>
    <row r="739" spans="1:46" ht="15.75" customHeight="1" x14ac:dyDescent="0.25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  <c r="AC739" s="289"/>
      <c r="AD739" s="289"/>
      <c r="AE739" s="289"/>
      <c r="AF739" s="289"/>
      <c r="AG739" s="289"/>
      <c r="AH739" s="289"/>
      <c r="AI739" s="289"/>
      <c r="AJ739" s="289"/>
      <c r="AK739" s="289"/>
      <c r="AL739" s="289"/>
      <c r="AM739" s="289"/>
      <c r="AN739" s="289"/>
      <c r="AO739" s="289"/>
      <c r="AP739" s="289"/>
      <c r="AQ739" s="289"/>
      <c r="AR739" s="289"/>
      <c r="AS739" s="289"/>
      <c r="AT739" s="289"/>
    </row>
    <row r="740" spans="1:46" ht="15.75" customHeight="1" x14ac:dyDescent="0.25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  <c r="AC740" s="289"/>
      <c r="AD740" s="289"/>
      <c r="AE740" s="289"/>
      <c r="AF740" s="289"/>
      <c r="AG740" s="289"/>
      <c r="AH740" s="289"/>
      <c r="AI740" s="289"/>
      <c r="AJ740" s="289"/>
      <c r="AK740" s="289"/>
      <c r="AL740" s="289"/>
      <c r="AM740" s="289"/>
      <c r="AN740" s="289"/>
      <c r="AO740" s="289"/>
      <c r="AP740" s="289"/>
      <c r="AQ740" s="289"/>
      <c r="AR740" s="289"/>
      <c r="AS740" s="289"/>
      <c r="AT740" s="289"/>
    </row>
    <row r="741" spans="1:46" ht="15.75" customHeight="1" x14ac:dyDescent="0.25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  <c r="AC741" s="289"/>
      <c r="AD741" s="289"/>
      <c r="AE741" s="289"/>
      <c r="AF741" s="289"/>
      <c r="AG741" s="289"/>
      <c r="AH741" s="289"/>
      <c r="AI741" s="289"/>
      <c r="AJ741" s="289"/>
      <c r="AK741" s="289"/>
      <c r="AL741" s="289"/>
      <c r="AM741" s="289"/>
      <c r="AN741" s="289"/>
      <c r="AO741" s="289"/>
      <c r="AP741" s="289"/>
      <c r="AQ741" s="289"/>
      <c r="AR741" s="289"/>
      <c r="AS741" s="289"/>
      <c r="AT741" s="289"/>
    </row>
    <row r="742" spans="1:46" ht="15.75" customHeight="1" x14ac:dyDescent="0.25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  <c r="AC742" s="289"/>
      <c r="AD742" s="289"/>
      <c r="AE742" s="289"/>
      <c r="AF742" s="289"/>
      <c r="AG742" s="289"/>
      <c r="AH742" s="289"/>
      <c r="AI742" s="289"/>
      <c r="AJ742" s="289"/>
      <c r="AK742" s="289"/>
      <c r="AL742" s="289"/>
      <c r="AM742" s="289"/>
      <c r="AN742" s="289"/>
      <c r="AO742" s="289"/>
      <c r="AP742" s="289"/>
      <c r="AQ742" s="289"/>
      <c r="AR742" s="289"/>
      <c r="AS742" s="289"/>
      <c r="AT742" s="289"/>
    </row>
    <row r="743" spans="1:46" ht="15.75" customHeight="1" x14ac:dyDescent="0.25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  <c r="AC743" s="289"/>
      <c r="AD743" s="289"/>
      <c r="AE743" s="289"/>
      <c r="AF743" s="289"/>
      <c r="AG743" s="289"/>
      <c r="AH743" s="289"/>
      <c r="AI743" s="289"/>
      <c r="AJ743" s="289"/>
      <c r="AK743" s="289"/>
      <c r="AL743" s="289"/>
      <c r="AM743" s="289"/>
      <c r="AN743" s="289"/>
      <c r="AO743" s="289"/>
      <c r="AP743" s="289"/>
      <c r="AQ743" s="289"/>
      <c r="AR743" s="289"/>
      <c r="AS743" s="289"/>
      <c r="AT743" s="289"/>
    </row>
    <row r="744" spans="1:46" ht="15.75" customHeight="1" x14ac:dyDescent="0.25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  <c r="AC744" s="289"/>
      <c r="AD744" s="289"/>
      <c r="AE744" s="289"/>
      <c r="AF744" s="289"/>
      <c r="AG744" s="289"/>
      <c r="AH744" s="289"/>
      <c r="AI744" s="289"/>
      <c r="AJ744" s="289"/>
      <c r="AK744" s="289"/>
      <c r="AL744" s="289"/>
      <c r="AM744" s="289"/>
      <c r="AN744" s="289"/>
      <c r="AO744" s="289"/>
      <c r="AP744" s="289"/>
      <c r="AQ744" s="289"/>
      <c r="AR744" s="289"/>
      <c r="AS744" s="289"/>
      <c r="AT744" s="289"/>
    </row>
    <row r="745" spans="1:46" ht="15.75" customHeight="1" x14ac:dyDescent="0.25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  <c r="AC745" s="289"/>
      <c r="AD745" s="289"/>
      <c r="AE745" s="289"/>
      <c r="AF745" s="289"/>
      <c r="AG745" s="289"/>
      <c r="AH745" s="289"/>
      <c r="AI745" s="289"/>
      <c r="AJ745" s="289"/>
      <c r="AK745" s="289"/>
      <c r="AL745" s="289"/>
      <c r="AM745" s="289"/>
      <c r="AN745" s="289"/>
      <c r="AO745" s="289"/>
      <c r="AP745" s="289"/>
      <c r="AQ745" s="289"/>
      <c r="AR745" s="289"/>
      <c r="AS745" s="289"/>
      <c r="AT745" s="289"/>
    </row>
    <row r="746" spans="1:46" ht="15.75" customHeight="1" x14ac:dyDescent="0.25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  <c r="AC746" s="289"/>
      <c r="AD746" s="289"/>
      <c r="AE746" s="289"/>
      <c r="AF746" s="289"/>
      <c r="AG746" s="289"/>
      <c r="AH746" s="289"/>
      <c r="AI746" s="289"/>
      <c r="AJ746" s="289"/>
      <c r="AK746" s="289"/>
      <c r="AL746" s="289"/>
      <c r="AM746" s="289"/>
      <c r="AN746" s="289"/>
      <c r="AO746" s="289"/>
      <c r="AP746" s="289"/>
      <c r="AQ746" s="289"/>
      <c r="AR746" s="289"/>
      <c r="AS746" s="289"/>
      <c r="AT746" s="289"/>
    </row>
    <row r="747" spans="1:46" ht="15.75" customHeight="1" x14ac:dyDescent="0.25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  <c r="AC747" s="289"/>
      <c r="AD747" s="289"/>
      <c r="AE747" s="289"/>
      <c r="AF747" s="289"/>
      <c r="AG747" s="289"/>
      <c r="AH747" s="289"/>
      <c r="AI747" s="289"/>
      <c r="AJ747" s="289"/>
      <c r="AK747" s="289"/>
      <c r="AL747" s="289"/>
      <c r="AM747" s="289"/>
      <c r="AN747" s="289"/>
      <c r="AO747" s="289"/>
      <c r="AP747" s="289"/>
      <c r="AQ747" s="289"/>
      <c r="AR747" s="289"/>
      <c r="AS747" s="289"/>
      <c r="AT747" s="289"/>
    </row>
    <row r="748" spans="1:46" ht="15.75" customHeight="1" x14ac:dyDescent="0.25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  <c r="AC748" s="289"/>
      <c r="AD748" s="289"/>
      <c r="AE748" s="289"/>
      <c r="AF748" s="289"/>
      <c r="AG748" s="289"/>
      <c r="AH748" s="289"/>
      <c r="AI748" s="289"/>
      <c r="AJ748" s="289"/>
      <c r="AK748" s="289"/>
      <c r="AL748" s="289"/>
      <c r="AM748" s="289"/>
      <c r="AN748" s="289"/>
      <c r="AO748" s="289"/>
      <c r="AP748" s="289"/>
      <c r="AQ748" s="289"/>
      <c r="AR748" s="289"/>
      <c r="AS748" s="289"/>
      <c r="AT748" s="289"/>
    </row>
    <row r="749" spans="1:46" ht="15.75" customHeight="1" x14ac:dyDescent="0.25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  <c r="AC749" s="289"/>
      <c r="AD749" s="289"/>
      <c r="AE749" s="289"/>
      <c r="AF749" s="289"/>
      <c r="AG749" s="289"/>
      <c r="AH749" s="289"/>
      <c r="AI749" s="289"/>
      <c r="AJ749" s="289"/>
      <c r="AK749" s="289"/>
      <c r="AL749" s="289"/>
      <c r="AM749" s="289"/>
      <c r="AN749" s="289"/>
      <c r="AO749" s="289"/>
      <c r="AP749" s="289"/>
      <c r="AQ749" s="289"/>
      <c r="AR749" s="289"/>
      <c r="AS749" s="289"/>
      <c r="AT749" s="289"/>
    </row>
    <row r="750" spans="1:46" ht="15.75" customHeight="1" x14ac:dyDescent="0.25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  <c r="AC750" s="289"/>
      <c r="AD750" s="289"/>
      <c r="AE750" s="289"/>
      <c r="AF750" s="289"/>
      <c r="AG750" s="289"/>
      <c r="AH750" s="289"/>
      <c r="AI750" s="289"/>
      <c r="AJ750" s="289"/>
      <c r="AK750" s="289"/>
      <c r="AL750" s="289"/>
      <c r="AM750" s="289"/>
      <c r="AN750" s="289"/>
      <c r="AO750" s="289"/>
      <c r="AP750" s="289"/>
      <c r="AQ750" s="289"/>
      <c r="AR750" s="289"/>
      <c r="AS750" s="289"/>
      <c r="AT750" s="289"/>
    </row>
    <row r="751" spans="1:46" ht="15.75" customHeight="1" x14ac:dyDescent="0.25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  <c r="AC751" s="289"/>
      <c r="AD751" s="289"/>
      <c r="AE751" s="289"/>
      <c r="AF751" s="289"/>
      <c r="AG751" s="289"/>
      <c r="AH751" s="289"/>
      <c r="AI751" s="289"/>
      <c r="AJ751" s="289"/>
      <c r="AK751" s="289"/>
      <c r="AL751" s="289"/>
      <c r="AM751" s="289"/>
      <c r="AN751" s="289"/>
      <c r="AO751" s="289"/>
      <c r="AP751" s="289"/>
      <c r="AQ751" s="289"/>
      <c r="AR751" s="289"/>
      <c r="AS751" s="289"/>
      <c r="AT751" s="289"/>
    </row>
    <row r="752" spans="1:46" ht="15.75" customHeight="1" x14ac:dyDescent="0.25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  <c r="AC752" s="289"/>
      <c r="AD752" s="289"/>
      <c r="AE752" s="289"/>
      <c r="AF752" s="289"/>
      <c r="AG752" s="289"/>
      <c r="AH752" s="289"/>
      <c r="AI752" s="289"/>
      <c r="AJ752" s="289"/>
      <c r="AK752" s="289"/>
      <c r="AL752" s="289"/>
      <c r="AM752" s="289"/>
      <c r="AN752" s="289"/>
      <c r="AO752" s="289"/>
      <c r="AP752" s="289"/>
      <c r="AQ752" s="289"/>
      <c r="AR752" s="289"/>
      <c r="AS752" s="289"/>
      <c r="AT752" s="289"/>
    </row>
    <row r="753" spans="1:46" ht="15.75" customHeight="1" x14ac:dyDescent="0.25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  <c r="AC753" s="289"/>
      <c r="AD753" s="289"/>
      <c r="AE753" s="289"/>
      <c r="AF753" s="289"/>
      <c r="AG753" s="289"/>
      <c r="AH753" s="289"/>
      <c r="AI753" s="289"/>
      <c r="AJ753" s="289"/>
      <c r="AK753" s="289"/>
      <c r="AL753" s="289"/>
      <c r="AM753" s="289"/>
      <c r="AN753" s="289"/>
      <c r="AO753" s="289"/>
      <c r="AP753" s="289"/>
      <c r="AQ753" s="289"/>
      <c r="AR753" s="289"/>
      <c r="AS753" s="289"/>
      <c r="AT753" s="289"/>
    </row>
    <row r="754" spans="1:46" ht="15.75" customHeight="1" x14ac:dyDescent="0.25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  <c r="AC754" s="289"/>
      <c r="AD754" s="289"/>
      <c r="AE754" s="289"/>
      <c r="AF754" s="289"/>
      <c r="AG754" s="289"/>
      <c r="AH754" s="289"/>
      <c r="AI754" s="289"/>
      <c r="AJ754" s="289"/>
      <c r="AK754" s="289"/>
      <c r="AL754" s="289"/>
      <c r="AM754" s="289"/>
      <c r="AN754" s="289"/>
      <c r="AO754" s="289"/>
      <c r="AP754" s="289"/>
      <c r="AQ754" s="289"/>
      <c r="AR754" s="289"/>
      <c r="AS754" s="289"/>
      <c r="AT754" s="289"/>
    </row>
    <row r="755" spans="1:46" ht="15.75" customHeight="1" x14ac:dyDescent="0.25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  <c r="AC755" s="289"/>
      <c r="AD755" s="289"/>
      <c r="AE755" s="289"/>
      <c r="AF755" s="289"/>
      <c r="AG755" s="289"/>
      <c r="AH755" s="289"/>
      <c r="AI755" s="289"/>
      <c r="AJ755" s="289"/>
      <c r="AK755" s="289"/>
      <c r="AL755" s="289"/>
      <c r="AM755" s="289"/>
      <c r="AN755" s="289"/>
      <c r="AO755" s="289"/>
      <c r="AP755" s="289"/>
      <c r="AQ755" s="289"/>
      <c r="AR755" s="289"/>
      <c r="AS755" s="289"/>
      <c r="AT755" s="289"/>
    </row>
    <row r="756" spans="1:46" ht="15.75" customHeight="1" x14ac:dyDescent="0.25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  <c r="AC756" s="289"/>
      <c r="AD756" s="289"/>
      <c r="AE756" s="289"/>
      <c r="AF756" s="289"/>
      <c r="AG756" s="289"/>
      <c r="AH756" s="289"/>
      <c r="AI756" s="289"/>
      <c r="AJ756" s="289"/>
      <c r="AK756" s="289"/>
      <c r="AL756" s="289"/>
      <c r="AM756" s="289"/>
      <c r="AN756" s="289"/>
      <c r="AO756" s="289"/>
      <c r="AP756" s="289"/>
      <c r="AQ756" s="289"/>
      <c r="AR756" s="289"/>
      <c r="AS756" s="289"/>
      <c r="AT756" s="289"/>
    </row>
    <row r="757" spans="1:46" ht="15.75" customHeight="1" x14ac:dyDescent="0.25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  <c r="AC757" s="289"/>
      <c r="AD757" s="289"/>
      <c r="AE757" s="289"/>
      <c r="AF757" s="289"/>
      <c r="AG757" s="289"/>
      <c r="AH757" s="289"/>
      <c r="AI757" s="289"/>
      <c r="AJ757" s="289"/>
      <c r="AK757" s="289"/>
      <c r="AL757" s="289"/>
      <c r="AM757" s="289"/>
      <c r="AN757" s="289"/>
      <c r="AO757" s="289"/>
      <c r="AP757" s="289"/>
      <c r="AQ757" s="289"/>
      <c r="AR757" s="289"/>
      <c r="AS757" s="289"/>
      <c r="AT757" s="289"/>
    </row>
    <row r="758" spans="1:46" ht="15.75" customHeight="1" x14ac:dyDescent="0.25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  <c r="AC758" s="289"/>
      <c r="AD758" s="289"/>
      <c r="AE758" s="289"/>
      <c r="AF758" s="289"/>
      <c r="AG758" s="289"/>
      <c r="AH758" s="289"/>
      <c r="AI758" s="289"/>
      <c r="AJ758" s="289"/>
      <c r="AK758" s="289"/>
      <c r="AL758" s="289"/>
      <c r="AM758" s="289"/>
      <c r="AN758" s="289"/>
      <c r="AO758" s="289"/>
      <c r="AP758" s="289"/>
      <c r="AQ758" s="289"/>
      <c r="AR758" s="289"/>
      <c r="AS758" s="289"/>
      <c r="AT758" s="289"/>
    </row>
    <row r="759" spans="1:46" ht="15.75" customHeight="1" x14ac:dyDescent="0.25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  <c r="AC759" s="289"/>
      <c r="AD759" s="289"/>
      <c r="AE759" s="289"/>
      <c r="AF759" s="289"/>
      <c r="AG759" s="289"/>
      <c r="AH759" s="289"/>
      <c r="AI759" s="289"/>
      <c r="AJ759" s="289"/>
      <c r="AK759" s="289"/>
      <c r="AL759" s="289"/>
      <c r="AM759" s="289"/>
      <c r="AN759" s="289"/>
      <c r="AO759" s="289"/>
      <c r="AP759" s="289"/>
      <c r="AQ759" s="289"/>
      <c r="AR759" s="289"/>
      <c r="AS759" s="289"/>
      <c r="AT759" s="289"/>
    </row>
    <row r="760" spans="1:46" ht="15.75" customHeight="1" x14ac:dyDescent="0.25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  <c r="AC760" s="289"/>
      <c r="AD760" s="289"/>
      <c r="AE760" s="289"/>
      <c r="AF760" s="289"/>
      <c r="AG760" s="289"/>
      <c r="AH760" s="289"/>
      <c r="AI760" s="289"/>
      <c r="AJ760" s="289"/>
      <c r="AK760" s="289"/>
      <c r="AL760" s="289"/>
      <c r="AM760" s="289"/>
      <c r="AN760" s="289"/>
      <c r="AO760" s="289"/>
      <c r="AP760" s="289"/>
      <c r="AQ760" s="289"/>
      <c r="AR760" s="289"/>
      <c r="AS760" s="289"/>
      <c r="AT760" s="289"/>
    </row>
    <row r="761" spans="1:46" ht="15.75" customHeight="1" x14ac:dyDescent="0.25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  <c r="AC761" s="289"/>
      <c r="AD761" s="289"/>
      <c r="AE761" s="289"/>
      <c r="AF761" s="289"/>
      <c r="AG761" s="289"/>
      <c r="AH761" s="289"/>
      <c r="AI761" s="289"/>
      <c r="AJ761" s="289"/>
      <c r="AK761" s="289"/>
      <c r="AL761" s="289"/>
      <c r="AM761" s="289"/>
      <c r="AN761" s="289"/>
      <c r="AO761" s="289"/>
      <c r="AP761" s="289"/>
      <c r="AQ761" s="289"/>
      <c r="AR761" s="289"/>
      <c r="AS761" s="289"/>
      <c r="AT761" s="289"/>
    </row>
    <row r="762" spans="1:46" ht="15.75" customHeight="1" x14ac:dyDescent="0.25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  <c r="AC762" s="289"/>
      <c r="AD762" s="289"/>
      <c r="AE762" s="289"/>
      <c r="AF762" s="289"/>
      <c r="AG762" s="289"/>
      <c r="AH762" s="289"/>
      <c r="AI762" s="289"/>
      <c r="AJ762" s="289"/>
      <c r="AK762" s="289"/>
      <c r="AL762" s="289"/>
      <c r="AM762" s="289"/>
      <c r="AN762" s="289"/>
      <c r="AO762" s="289"/>
      <c r="AP762" s="289"/>
      <c r="AQ762" s="289"/>
      <c r="AR762" s="289"/>
      <c r="AS762" s="289"/>
      <c r="AT762" s="289"/>
    </row>
    <row r="763" spans="1:46" ht="15.75" customHeight="1" x14ac:dyDescent="0.25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  <c r="AC763" s="289"/>
      <c r="AD763" s="289"/>
      <c r="AE763" s="289"/>
      <c r="AF763" s="289"/>
      <c r="AG763" s="289"/>
      <c r="AH763" s="289"/>
      <c r="AI763" s="289"/>
      <c r="AJ763" s="289"/>
      <c r="AK763" s="289"/>
      <c r="AL763" s="289"/>
      <c r="AM763" s="289"/>
      <c r="AN763" s="289"/>
      <c r="AO763" s="289"/>
      <c r="AP763" s="289"/>
      <c r="AQ763" s="289"/>
      <c r="AR763" s="289"/>
      <c r="AS763" s="289"/>
      <c r="AT763" s="289"/>
    </row>
    <row r="764" spans="1:46" ht="15.75" customHeight="1" x14ac:dyDescent="0.25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  <c r="AC764" s="289"/>
      <c r="AD764" s="289"/>
      <c r="AE764" s="289"/>
      <c r="AF764" s="289"/>
      <c r="AG764" s="289"/>
      <c r="AH764" s="289"/>
      <c r="AI764" s="289"/>
      <c r="AJ764" s="289"/>
      <c r="AK764" s="289"/>
      <c r="AL764" s="289"/>
      <c r="AM764" s="289"/>
      <c r="AN764" s="289"/>
      <c r="AO764" s="289"/>
      <c r="AP764" s="289"/>
      <c r="AQ764" s="289"/>
      <c r="AR764" s="289"/>
      <c r="AS764" s="289"/>
      <c r="AT764" s="289"/>
    </row>
    <row r="765" spans="1:46" ht="15.75" customHeight="1" x14ac:dyDescent="0.25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  <c r="AC765" s="289"/>
      <c r="AD765" s="289"/>
      <c r="AE765" s="289"/>
      <c r="AF765" s="289"/>
      <c r="AG765" s="289"/>
      <c r="AH765" s="289"/>
      <c r="AI765" s="289"/>
      <c r="AJ765" s="289"/>
      <c r="AK765" s="289"/>
      <c r="AL765" s="289"/>
      <c r="AM765" s="289"/>
      <c r="AN765" s="289"/>
      <c r="AO765" s="289"/>
      <c r="AP765" s="289"/>
      <c r="AQ765" s="289"/>
      <c r="AR765" s="289"/>
      <c r="AS765" s="289"/>
      <c r="AT765" s="289"/>
    </row>
    <row r="766" spans="1:46" ht="15.75" customHeight="1" x14ac:dyDescent="0.25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  <c r="AC766" s="289"/>
      <c r="AD766" s="289"/>
      <c r="AE766" s="289"/>
      <c r="AF766" s="289"/>
      <c r="AG766" s="289"/>
      <c r="AH766" s="289"/>
      <c r="AI766" s="289"/>
      <c r="AJ766" s="289"/>
      <c r="AK766" s="289"/>
      <c r="AL766" s="289"/>
      <c r="AM766" s="289"/>
      <c r="AN766" s="289"/>
      <c r="AO766" s="289"/>
      <c r="AP766" s="289"/>
      <c r="AQ766" s="289"/>
      <c r="AR766" s="289"/>
      <c r="AS766" s="289"/>
      <c r="AT766" s="289"/>
    </row>
    <row r="767" spans="1:46" ht="15.75" customHeight="1" x14ac:dyDescent="0.25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  <c r="AC767" s="289"/>
      <c r="AD767" s="289"/>
      <c r="AE767" s="289"/>
      <c r="AF767" s="289"/>
      <c r="AG767" s="289"/>
      <c r="AH767" s="289"/>
      <c r="AI767" s="289"/>
      <c r="AJ767" s="289"/>
      <c r="AK767" s="289"/>
      <c r="AL767" s="289"/>
      <c r="AM767" s="289"/>
      <c r="AN767" s="289"/>
      <c r="AO767" s="289"/>
      <c r="AP767" s="289"/>
      <c r="AQ767" s="289"/>
      <c r="AR767" s="289"/>
      <c r="AS767" s="289"/>
      <c r="AT767" s="289"/>
    </row>
    <row r="768" spans="1:46" ht="15.75" customHeight="1" x14ac:dyDescent="0.25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  <c r="AC768" s="289"/>
      <c r="AD768" s="289"/>
      <c r="AE768" s="289"/>
      <c r="AF768" s="289"/>
      <c r="AG768" s="289"/>
      <c r="AH768" s="289"/>
      <c r="AI768" s="289"/>
      <c r="AJ768" s="289"/>
      <c r="AK768" s="289"/>
      <c r="AL768" s="289"/>
      <c r="AM768" s="289"/>
      <c r="AN768" s="289"/>
      <c r="AO768" s="289"/>
      <c r="AP768" s="289"/>
      <c r="AQ768" s="289"/>
      <c r="AR768" s="289"/>
      <c r="AS768" s="289"/>
      <c r="AT768" s="289"/>
    </row>
    <row r="769" spans="1:46" ht="15.75" customHeight="1" x14ac:dyDescent="0.25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  <c r="AC769" s="289"/>
      <c r="AD769" s="289"/>
      <c r="AE769" s="289"/>
      <c r="AF769" s="289"/>
      <c r="AG769" s="289"/>
      <c r="AH769" s="289"/>
      <c r="AI769" s="289"/>
      <c r="AJ769" s="289"/>
      <c r="AK769" s="289"/>
      <c r="AL769" s="289"/>
      <c r="AM769" s="289"/>
      <c r="AN769" s="289"/>
      <c r="AO769" s="289"/>
      <c r="AP769" s="289"/>
      <c r="AQ769" s="289"/>
      <c r="AR769" s="289"/>
      <c r="AS769" s="289"/>
      <c r="AT769" s="289"/>
    </row>
    <row r="770" spans="1:46" ht="15.75" customHeight="1" x14ac:dyDescent="0.25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  <c r="AC770" s="289"/>
      <c r="AD770" s="289"/>
      <c r="AE770" s="289"/>
      <c r="AF770" s="289"/>
      <c r="AG770" s="289"/>
      <c r="AH770" s="289"/>
      <c r="AI770" s="289"/>
      <c r="AJ770" s="289"/>
      <c r="AK770" s="289"/>
      <c r="AL770" s="289"/>
      <c r="AM770" s="289"/>
      <c r="AN770" s="289"/>
      <c r="AO770" s="289"/>
      <c r="AP770" s="289"/>
      <c r="AQ770" s="289"/>
      <c r="AR770" s="289"/>
      <c r="AS770" s="289"/>
      <c r="AT770" s="289"/>
    </row>
    <row r="771" spans="1:46" ht="15.75" customHeight="1" x14ac:dyDescent="0.25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  <c r="AC771" s="289"/>
      <c r="AD771" s="289"/>
      <c r="AE771" s="289"/>
      <c r="AF771" s="289"/>
      <c r="AG771" s="289"/>
      <c r="AH771" s="289"/>
      <c r="AI771" s="289"/>
      <c r="AJ771" s="289"/>
      <c r="AK771" s="289"/>
      <c r="AL771" s="289"/>
      <c r="AM771" s="289"/>
      <c r="AN771" s="289"/>
      <c r="AO771" s="289"/>
      <c r="AP771" s="289"/>
      <c r="AQ771" s="289"/>
      <c r="AR771" s="289"/>
      <c r="AS771" s="289"/>
      <c r="AT771" s="289"/>
    </row>
    <row r="772" spans="1:46" ht="15.75" customHeight="1" x14ac:dyDescent="0.25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  <c r="AC772" s="289"/>
      <c r="AD772" s="289"/>
      <c r="AE772" s="289"/>
      <c r="AF772" s="289"/>
      <c r="AG772" s="289"/>
      <c r="AH772" s="289"/>
      <c r="AI772" s="289"/>
      <c r="AJ772" s="289"/>
      <c r="AK772" s="289"/>
      <c r="AL772" s="289"/>
      <c r="AM772" s="289"/>
      <c r="AN772" s="289"/>
      <c r="AO772" s="289"/>
      <c r="AP772" s="289"/>
      <c r="AQ772" s="289"/>
      <c r="AR772" s="289"/>
      <c r="AS772" s="289"/>
      <c r="AT772" s="289"/>
    </row>
    <row r="773" spans="1:46" ht="15.75" customHeight="1" x14ac:dyDescent="0.25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  <c r="AC773" s="289"/>
      <c r="AD773" s="289"/>
      <c r="AE773" s="289"/>
      <c r="AF773" s="289"/>
      <c r="AG773" s="289"/>
      <c r="AH773" s="289"/>
      <c r="AI773" s="289"/>
      <c r="AJ773" s="289"/>
      <c r="AK773" s="289"/>
      <c r="AL773" s="289"/>
      <c r="AM773" s="289"/>
      <c r="AN773" s="289"/>
      <c r="AO773" s="289"/>
      <c r="AP773" s="289"/>
      <c r="AQ773" s="289"/>
      <c r="AR773" s="289"/>
      <c r="AS773" s="289"/>
      <c r="AT773" s="289"/>
    </row>
    <row r="774" spans="1:46" ht="15.75" customHeight="1" x14ac:dyDescent="0.25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  <c r="AC774" s="289"/>
      <c r="AD774" s="289"/>
      <c r="AE774" s="289"/>
      <c r="AF774" s="289"/>
      <c r="AG774" s="289"/>
      <c r="AH774" s="289"/>
      <c r="AI774" s="289"/>
      <c r="AJ774" s="289"/>
      <c r="AK774" s="289"/>
      <c r="AL774" s="289"/>
      <c r="AM774" s="289"/>
      <c r="AN774" s="289"/>
      <c r="AO774" s="289"/>
      <c r="AP774" s="289"/>
      <c r="AQ774" s="289"/>
      <c r="AR774" s="289"/>
      <c r="AS774" s="289"/>
      <c r="AT774" s="289"/>
    </row>
    <row r="775" spans="1:46" ht="15.75" customHeight="1" x14ac:dyDescent="0.25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  <c r="AC775" s="289"/>
      <c r="AD775" s="289"/>
      <c r="AE775" s="289"/>
      <c r="AF775" s="289"/>
      <c r="AG775" s="289"/>
      <c r="AH775" s="289"/>
      <c r="AI775" s="289"/>
      <c r="AJ775" s="289"/>
      <c r="AK775" s="289"/>
      <c r="AL775" s="289"/>
      <c r="AM775" s="289"/>
      <c r="AN775" s="289"/>
      <c r="AO775" s="289"/>
      <c r="AP775" s="289"/>
      <c r="AQ775" s="289"/>
      <c r="AR775" s="289"/>
      <c r="AS775" s="289"/>
      <c r="AT775" s="289"/>
    </row>
    <row r="776" spans="1:46" ht="15.75" customHeight="1" x14ac:dyDescent="0.25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  <c r="AC776" s="289"/>
      <c r="AD776" s="289"/>
      <c r="AE776" s="289"/>
      <c r="AF776" s="289"/>
      <c r="AG776" s="289"/>
      <c r="AH776" s="289"/>
      <c r="AI776" s="289"/>
      <c r="AJ776" s="289"/>
      <c r="AK776" s="289"/>
      <c r="AL776" s="289"/>
      <c r="AM776" s="289"/>
      <c r="AN776" s="289"/>
      <c r="AO776" s="289"/>
      <c r="AP776" s="289"/>
      <c r="AQ776" s="289"/>
      <c r="AR776" s="289"/>
      <c r="AS776" s="289"/>
      <c r="AT776" s="289"/>
    </row>
    <row r="777" spans="1:46" ht="15.75" customHeight="1" x14ac:dyDescent="0.25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  <c r="AC777" s="289"/>
      <c r="AD777" s="289"/>
      <c r="AE777" s="289"/>
      <c r="AF777" s="289"/>
      <c r="AG777" s="289"/>
      <c r="AH777" s="289"/>
      <c r="AI777" s="289"/>
      <c r="AJ777" s="289"/>
      <c r="AK777" s="289"/>
      <c r="AL777" s="289"/>
      <c r="AM777" s="289"/>
      <c r="AN777" s="289"/>
      <c r="AO777" s="289"/>
      <c r="AP777" s="289"/>
      <c r="AQ777" s="289"/>
      <c r="AR777" s="289"/>
      <c r="AS777" s="289"/>
      <c r="AT777" s="289"/>
    </row>
    <row r="778" spans="1:46" ht="15.75" customHeight="1" x14ac:dyDescent="0.25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  <c r="AC778" s="289"/>
      <c r="AD778" s="289"/>
      <c r="AE778" s="289"/>
      <c r="AF778" s="289"/>
      <c r="AG778" s="289"/>
      <c r="AH778" s="289"/>
      <c r="AI778" s="289"/>
      <c r="AJ778" s="289"/>
      <c r="AK778" s="289"/>
      <c r="AL778" s="289"/>
      <c r="AM778" s="289"/>
      <c r="AN778" s="289"/>
      <c r="AO778" s="289"/>
      <c r="AP778" s="289"/>
      <c r="AQ778" s="289"/>
      <c r="AR778" s="289"/>
      <c r="AS778" s="289"/>
      <c r="AT778" s="289"/>
    </row>
    <row r="779" spans="1:46" ht="15.75" customHeight="1" x14ac:dyDescent="0.25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  <c r="AC779" s="289"/>
      <c r="AD779" s="289"/>
      <c r="AE779" s="289"/>
      <c r="AF779" s="289"/>
      <c r="AG779" s="289"/>
      <c r="AH779" s="289"/>
      <c r="AI779" s="289"/>
      <c r="AJ779" s="289"/>
      <c r="AK779" s="289"/>
      <c r="AL779" s="289"/>
      <c r="AM779" s="289"/>
      <c r="AN779" s="289"/>
      <c r="AO779" s="289"/>
      <c r="AP779" s="289"/>
      <c r="AQ779" s="289"/>
      <c r="AR779" s="289"/>
      <c r="AS779" s="289"/>
      <c r="AT779" s="289"/>
    </row>
    <row r="780" spans="1:46" ht="15.75" customHeight="1" x14ac:dyDescent="0.25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  <c r="AC780" s="289"/>
      <c r="AD780" s="289"/>
      <c r="AE780" s="289"/>
      <c r="AF780" s="289"/>
      <c r="AG780" s="289"/>
      <c r="AH780" s="289"/>
      <c r="AI780" s="289"/>
      <c r="AJ780" s="289"/>
      <c r="AK780" s="289"/>
      <c r="AL780" s="289"/>
      <c r="AM780" s="289"/>
      <c r="AN780" s="289"/>
      <c r="AO780" s="289"/>
      <c r="AP780" s="289"/>
      <c r="AQ780" s="289"/>
      <c r="AR780" s="289"/>
      <c r="AS780" s="289"/>
      <c r="AT780" s="289"/>
    </row>
    <row r="781" spans="1:46" ht="15.75" customHeight="1" x14ac:dyDescent="0.25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289"/>
      <c r="AI781" s="289"/>
      <c r="AJ781" s="289"/>
      <c r="AK781" s="289"/>
      <c r="AL781" s="289"/>
      <c r="AM781" s="289"/>
      <c r="AN781" s="289"/>
      <c r="AO781" s="289"/>
      <c r="AP781" s="289"/>
      <c r="AQ781" s="289"/>
      <c r="AR781" s="289"/>
      <c r="AS781" s="289"/>
      <c r="AT781" s="289"/>
    </row>
    <row r="782" spans="1:46" ht="15.75" customHeight="1" x14ac:dyDescent="0.25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  <c r="AC782" s="289"/>
      <c r="AD782" s="289"/>
      <c r="AE782" s="289"/>
      <c r="AF782" s="289"/>
      <c r="AG782" s="289"/>
      <c r="AH782" s="289"/>
      <c r="AI782" s="289"/>
      <c r="AJ782" s="289"/>
      <c r="AK782" s="289"/>
      <c r="AL782" s="289"/>
      <c r="AM782" s="289"/>
      <c r="AN782" s="289"/>
      <c r="AO782" s="289"/>
      <c r="AP782" s="289"/>
      <c r="AQ782" s="289"/>
      <c r="AR782" s="289"/>
      <c r="AS782" s="289"/>
      <c r="AT782" s="289"/>
    </row>
    <row r="783" spans="1:46" ht="15.75" customHeight="1" x14ac:dyDescent="0.25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  <c r="AC783" s="289"/>
      <c r="AD783" s="289"/>
      <c r="AE783" s="289"/>
      <c r="AF783" s="289"/>
      <c r="AG783" s="289"/>
      <c r="AH783" s="289"/>
      <c r="AI783" s="289"/>
      <c r="AJ783" s="289"/>
      <c r="AK783" s="289"/>
      <c r="AL783" s="289"/>
      <c r="AM783" s="289"/>
      <c r="AN783" s="289"/>
      <c r="AO783" s="289"/>
      <c r="AP783" s="289"/>
      <c r="AQ783" s="289"/>
      <c r="AR783" s="289"/>
      <c r="AS783" s="289"/>
      <c r="AT783" s="289"/>
    </row>
    <row r="784" spans="1:46" ht="15.75" customHeight="1" x14ac:dyDescent="0.25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  <c r="AC784" s="289"/>
      <c r="AD784" s="289"/>
      <c r="AE784" s="289"/>
      <c r="AF784" s="289"/>
      <c r="AG784" s="289"/>
      <c r="AH784" s="289"/>
      <c r="AI784" s="289"/>
      <c r="AJ784" s="289"/>
      <c r="AK784" s="289"/>
      <c r="AL784" s="289"/>
      <c r="AM784" s="289"/>
      <c r="AN784" s="289"/>
      <c r="AO784" s="289"/>
      <c r="AP784" s="289"/>
      <c r="AQ784" s="289"/>
      <c r="AR784" s="289"/>
      <c r="AS784" s="289"/>
      <c r="AT784" s="289"/>
    </row>
    <row r="785" spans="1:46" ht="15.75" customHeight="1" x14ac:dyDescent="0.25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  <c r="AC785" s="289"/>
      <c r="AD785" s="289"/>
      <c r="AE785" s="289"/>
      <c r="AF785" s="289"/>
      <c r="AG785" s="289"/>
      <c r="AH785" s="289"/>
      <c r="AI785" s="289"/>
      <c r="AJ785" s="289"/>
      <c r="AK785" s="289"/>
      <c r="AL785" s="289"/>
      <c r="AM785" s="289"/>
      <c r="AN785" s="289"/>
      <c r="AO785" s="289"/>
      <c r="AP785" s="289"/>
      <c r="AQ785" s="289"/>
      <c r="AR785" s="289"/>
      <c r="AS785" s="289"/>
      <c r="AT785" s="289"/>
    </row>
    <row r="786" spans="1:46" ht="15.75" customHeight="1" x14ac:dyDescent="0.25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  <c r="AC786" s="289"/>
      <c r="AD786" s="289"/>
      <c r="AE786" s="289"/>
      <c r="AF786" s="289"/>
      <c r="AG786" s="289"/>
      <c r="AH786" s="289"/>
      <c r="AI786" s="289"/>
      <c r="AJ786" s="289"/>
      <c r="AK786" s="289"/>
      <c r="AL786" s="289"/>
      <c r="AM786" s="289"/>
      <c r="AN786" s="289"/>
      <c r="AO786" s="289"/>
      <c r="AP786" s="289"/>
      <c r="AQ786" s="289"/>
      <c r="AR786" s="289"/>
      <c r="AS786" s="289"/>
      <c r="AT786" s="289"/>
    </row>
    <row r="787" spans="1:46" ht="15.75" customHeight="1" x14ac:dyDescent="0.25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  <c r="AC787" s="289"/>
      <c r="AD787" s="289"/>
      <c r="AE787" s="289"/>
      <c r="AF787" s="289"/>
      <c r="AG787" s="289"/>
      <c r="AH787" s="289"/>
      <c r="AI787" s="289"/>
      <c r="AJ787" s="289"/>
      <c r="AK787" s="289"/>
      <c r="AL787" s="289"/>
      <c r="AM787" s="289"/>
      <c r="AN787" s="289"/>
      <c r="AO787" s="289"/>
      <c r="AP787" s="289"/>
      <c r="AQ787" s="289"/>
      <c r="AR787" s="289"/>
      <c r="AS787" s="289"/>
      <c r="AT787" s="289"/>
    </row>
    <row r="788" spans="1:46" ht="15.75" customHeight="1" x14ac:dyDescent="0.25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  <c r="AC788" s="289"/>
      <c r="AD788" s="289"/>
      <c r="AE788" s="289"/>
      <c r="AF788" s="289"/>
      <c r="AG788" s="289"/>
      <c r="AH788" s="289"/>
      <c r="AI788" s="289"/>
      <c r="AJ788" s="289"/>
      <c r="AK788" s="289"/>
      <c r="AL788" s="289"/>
      <c r="AM788" s="289"/>
      <c r="AN788" s="289"/>
      <c r="AO788" s="289"/>
      <c r="AP788" s="289"/>
      <c r="AQ788" s="289"/>
      <c r="AR788" s="289"/>
      <c r="AS788" s="289"/>
      <c r="AT788" s="289"/>
    </row>
    <row r="789" spans="1:46" ht="15.75" customHeight="1" x14ac:dyDescent="0.25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  <c r="AC789" s="289"/>
      <c r="AD789" s="289"/>
      <c r="AE789" s="289"/>
      <c r="AF789" s="289"/>
      <c r="AG789" s="289"/>
      <c r="AH789" s="289"/>
      <c r="AI789" s="289"/>
      <c r="AJ789" s="289"/>
      <c r="AK789" s="289"/>
      <c r="AL789" s="289"/>
      <c r="AM789" s="289"/>
      <c r="AN789" s="289"/>
      <c r="AO789" s="289"/>
      <c r="AP789" s="289"/>
      <c r="AQ789" s="289"/>
      <c r="AR789" s="289"/>
      <c r="AS789" s="289"/>
      <c r="AT789" s="289"/>
    </row>
    <row r="790" spans="1:46" ht="15.75" customHeight="1" x14ac:dyDescent="0.25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  <c r="AC790" s="289"/>
      <c r="AD790" s="289"/>
      <c r="AE790" s="289"/>
      <c r="AF790" s="289"/>
      <c r="AG790" s="289"/>
      <c r="AH790" s="289"/>
      <c r="AI790" s="289"/>
      <c r="AJ790" s="289"/>
      <c r="AK790" s="289"/>
      <c r="AL790" s="289"/>
      <c r="AM790" s="289"/>
      <c r="AN790" s="289"/>
      <c r="AO790" s="289"/>
      <c r="AP790" s="289"/>
      <c r="AQ790" s="289"/>
      <c r="AR790" s="289"/>
      <c r="AS790" s="289"/>
      <c r="AT790" s="289"/>
    </row>
    <row r="791" spans="1:46" ht="15.75" customHeight="1" x14ac:dyDescent="0.25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  <c r="AC791" s="289"/>
      <c r="AD791" s="289"/>
      <c r="AE791" s="289"/>
      <c r="AF791" s="289"/>
      <c r="AG791" s="289"/>
      <c r="AH791" s="289"/>
      <c r="AI791" s="289"/>
      <c r="AJ791" s="289"/>
      <c r="AK791" s="289"/>
      <c r="AL791" s="289"/>
      <c r="AM791" s="289"/>
      <c r="AN791" s="289"/>
      <c r="AO791" s="289"/>
      <c r="AP791" s="289"/>
      <c r="AQ791" s="289"/>
      <c r="AR791" s="289"/>
      <c r="AS791" s="289"/>
      <c r="AT791" s="289"/>
    </row>
    <row r="792" spans="1:46" ht="15.75" customHeight="1" x14ac:dyDescent="0.25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  <c r="AC792" s="289"/>
      <c r="AD792" s="289"/>
      <c r="AE792" s="289"/>
      <c r="AF792" s="289"/>
      <c r="AG792" s="289"/>
      <c r="AH792" s="289"/>
      <c r="AI792" s="289"/>
      <c r="AJ792" s="289"/>
      <c r="AK792" s="289"/>
      <c r="AL792" s="289"/>
      <c r="AM792" s="289"/>
      <c r="AN792" s="289"/>
      <c r="AO792" s="289"/>
      <c r="AP792" s="289"/>
      <c r="AQ792" s="289"/>
      <c r="AR792" s="289"/>
      <c r="AS792" s="289"/>
      <c r="AT792" s="289"/>
    </row>
    <row r="793" spans="1:46" ht="15.75" customHeight="1" x14ac:dyDescent="0.25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  <c r="AC793" s="289"/>
      <c r="AD793" s="289"/>
      <c r="AE793" s="289"/>
      <c r="AF793" s="289"/>
      <c r="AG793" s="289"/>
      <c r="AH793" s="289"/>
      <c r="AI793" s="289"/>
      <c r="AJ793" s="289"/>
      <c r="AK793" s="289"/>
      <c r="AL793" s="289"/>
      <c r="AM793" s="289"/>
      <c r="AN793" s="289"/>
      <c r="AO793" s="289"/>
      <c r="AP793" s="289"/>
      <c r="AQ793" s="289"/>
      <c r="AR793" s="289"/>
      <c r="AS793" s="289"/>
      <c r="AT793" s="289"/>
    </row>
    <row r="794" spans="1:46" ht="15.75" customHeight="1" x14ac:dyDescent="0.25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  <c r="AC794" s="289"/>
      <c r="AD794" s="289"/>
      <c r="AE794" s="289"/>
      <c r="AF794" s="289"/>
      <c r="AG794" s="289"/>
      <c r="AH794" s="289"/>
      <c r="AI794" s="289"/>
      <c r="AJ794" s="289"/>
      <c r="AK794" s="289"/>
      <c r="AL794" s="289"/>
      <c r="AM794" s="289"/>
      <c r="AN794" s="289"/>
      <c r="AO794" s="289"/>
      <c r="AP794" s="289"/>
      <c r="AQ794" s="289"/>
      <c r="AR794" s="289"/>
      <c r="AS794" s="289"/>
      <c r="AT794" s="289"/>
    </row>
    <row r="795" spans="1:46" ht="15.75" customHeight="1" x14ac:dyDescent="0.25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  <c r="AC795" s="289"/>
      <c r="AD795" s="289"/>
      <c r="AE795" s="289"/>
      <c r="AF795" s="289"/>
      <c r="AG795" s="289"/>
      <c r="AH795" s="289"/>
      <c r="AI795" s="289"/>
      <c r="AJ795" s="289"/>
      <c r="AK795" s="289"/>
      <c r="AL795" s="289"/>
      <c r="AM795" s="289"/>
      <c r="AN795" s="289"/>
      <c r="AO795" s="289"/>
      <c r="AP795" s="289"/>
      <c r="AQ795" s="289"/>
      <c r="AR795" s="289"/>
      <c r="AS795" s="289"/>
      <c r="AT795" s="289"/>
    </row>
    <row r="796" spans="1:46" ht="15.75" customHeight="1" x14ac:dyDescent="0.25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  <c r="AC796" s="289"/>
      <c r="AD796" s="289"/>
      <c r="AE796" s="289"/>
      <c r="AF796" s="289"/>
      <c r="AG796" s="289"/>
      <c r="AH796" s="289"/>
      <c r="AI796" s="289"/>
      <c r="AJ796" s="289"/>
      <c r="AK796" s="289"/>
      <c r="AL796" s="289"/>
      <c r="AM796" s="289"/>
      <c r="AN796" s="289"/>
      <c r="AO796" s="289"/>
      <c r="AP796" s="289"/>
      <c r="AQ796" s="289"/>
      <c r="AR796" s="289"/>
      <c r="AS796" s="289"/>
      <c r="AT796" s="289"/>
    </row>
    <row r="797" spans="1:46" ht="15.75" customHeight="1" x14ac:dyDescent="0.25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  <c r="AC797" s="289"/>
      <c r="AD797" s="289"/>
      <c r="AE797" s="289"/>
      <c r="AF797" s="289"/>
      <c r="AG797" s="289"/>
      <c r="AH797" s="289"/>
      <c r="AI797" s="289"/>
      <c r="AJ797" s="289"/>
      <c r="AK797" s="289"/>
      <c r="AL797" s="289"/>
      <c r="AM797" s="289"/>
      <c r="AN797" s="289"/>
      <c r="AO797" s="289"/>
      <c r="AP797" s="289"/>
      <c r="AQ797" s="289"/>
      <c r="AR797" s="289"/>
      <c r="AS797" s="289"/>
      <c r="AT797" s="289"/>
    </row>
    <row r="798" spans="1:46" ht="15.75" customHeight="1" x14ac:dyDescent="0.25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  <c r="AC798" s="289"/>
      <c r="AD798" s="289"/>
      <c r="AE798" s="289"/>
      <c r="AF798" s="289"/>
      <c r="AG798" s="289"/>
      <c r="AH798" s="289"/>
      <c r="AI798" s="289"/>
      <c r="AJ798" s="289"/>
      <c r="AK798" s="289"/>
      <c r="AL798" s="289"/>
      <c r="AM798" s="289"/>
      <c r="AN798" s="289"/>
      <c r="AO798" s="289"/>
      <c r="AP798" s="289"/>
      <c r="AQ798" s="289"/>
      <c r="AR798" s="289"/>
      <c r="AS798" s="289"/>
      <c r="AT798" s="289"/>
    </row>
    <row r="799" spans="1:46" ht="15.75" customHeight="1" x14ac:dyDescent="0.25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  <c r="AC799" s="289"/>
      <c r="AD799" s="289"/>
      <c r="AE799" s="289"/>
      <c r="AF799" s="289"/>
      <c r="AG799" s="289"/>
      <c r="AH799" s="289"/>
      <c r="AI799" s="289"/>
      <c r="AJ799" s="289"/>
      <c r="AK799" s="289"/>
      <c r="AL799" s="289"/>
      <c r="AM799" s="289"/>
      <c r="AN799" s="289"/>
      <c r="AO799" s="289"/>
      <c r="AP799" s="289"/>
      <c r="AQ799" s="289"/>
      <c r="AR799" s="289"/>
      <c r="AS799" s="289"/>
      <c r="AT799" s="289"/>
    </row>
    <row r="800" spans="1:46" ht="15.75" customHeight="1" x14ac:dyDescent="0.25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  <c r="AC800" s="289"/>
      <c r="AD800" s="289"/>
      <c r="AE800" s="289"/>
      <c r="AF800" s="289"/>
      <c r="AG800" s="289"/>
      <c r="AH800" s="289"/>
      <c r="AI800" s="289"/>
      <c r="AJ800" s="289"/>
      <c r="AK800" s="289"/>
      <c r="AL800" s="289"/>
      <c r="AM800" s="289"/>
      <c r="AN800" s="289"/>
      <c r="AO800" s="289"/>
      <c r="AP800" s="289"/>
      <c r="AQ800" s="289"/>
      <c r="AR800" s="289"/>
      <c r="AS800" s="289"/>
      <c r="AT800" s="289"/>
    </row>
    <row r="801" spans="1:46" ht="15.75" customHeight="1" x14ac:dyDescent="0.25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  <c r="AC801" s="289"/>
      <c r="AD801" s="289"/>
      <c r="AE801" s="289"/>
      <c r="AF801" s="289"/>
      <c r="AG801" s="289"/>
      <c r="AH801" s="289"/>
      <c r="AI801" s="289"/>
      <c r="AJ801" s="289"/>
      <c r="AK801" s="289"/>
      <c r="AL801" s="289"/>
      <c r="AM801" s="289"/>
      <c r="AN801" s="289"/>
      <c r="AO801" s="289"/>
      <c r="AP801" s="289"/>
      <c r="AQ801" s="289"/>
      <c r="AR801" s="289"/>
      <c r="AS801" s="289"/>
      <c r="AT801" s="289"/>
    </row>
    <row r="802" spans="1:46" ht="15.75" customHeight="1" x14ac:dyDescent="0.25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  <c r="AC802" s="289"/>
      <c r="AD802" s="289"/>
      <c r="AE802" s="289"/>
      <c r="AF802" s="289"/>
      <c r="AG802" s="289"/>
      <c r="AH802" s="289"/>
      <c r="AI802" s="289"/>
      <c r="AJ802" s="289"/>
      <c r="AK802" s="289"/>
      <c r="AL802" s="289"/>
      <c r="AM802" s="289"/>
      <c r="AN802" s="289"/>
      <c r="AO802" s="289"/>
      <c r="AP802" s="289"/>
      <c r="AQ802" s="289"/>
      <c r="AR802" s="289"/>
      <c r="AS802" s="289"/>
      <c r="AT802" s="289"/>
    </row>
    <row r="803" spans="1:46" ht="15.75" customHeight="1" x14ac:dyDescent="0.25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  <c r="AC803" s="289"/>
      <c r="AD803" s="289"/>
      <c r="AE803" s="289"/>
      <c r="AF803" s="289"/>
      <c r="AG803" s="289"/>
      <c r="AH803" s="289"/>
      <c r="AI803" s="289"/>
      <c r="AJ803" s="289"/>
      <c r="AK803" s="289"/>
      <c r="AL803" s="289"/>
      <c r="AM803" s="289"/>
      <c r="AN803" s="289"/>
      <c r="AO803" s="289"/>
      <c r="AP803" s="289"/>
      <c r="AQ803" s="289"/>
      <c r="AR803" s="289"/>
      <c r="AS803" s="289"/>
      <c r="AT803" s="289"/>
    </row>
    <row r="804" spans="1:46" ht="15.75" customHeight="1" x14ac:dyDescent="0.25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  <c r="AC804" s="289"/>
      <c r="AD804" s="289"/>
      <c r="AE804" s="289"/>
      <c r="AF804" s="289"/>
      <c r="AG804" s="289"/>
      <c r="AH804" s="289"/>
      <c r="AI804" s="289"/>
      <c r="AJ804" s="289"/>
      <c r="AK804" s="289"/>
      <c r="AL804" s="289"/>
      <c r="AM804" s="289"/>
      <c r="AN804" s="289"/>
      <c r="AO804" s="289"/>
      <c r="AP804" s="289"/>
      <c r="AQ804" s="289"/>
      <c r="AR804" s="289"/>
      <c r="AS804" s="289"/>
      <c r="AT804" s="289"/>
    </row>
    <row r="805" spans="1:46" ht="15.75" customHeight="1" x14ac:dyDescent="0.25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  <c r="AC805" s="289"/>
      <c r="AD805" s="289"/>
      <c r="AE805" s="289"/>
      <c r="AF805" s="289"/>
      <c r="AG805" s="289"/>
      <c r="AH805" s="289"/>
      <c r="AI805" s="289"/>
      <c r="AJ805" s="289"/>
      <c r="AK805" s="289"/>
      <c r="AL805" s="289"/>
      <c r="AM805" s="289"/>
      <c r="AN805" s="289"/>
      <c r="AO805" s="289"/>
      <c r="AP805" s="289"/>
      <c r="AQ805" s="289"/>
      <c r="AR805" s="289"/>
      <c r="AS805" s="289"/>
      <c r="AT805" s="289"/>
    </row>
    <row r="806" spans="1:46" ht="15.75" customHeight="1" x14ac:dyDescent="0.25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  <c r="AC806" s="289"/>
      <c r="AD806" s="289"/>
      <c r="AE806" s="289"/>
      <c r="AF806" s="289"/>
      <c r="AG806" s="289"/>
      <c r="AH806" s="289"/>
      <c r="AI806" s="289"/>
      <c r="AJ806" s="289"/>
      <c r="AK806" s="289"/>
      <c r="AL806" s="289"/>
      <c r="AM806" s="289"/>
      <c r="AN806" s="289"/>
      <c r="AO806" s="289"/>
      <c r="AP806" s="289"/>
      <c r="AQ806" s="289"/>
      <c r="AR806" s="289"/>
      <c r="AS806" s="289"/>
      <c r="AT806" s="289"/>
    </row>
    <row r="807" spans="1:46" ht="15.75" customHeight="1" x14ac:dyDescent="0.25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  <c r="AC807" s="289"/>
      <c r="AD807" s="289"/>
      <c r="AE807" s="289"/>
      <c r="AF807" s="289"/>
      <c r="AG807" s="289"/>
      <c r="AH807" s="289"/>
      <c r="AI807" s="289"/>
      <c r="AJ807" s="289"/>
      <c r="AK807" s="289"/>
      <c r="AL807" s="289"/>
      <c r="AM807" s="289"/>
      <c r="AN807" s="289"/>
      <c r="AO807" s="289"/>
      <c r="AP807" s="289"/>
      <c r="AQ807" s="289"/>
      <c r="AR807" s="289"/>
      <c r="AS807" s="289"/>
      <c r="AT807" s="289"/>
    </row>
    <row r="808" spans="1:46" ht="15.75" customHeight="1" x14ac:dyDescent="0.25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  <c r="AC808" s="289"/>
      <c r="AD808" s="289"/>
      <c r="AE808" s="289"/>
      <c r="AF808" s="289"/>
      <c r="AG808" s="289"/>
      <c r="AH808" s="289"/>
      <c r="AI808" s="289"/>
      <c r="AJ808" s="289"/>
      <c r="AK808" s="289"/>
      <c r="AL808" s="289"/>
      <c r="AM808" s="289"/>
      <c r="AN808" s="289"/>
      <c r="AO808" s="289"/>
      <c r="AP808" s="289"/>
      <c r="AQ808" s="289"/>
      <c r="AR808" s="289"/>
      <c r="AS808" s="289"/>
      <c r="AT808" s="289"/>
    </row>
    <row r="809" spans="1:46" ht="15.75" customHeight="1" x14ac:dyDescent="0.25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  <c r="AC809" s="289"/>
      <c r="AD809" s="289"/>
      <c r="AE809" s="289"/>
      <c r="AF809" s="289"/>
      <c r="AG809" s="289"/>
      <c r="AH809" s="289"/>
      <c r="AI809" s="289"/>
      <c r="AJ809" s="289"/>
      <c r="AK809" s="289"/>
      <c r="AL809" s="289"/>
      <c r="AM809" s="289"/>
      <c r="AN809" s="289"/>
      <c r="AO809" s="289"/>
      <c r="AP809" s="289"/>
      <c r="AQ809" s="289"/>
      <c r="AR809" s="289"/>
      <c r="AS809" s="289"/>
      <c r="AT809" s="289"/>
    </row>
    <row r="810" spans="1:46" ht="15.75" customHeight="1" x14ac:dyDescent="0.25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  <c r="AC810" s="289"/>
      <c r="AD810" s="289"/>
      <c r="AE810" s="289"/>
      <c r="AF810" s="289"/>
      <c r="AG810" s="289"/>
      <c r="AH810" s="289"/>
      <c r="AI810" s="289"/>
      <c r="AJ810" s="289"/>
      <c r="AK810" s="289"/>
      <c r="AL810" s="289"/>
      <c r="AM810" s="289"/>
      <c r="AN810" s="289"/>
      <c r="AO810" s="289"/>
      <c r="AP810" s="289"/>
      <c r="AQ810" s="289"/>
      <c r="AR810" s="289"/>
      <c r="AS810" s="289"/>
      <c r="AT810" s="289"/>
    </row>
    <row r="811" spans="1:46" ht="15.75" customHeight="1" x14ac:dyDescent="0.25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  <c r="AC811" s="289"/>
      <c r="AD811" s="289"/>
      <c r="AE811" s="289"/>
      <c r="AF811" s="289"/>
      <c r="AG811" s="289"/>
      <c r="AH811" s="289"/>
      <c r="AI811" s="289"/>
      <c r="AJ811" s="289"/>
      <c r="AK811" s="289"/>
      <c r="AL811" s="289"/>
      <c r="AM811" s="289"/>
      <c r="AN811" s="289"/>
      <c r="AO811" s="289"/>
      <c r="AP811" s="289"/>
      <c r="AQ811" s="289"/>
      <c r="AR811" s="289"/>
      <c r="AS811" s="289"/>
      <c r="AT811" s="289"/>
    </row>
    <row r="812" spans="1:46" ht="15.75" customHeight="1" x14ac:dyDescent="0.25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  <c r="AC812" s="289"/>
      <c r="AD812" s="289"/>
      <c r="AE812" s="289"/>
      <c r="AF812" s="289"/>
      <c r="AG812" s="289"/>
      <c r="AH812" s="289"/>
      <c r="AI812" s="289"/>
      <c r="AJ812" s="289"/>
      <c r="AK812" s="289"/>
      <c r="AL812" s="289"/>
      <c r="AM812" s="289"/>
      <c r="AN812" s="289"/>
      <c r="AO812" s="289"/>
      <c r="AP812" s="289"/>
      <c r="AQ812" s="289"/>
      <c r="AR812" s="289"/>
      <c r="AS812" s="289"/>
      <c r="AT812" s="289"/>
    </row>
    <row r="813" spans="1:46" ht="15.75" customHeight="1" x14ac:dyDescent="0.25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  <c r="AC813" s="289"/>
      <c r="AD813" s="289"/>
      <c r="AE813" s="289"/>
      <c r="AF813" s="289"/>
      <c r="AG813" s="289"/>
      <c r="AH813" s="289"/>
      <c r="AI813" s="289"/>
      <c r="AJ813" s="289"/>
      <c r="AK813" s="289"/>
      <c r="AL813" s="289"/>
      <c r="AM813" s="289"/>
      <c r="AN813" s="289"/>
      <c r="AO813" s="289"/>
      <c r="AP813" s="289"/>
      <c r="AQ813" s="289"/>
      <c r="AR813" s="289"/>
      <c r="AS813" s="289"/>
      <c r="AT813" s="289"/>
    </row>
    <row r="814" spans="1:46" ht="15.75" customHeight="1" x14ac:dyDescent="0.25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  <c r="AC814" s="289"/>
      <c r="AD814" s="289"/>
      <c r="AE814" s="289"/>
      <c r="AF814" s="289"/>
      <c r="AG814" s="289"/>
      <c r="AH814" s="289"/>
      <c r="AI814" s="289"/>
      <c r="AJ814" s="289"/>
      <c r="AK814" s="289"/>
      <c r="AL814" s="289"/>
      <c r="AM814" s="289"/>
      <c r="AN814" s="289"/>
      <c r="AO814" s="289"/>
      <c r="AP814" s="289"/>
      <c r="AQ814" s="289"/>
      <c r="AR814" s="289"/>
      <c r="AS814" s="289"/>
      <c r="AT814" s="289"/>
    </row>
    <row r="815" spans="1:46" ht="15.75" customHeight="1" x14ac:dyDescent="0.25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  <c r="AC815" s="289"/>
      <c r="AD815" s="289"/>
      <c r="AE815" s="289"/>
      <c r="AF815" s="289"/>
      <c r="AG815" s="289"/>
      <c r="AH815" s="289"/>
      <c r="AI815" s="289"/>
      <c r="AJ815" s="289"/>
      <c r="AK815" s="289"/>
      <c r="AL815" s="289"/>
      <c r="AM815" s="289"/>
      <c r="AN815" s="289"/>
      <c r="AO815" s="289"/>
      <c r="AP815" s="289"/>
      <c r="AQ815" s="289"/>
      <c r="AR815" s="289"/>
      <c r="AS815" s="289"/>
      <c r="AT815" s="289"/>
    </row>
    <row r="816" spans="1:46" ht="15.75" customHeight="1" x14ac:dyDescent="0.25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  <c r="AC816" s="289"/>
      <c r="AD816" s="289"/>
      <c r="AE816" s="289"/>
      <c r="AF816" s="289"/>
      <c r="AG816" s="289"/>
      <c r="AH816" s="289"/>
      <c r="AI816" s="289"/>
      <c r="AJ816" s="289"/>
      <c r="AK816" s="289"/>
      <c r="AL816" s="289"/>
      <c r="AM816" s="289"/>
      <c r="AN816" s="289"/>
      <c r="AO816" s="289"/>
      <c r="AP816" s="289"/>
      <c r="AQ816" s="289"/>
      <c r="AR816" s="289"/>
      <c r="AS816" s="289"/>
      <c r="AT816" s="289"/>
    </row>
    <row r="817" spans="1:46" ht="15.75" customHeight="1" x14ac:dyDescent="0.25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  <c r="AC817" s="289"/>
      <c r="AD817" s="289"/>
      <c r="AE817" s="289"/>
      <c r="AF817" s="289"/>
      <c r="AG817" s="289"/>
      <c r="AH817" s="289"/>
      <c r="AI817" s="289"/>
      <c r="AJ817" s="289"/>
      <c r="AK817" s="289"/>
      <c r="AL817" s="289"/>
      <c r="AM817" s="289"/>
      <c r="AN817" s="289"/>
      <c r="AO817" s="289"/>
      <c r="AP817" s="289"/>
      <c r="AQ817" s="289"/>
      <c r="AR817" s="289"/>
      <c r="AS817" s="289"/>
      <c r="AT817" s="289"/>
    </row>
    <row r="818" spans="1:46" ht="15.75" customHeight="1" x14ac:dyDescent="0.25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  <c r="AC818" s="289"/>
      <c r="AD818" s="289"/>
      <c r="AE818" s="289"/>
      <c r="AF818" s="289"/>
      <c r="AG818" s="289"/>
      <c r="AH818" s="289"/>
      <c r="AI818" s="289"/>
      <c r="AJ818" s="289"/>
      <c r="AK818" s="289"/>
      <c r="AL818" s="289"/>
      <c r="AM818" s="289"/>
      <c r="AN818" s="289"/>
      <c r="AO818" s="289"/>
      <c r="AP818" s="289"/>
      <c r="AQ818" s="289"/>
      <c r="AR818" s="289"/>
      <c r="AS818" s="289"/>
      <c r="AT818" s="289"/>
    </row>
    <row r="819" spans="1:46" ht="15.75" customHeight="1" x14ac:dyDescent="0.25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  <c r="AC819" s="289"/>
      <c r="AD819" s="289"/>
      <c r="AE819" s="289"/>
      <c r="AF819" s="289"/>
      <c r="AG819" s="289"/>
      <c r="AH819" s="289"/>
      <c r="AI819" s="289"/>
      <c r="AJ819" s="289"/>
      <c r="AK819" s="289"/>
      <c r="AL819" s="289"/>
      <c r="AM819" s="289"/>
      <c r="AN819" s="289"/>
      <c r="AO819" s="289"/>
      <c r="AP819" s="289"/>
      <c r="AQ819" s="289"/>
      <c r="AR819" s="289"/>
      <c r="AS819" s="289"/>
      <c r="AT819" s="289"/>
    </row>
    <row r="820" spans="1:46" ht="15.75" customHeight="1" x14ac:dyDescent="0.25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  <c r="AC820" s="289"/>
      <c r="AD820" s="289"/>
      <c r="AE820" s="289"/>
      <c r="AF820" s="289"/>
      <c r="AG820" s="289"/>
      <c r="AH820" s="289"/>
      <c r="AI820" s="289"/>
      <c r="AJ820" s="289"/>
      <c r="AK820" s="289"/>
      <c r="AL820" s="289"/>
      <c r="AM820" s="289"/>
      <c r="AN820" s="289"/>
      <c r="AO820" s="289"/>
      <c r="AP820" s="289"/>
      <c r="AQ820" s="289"/>
      <c r="AR820" s="289"/>
      <c r="AS820" s="289"/>
      <c r="AT820" s="289"/>
    </row>
    <row r="821" spans="1:46" ht="15.75" customHeight="1" x14ac:dyDescent="0.25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  <c r="AC821" s="289"/>
      <c r="AD821" s="289"/>
      <c r="AE821" s="289"/>
      <c r="AF821" s="289"/>
      <c r="AG821" s="289"/>
      <c r="AH821" s="289"/>
      <c r="AI821" s="289"/>
      <c r="AJ821" s="289"/>
      <c r="AK821" s="289"/>
      <c r="AL821" s="289"/>
      <c r="AM821" s="289"/>
      <c r="AN821" s="289"/>
      <c r="AO821" s="289"/>
      <c r="AP821" s="289"/>
      <c r="AQ821" s="289"/>
      <c r="AR821" s="289"/>
      <c r="AS821" s="289"/>
      <c r="AT821" s="289"/>
    </row>
    <row r="822" spans="1:46" ht="15.75" customHeight="1" x14ac:dyDescent="0.25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  <c r="AC822" s="289"/>
      <c r="AD822" s="289"/>
      <c r="AE822" s="289"/>
      <c r="AF822" s="289"/>
      <c r="AG822" s="289"/>
      <c r="AH822" s="289"/>
      <c r="AI822" s="289"/>
      <c r="AJ822" s="289"/>
      <c r="AK822" s="289"/>
      <c r="AL822" s="289"/>
      <c r="AM822" s="289"/>
      <c r="AN822" s="289"/>
      <c r="AO822" s="289"/>
      <c r="AP822" s="289"/>
      <c r="AQ822" s="289"/>
      <c r="AR822" s="289"/>
      <c r="AS822" s="289"/>
      <c r="AT822" s="289"/>
    </row>
    <row r="823" spans="1:46" ht="15.75" customHeight="1" x14ac:dyDescent="0.25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  <c r="AC823" s="289"/>
      <c r="AD823" s="289"/>
      <c r="AE823" s="289"/>
      <c r="AF823" s="289"/>
      <c r="AG823" s="289"/>
      <c r="AH823" s="289"/>
      <c r="AI823" s="289"/>
      <c r="AJ823" s="289"/>
      <c r="AK823" s="289"/>
      <c r="AL823" s="289"/>
      <c r="AM823" s="289"/>
      <c r="AN823" s="289"/>
      <c r="AO823" s="289"/>
      <c r="AP823" s="289"/>
      <c r="AQ823" s="289"/>
      <c r="AR823" s="289"/>
      <c r="AS823" s="289"/>
      <c r="AT823" s="289"/>
    </row>
    <row r="824" spans="1:46" ht="15.75" customHeight="1" x14ac:dyDescent="0.25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  <c r="AC824" s="289"/>
      <c r="AD824" s="289"/>
      <c r="AE824" s="289"/>
      <c r="AF824" s="289"/>
      <c r="AG824" s="289"/>
      <c r="AH824" s="289"/>
      <c r="AI824" s="289"/>
      <c r="AJ824" s="289"/>
      <c r="AK824" s="289"/>
      <c r="AL824" s="289"/>
      <c r="AM824" s="289"/>
      <c r="AN824" s="289"/>
      <c r="AO824" s="289"/>
      <c r="AP824" s="289"/>
      <c r="AQ824" s="289"/>
      <c r="AR824" s="289"/>
      <c r="AS824" s="289"/>
      <c r="AT824" s="289"/>
    </row>
    <row r="825" spans="1:46" ht="15.75" customHeight="1" x14ac:dyDescent="0.25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  <c r="AC825" s="289"/>
      <c r="AD825" s="289"/>
      <c r="AE825" s="289"/>
      <c r="AF825" s="289"/>
      <c r="AG825" s="289"/>
      <c r="AH825" s="289"/>
      <c r="AI825" s="289"/>
      <c r="AJ825" s="289"/>
      <c r="AK825" s="289"/>
      <c r="AL825" s="289"/>
      <c r="AM825" s="289"/>
      <c r="AN825" s="289"/>
      <c r="AO825" s="289"/>
      <c r="AP825" s="289"/>
      <c r="AQ825" s="289"/>
      <c r="AR825" s="289"/>
      <c r="AS825" s="289"/>
      <c r="AT825" s="289"/>
    </row>
    <row r="826" spans="1:46" ht="15.75" customHeight="1" x14ac:dyDescent="0.25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  <c r="AC826" s="289"/>
      <c r="AD826" s="289"/>
      <c r="AE826" s="289"/>
      <c r="AF826" s="289"/>
      <c r="AG826" s="289"/>
      <c r="AH826" s="289"/>
      <c r="AI826" s="289"/>
      <c r="AJ826" s="289"/>
      <c r="AK826" s="289"/>
      <c r="AL826" s="289"/>
      <c r="AM826" s="289"/>
      <c r="AN826" s="289"/>
      <c r="AO826" s="289"/>
      <c r="AP826" s="289"/>
      <c r="AQ826" s="289"/>
      <c r="AR826" s="289"/>
      <c r="AS826" s="289"/>
      <c r="AT826" s="289"/>
    </row>
    <row r="827" spans="1:46" ht="15.75" customHeight="1" x14ac:dyDescent="0.25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  <c r="AC827" s="289"/>
      <c r="AD827" s="289"/>
      <c r="AE827" s="289"/>
      <c r="AF827" s="289"/>
      <c r="AG827" s="289"/>
      <c r="AH827" s="289"/>
      <c r="AI827" s="289"/>
      <c r="AJ827" s="289"/>
      <c r="AK827" s="289"/>
      <c r="AL827" s="289"/>
      <c r="AM827" s="289"/>
      <c r="AN827" s="289"/>
      <c r="AO827" s="289"/>
      <c r="AP827" s="289"/>
      <c r="AQ827" s="289"/>
      <c r="AR827" s="289"/>
      <c r="AS827" s="289"/>
      <c r="AT827" s="289"/>
    </row>
    <row r="828" spans="1:46" ht="15.75" customHeight="1" x14ac:dyDescent="0.25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  <c r="AC828" s="289"/>
      <c r="AD828" s="289"/>
      <c r="AE828" s="289"/>
      <c r="AF828" s="289"/>
      <c r="AG828" s="289"/>
      <c r="AH828" s="289"/>
      <c r="AI828" s="289"/>
      <c r="AJ828" s="289"/>
      <c r="AK828" s="289"/>
      <c r="AL828" s="289"/>
      <c r="AM828" s="289"/>
      <c r="AN828" s="289"/>
      <c r="AO828" s="289"/>
      <c r="AP828" s="289"/>
      <c r="AQ828" s="289"/>
      <c r="AR828" s="289"/>
      <c r="AS828" s="289"/>
      <c r="AT828" s="289"/>
    </row>
    <row r="829" spans="1:46" ht="15.75" customHeight="1" x14ac:dyDescent="0.25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  <c r="AC829" s="289"/>
      <c r="AD829" s="289"/>
      <c r="AE829" s="289"/>
      <c r="AF829" s="289"/>
      <c r="AG829" s="289"/>
      <c r="AH829" s="289"/>
      <c r="AI829" s="289"/>
      <c r="AJ829" s="289"/>
      <c r="AK829" s="289"/>
      <c r="AL829" s="289"/>
      <c r="AM829" s="289"/>
      <c r="AN829" s="289"/>
      <c r="AO829" s="289"/>
      <c r="AP829" s="289"/>
      <c r="AQ829" s="289"/>
      <c r="AR829" s="289"/>
      <c r="AS829" s="289"/>
      <c r="AT829" s="289"/>
    </row>
    <row r="830" spans="1:46" ht="15.75" customHeight="1" x14ac:dyDescent="0.25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  <c r="AC830" s="289"/>
      <c r="AD830" s="289"/>
      <c r="AE830" s="289"/>
      <c r="AF830" s="289"/>
      <c r="AG830" s="289"/>
      <c r="AH830" s="289"/>
      <c r="AI830" s="289"/>
      <c r="AJ830" s="289"/>
      <c r="AK830" s="289"/>
      <c r="AL830" s="289"/>
      <c r="AM830" s="289"/>
      <c r="AN830" s="289"/>
      <c r="AO830" s="289"/>
      <c r="AP830" s="289"/>
      <c r="AQ830" s="289"/>
      <c r="AR830" s="289"/>
      <c r="AS830" s="289"/>
      <c r="AT830" s="289"/>
    </row>
    <row r="831" spans="1:46" ht="15.75" customHeight="1" x14ac:dyDescent="0.25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  <c r="AC831" s="289"/>
      <c r="AD831" s="289"/>
      <c r="AE831" s="289"/>
      <c r="AF831" s="289"/>
      <c r="AG831" s="289"/>
      <c r="AH831" s="289"/>
      <c r="AI831" s="289"/>
      <c r="AJ831" s="289"/>
      <c r="AK831" s="289"/>
      <c r="AL831" s="289"/>
      <c r="AM831" s="289"/>
      <c r="AN831" s="289"/>
      <c r="AO831" s="289"/>
      <c r="AP831" s="289"/>
      <c r="AQ831" s="289"/>
      <c r="AR831" s="289"/>
      <c r="AS831" s="289"/>
      <c r="AT831" s="289"/>
    </row>
    <row r="832" spans="1:46" ht="15.75" customHeight="1" x14ac:dyDescent="0.25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  <c r="AC832" s="289"/>
      <c r="AD832" s="289"/>
      <c r="AE832" s="289"/>
      <c r="AF832" s="289"/>
      <c r="AG832" s="289"/>
      <c r="AH832" s="289"/>
      <c r="AI832" s="289"/>
      <c r="AJ832" s="289"/>
      <c r="AK832" s="289"/>
      <c r="AL832" s="289"/>
      <c r="AM832" s="289"/>
      <c r="AN832" s="289"/>
      <c r="AO832" s="289"/>
      <c r="AP832" s="289"/>
      <c r="AQ832" s="289"/>
      <c r="AR832" s="289"/>
      <c r="AS832" s="289"/>
      <c r="AT832" s="289"/>
    </row>
    <row r="833" spans="1:46" ht="15.75" customHeight="1" x14ac:dyDescent="0.25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  <c r="AC833" s="289"/>
      <c r="AD833" s="289"/>
      <c r="AE833" s="289"/>
      <c r="AF833" s="289"/>
      <c r="AG833" s="289"/>
      <c r="AH833" s="289"/>
      <c r="AI833" s="289"/>
      <c r="AJ833" s="289"/>
      <c r="AK833" s="289"/>
      <c r="AL833" s="289"/>
      <c r="AM833" s="289"/>
      <c r="AN833" s="289"/>
      <c r="AO833" s="289"/>
      <c r="AP833" s="289"/>
      <c r="AQ833" s="289"/>
      <c r="AR833" s="289"/>
      <c r="AS833" s="289"/>
      <c r="AT833" s="289"/>
    </row>
    <row r="834" spans="1:46" ht="15.75" customHeight="1" x14ac:dyDescent="0.25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  <c r="AC834" s="289"/>
      <c r="AD834" s="289"/>
      <c r="AE834" s="289"/>
      <c r="AF834" s="289"/>
      <c r="AG834" s="289"/>
      <c r="AH834" s="289"/>
      <c r="AI834" s="289"/>
      <c r="AJ834" s="289"/>
      <c r="AK834" s="289"/>
      <c r="AL834" s="289"/>
      <c r="AM834" s="289"/>
      <c r="AN834" s="289"/>
      <c r="AO834" s="289"/>
      <c r="AP834" s="289"/>
      <c r="AQ834" s="289"/>
      <c r="AR834" s="289"/>
      <c r="AS834" s="289"/>
      <c r="AT834" s="289"/>
    </row>
    <row r="835" spans="1:46" ht="15.75" customHeight="1" x14ac:dyDescent="0.25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  <c r="AC835" s="289"/>
      <c r="AD835" s="289"/>
      <c r="AE835" s="289"/>
      <c r="AF835" s="289"/>
      <c r="AG835" s="289"/>
      <c r="AH835" s="289"/>
      <c r="AI835" s="289"/>
      <c r="AJ835" s="289"/>
      <c r="AK835" s="289"/>
      <c r="AL835" s="289"/>
      <c r="AM835" s="289"/>
      <c r="AN835" s="289"/>
      <c r="AO835" s="289"/>
      <c r="AP835" s="289"/>
      <c r="AQ835" s="289"/>
      <c r="AR835" s="289"/>
      <c r="AS835" s="289"/>
      <c r="AT835" s="289"/>
    </row>
    <row r="836" spans="1:46" ht="15.75" customHeight="1" x14ac:dyDescent="0.25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  <c r="AC836" s="289"/>
      <c r="AD836" s="289"/>
      <c r="AE836" s="289"/>
      <c r="AF836" s="289"/>
      <c r="AG836" s="289"/>
      <c r="AH836" s="289"/>
      <c r="AI836" s="289"/>
      <c r="AJ836" s="289"/>
      <c r="AK836" s="289"/>
      <c r="AL836" s="289"/>
      <c r="AM836" s="289"/>
      <c r="AN836" s="289"/>
      <c r="AO836" s="289"/>
      <c r="AP836" s="289"/>
      <c r="AQ836" s="289"/>
      <c r="AR836" s="289"/>
      <c r="AS836" s="289"/>
      <c r="AT836" s="289"/>
    </row>
    <row r="837" spans="1:46" ht="15.75" customHeight="1" x14ac:dyDescent="0.25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  <c r="AC837" s="289"/>
      <c r="AD837" s="289"/>
      <c r="AE837" s="289"/>
      <c r="AF837" s="289"/>
      <c r="AG837" s="289"/>
      <c r="AH837" s="289"/>
      <c r="AI837" s="289"/>
      <c r="AJ837" s="289"/>
      <c r="AK837" s="289"/>
      <c r="AL837" s="289"/>
      <c r="AM837" s="289"/>
      <c r="AN837" s="289"/>
      <c r="AO837" s="289"/>
      <c r="AP837" s="289"/>
      <c r="AQ837" s="289"/>
      <c r="AR837" s="289"/>
      <c r="AS837" s="289"/>
      <c r="AT837" s="289"/>
    </row>
    <row r="838" spans="1:46" ht="15.75" customHeight="1" x14ac:dyDescent="0.25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  <c r="AC838" s="289"/>
      <c r="AD838" s="289"/>
      <c r="AE838" s="289"/>
      <c r="AF838" s="289"/>
      <c r="AG838" s="289"/>
      <c r="AH838" s="289"/>
      <c r="AI838" s="289"/>
      <c r="AJ838" s="289"/>
      <c r="AK838" s="289"/>
      <c r="AL838" s="289"/>
      <c r="AM838" s="289"/>
      <c r="AN838" s="289"/>
      <c r="AO838" s="289"/>
      <c r="AP838" s="289"/>
      <c r="AQ838" s="289"/>
      <c r="AR838" s="289"/>
      <c r="AS838" s="289"/>
      <c r="AT838" s="289"/>
    </row>
    <row r="839" spans="1:46" ht="15.75" customHeight="1" x14ac:dyDescent="0.25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  <c r="AC839" s="289"/>
      <c r="AD839" s="289"/>
      <c r="AE839" s="289"/>
      <c r="AF839" s="289"/>
      <c r="AG839" s="289"/>
      <c r="AH839" s="289"/>
      <c r="AI839" s="289"/>
      <c r="AJ839" s="289"/>
      <c r="AK839" s="289"/>
      <c r="AL839" s="289"/>
      <c r="AM839" s="289"/>
      <c r="AN839" s="289"/>
      <c r="AO839" s="289"/>
      <c r="AP839" s="289"/>
      <c r="AQ839" s="289"/>
      <c r="AR839" s="289"/>
      <c r="AS839" s="289"/>
      <c r="AT839" s="289"/>
    </row>
    <row r="840" spans="1:46" ht="15.75" customHeight="1" x14ac:dyDescent="0.25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  <c r="AC840" s="289"/>
      <c r="AD840" s="289"/>
      <c r="AE840" s="289"/>
      <c r="AF840" s="289"/>
      <c r="AG840" s="289"/>
      <c r="AH840" s="289"/>
      <c r="AI840" s="289"/>
      <c r="AJ840" s="289"/>
      <c r="AK840" s="289"/>
      <c r="AL840" s="289"/>
      <c r="AM840" s="289"/>
      <c r="AN840" s="289"/>
      <c r="AO840" s="289"/>
      <c r="AP840" s="289"/>
      <c r="AQ840" s="289"/>
      <c r="AR840" s="289"/>
      <c r="AS840" s="289"/>
      <c r="AT840" s="289"/>
    </row>
    <row r="841" spans="1:46" ht="15.75" customHeight="1" x14ac:dyDescent="0.25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  <c r="AC841" s="289"/>
      <c r="AD841" s="289"/>
      <c r="AE841" s="289"/>
      <c r="AF841" s="289"/>
      <c r="AG841" s="289"/>
      <c r="AH841" s="289"/>
      <c r="AI841" s="289"/>
      <c r="AJ841" s="289"/>
      <c r="AK841" s="289"/>
      <c r="AL841" s="289"/>
      <c r="AM841" s="289"/>
      <c r="AN841" s="289"/>
      <c r="AO841" s="289"/>
      <c r="AP841" s="289"/>
      <c r="AQ841" s="289"/>
      <c r="AR841" s="289"/>
      <c r="AS841" s="289"/>
      <c r="AT841" s="289"/>
    </row>
    <row r="842" spans="1:46" ht="15.75" customHeight="1" x14ac:dyDescent="0.25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  <c r="AC842" s="289"/>
      <c r="AD842" s="289"/>
      <c r="AE842" s="289"/>
      <c r="AF842" s="289"/>
      <c r="AG842" s="289"/>
      <c r="AH842" s="289"/>
      <c r="AI842" s="289"/>
      <c r="AJ842" s="289"/>
      <c r="AK842" s="289"/>
      <c r="AL842" s="289"/>
      <c r="AM842" s="289"/>
      <c r="AN842" s="289"/>
      <c r="AO842" s="289"/>
      <c r="AP842" s="289"/>
      <c r="AQ842" s="289"/>
      <c r="AR842" s="289"/>
      <c r="AS842" s="289"/>
      <c r="AT842" s="289"/>
    </row>
    <row r="843" spans="1:46" ht="15.75" customHeight="1" x14ac:dyDescent="0.25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  <c r="AC843" s="289"/>
      <c r="AD843" s="289"/>
      <c r="AE843" s="289"/>
      <c r="AF843" s="289"/>
      <c r="AG843" s="289"/>
      <c r="AH843" s="289"/>
      <c r="AI843" s="289"/>
      <c r="AJ843" s="289"/>
      <c r="AK843" s="289"/>
      <c r="AL843" s="289"/>
      <c r="AM843" s="289"/>
      <c r="AN843" s="289"/>
      <c r="AO843" s="289"/>
      <c r="AP843" s="289"/>
      <c r="AQ843" s="289"/>
      <c r="AR843" s="289"/>
      <c r="AS843" s="289"/>
      <c r="AT843" s="289"/>
    </row>
    <row r="844" spans="1:46" ht="15.75" customHeight="1" x14ac:dyDescent="0.25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  <c r="AC844" s="289"/>
      <c r="AD844" s="289"/>
      <c r="AE844" s="289"/>
      <c r="AF844" s="289"/>
      <c r="AG844" s="289"/>
      <c r="AH844" s="289"/>
      <c r="AI844" s="289"/>
      <c r="AJ844" s="289"/>
      <c r="AK844" s="289"/>
      <c r="AL844" s="289"/>
      <c r="AM844" s="289"/>
      <c r="AN844" s="289"/>
      <c r="AO844" s="289"/>
      <c r="AP844" s="289"/>
      <c r="AQ844" s="289"/>
      <c r="AR844" s="289"/>
      <c r="AS844" s="289"/>
      <c r="AT844" s="289"/>
    </row>
    <row r="845" spans="1:46" ht="15.75" customHeight="1" x14ac:dyDescent="0.25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  <c r="AC845" s="289"/>
      <c r="AD845" s="289"/>
      <c r="AE845" s="289"/>
      <c r="AF845" s="289"/>
      <c r="AG845" s="289"/>
      <c r="AH845" s="289"/>
      <c r="AI845" s="289"/>
      <c r="AJ845" s="289"/>
      <c r="AK845" s="289"/>
      <c r="AL845" s="289"/>
      <c r="AM845" s="289"/>
      <c r="AN845" s="289"/>
      <c r="AO845" s="289"/>
      <c r="AP845" s="289"/>
      <c r="AQ845" s="289"/>
      <c r="AR845" s="289"/>
      <c r="AS845" s="289"/>
      <c r="AT845" s="289"/>
    </row>
    <row r="846" spans="1:46" ht="15.75" customHeight="1" x14ac:dyDescent="0.25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  <c r="AC846" s="289"/>
      <c r="AD846" s="289"/>
      <c r="AE846" s="289"/>
      <c r="AF846" s="289"/>
      <c r="AG846" s="289"/>
      <c r="AH846" s="289"/>
      <c r="AI846" s="289"/>
      <c r="AJ846" s="289"/>
      <c r="AK846" s="289"/>
      <c r="AL846" s="289"/>
      <c r="AM846" s="289"/>
      <c r="AN846" s="289"/>
      <c r="AO846" s="289"/>
      <c r="AP846" s="289"/>
      <c r="AQ846" s="289"/>
      <c r="AR846" s="289"/>
      <c r="AS846" s="289"/>
      <c r="AT846" s="289"/>
    </row>
    <row r="847" spans="1:46" ht="15.75" customHeight="1" x14ac:dyDescent="0.25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  <c r="AC847" s="289"/>
      <c r="AD847" s="289"/>
      <c r="AE847" s="289"/>
      <c r="AF847" s="289"/>
      <c r="AG847" s="289"/>
      <c r="AH847" s="289"/>
      <c r="AI847" s="289"/>
      <c r="AJ847" s="289"/>
      <c r="AK847" s="289"/>
      <c r="AL847" s="289"/>
      <c r="AM847" s="289"/>
      <c r="AN847" s="289"/>
      <c r="AO847" s="289"/>
      <c r="AP847" s="289"/>
      <c r="AQ847" s="289"/>
      <c r="AR847" s="289"/>
      <c r="AS847" s="289"/>
      <c r="AT847" s="289"/>
    </row>
    <row r="848" spans="1:46" ht="15.75" customHeight="1" x14ac:dyDescent="0.25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  <c r="AC848" s="289"/>
      <c r="AD848" s="289"/>
      <c r="AE848" s="289"/>
      <c r="AF848" s="289"/>
      <c r="AG848" s="289"/>
      <c r="AH848" s="289"/>
      <c r="AI848" s="289"/>
      <c r="AJ848" s="289"/>
      <c r="AK848" s="289"/>
      <c r="AL848" s="289"/>
      <c r="AM848" s="289"/>
      <c r="AN848" s="289"/>
      <c r="AO848" s="289"/>
      <c r="AP848" s="289"/>
      <c r="AQ848" s="289"/>
      <c r="AR848" s="289"/>
      <c r="AS848" s="289"/>
      <c r="AT848" s="289"/>
    </row>
    <row r="849" spans="1:46" ht="15.75" customHeight="1" x14ac:dyDescent="0.25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  <c r="AC849" s="289"/>
      <c r="AD849" s="289"/>
      <c r="AE849" s="289"/>
      <c r="AF849" s="289"/>
      <c r="AG849" s="289"/>
      <c r="AH849" s="289"/>
      <c r="AI849" s="289"/>
      <c r="AJ849" s="289"/>
      <c r="AK849" s="289"/>
      <c r="AL849" s="289"/>
      <c r="AM849" s="289"/>
      <c r="AN849" s="289"/>
      <c r="AO849" s="289"/>
      <c r="AP849" s="289"/>
      <c r="AQ849" s="289"/>
      <c r="AR849" s="289"/>
      <c r="AS849" s="289"/>
      <c r="AT849" s="289"/>
    </row>
    <row r="850" spans="1:46" ht="15.75" customHeight="1" x14ac:dyDescent="0.25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  <c r="AC850" s="289"/>
      <c r="AD850" s="289"/>
      <c r="AE850" s="289"/>
      <c r="AF850" s="289"/>
      <c r="AG850" s="289"/>
      <c r="AH850" s="289"/>
      <c r="AI850" s="289"/>
      <c r="AJ850" s="289"/>
      <c r="AK850" s="289"/>
      <c r="AL850" s="289"/>
      <c r="AM850" s="289"/>
      <c r="AN850" s="289"/>
      <c r="AO850" s="289"/>
      <c r="AP850" s="289"/>
      <c r="AQ850" s="289"/>
      <c r="AR850" s="289"/>
      <c r="AS850" s="289"/>
      <c r="AT850" s="289"/>
    </row>
    <row r="851" spans="1:46" ht="15.75" customHeight="1" x14ac:dyDescent="0.25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  <c r="AC851" s="289"/>
      <c r="AD851" s="289"/>
      <c r="AE851" s="289"/>
      <c r="AF851" s="289"/>
      <c r="AG851" s="289"/>
      <c r="AH851" s="289"/>
      <c r="AI851" s="289"/>
      <c r="AJ851" s="289"/>
      <c r="AK851" s="289"/>
      <c r="AL851" s="289"/>
      <c r="AM851" s="289"/>
      <c r="AN851" s="289"/>
      <c r="AO851" s="289"/>
      <c r="AP851" s="289"/>
      <c r="AQ851" s="289"/>
      <c r="AR851" s="289"/>
      <c r="AS851" s="289"/>
      <c r="AT851" s="289"/>
    </row>
    <row r="852" spans="1:46" ht="15.75" customHeight="1" x14ac:dyDescent="0.25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  <c r="AC852" s="289"/>
      <c r="AD852" s="289"/>
      <c r="AE852" s="289"/>
      <c r="AF852" s="289"/>
      <c r="AG852" s="289"/>
      <c r="AH852" s="289"/>
      <c r="AI852" s="289"/>
      <c r="AJ852" s="289"/>
      <c r="AK852" s="289"/>
      <c r="AL852" s="289"/>
      <c r="AM852" s="289"/>
      <c r="AN852" s="289"/>
      <c r="AO852" s="289"/>
      <c r="AP852" s="289"/>
      <c r="AQ852" s="289"/>
      <c r="AR852" s="289"/>
      <c r="AS852" s="289"/>
      <c r="AT852" s="289"/>
    </row>
    <row r="853" spans="1:46" ht="15.75" customHeight="1" x14ac:dyDescent="0.25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  <c r="AC853" s="289"/>
      <c r="AD853" s="289"/>
      <c r="AE853" s="289"/>
      <c r="AF853" s="289"/>
      <c r="AG853" s="289"/>
      <c r="AH853" s="289"/>
      <c r="AI853" s="289"/>
      <c r="AJ853" s="289"/>
      <c r="AK853" s="289"/>
      <c r="AL853" s="289"/>
      <c r="AM853" s="289"/>
      <c r="AN853" s="289"/>
      <c r="AO853" s="289"/>
      <c r="AP853" s="289"/>
      <c r="AQ853" s="289"/>
      <c r="AR853" s="289"/>
      <c r="AS853" s="289"/>
      <c r="AT853" s="289"/>
    </row>
    <row r="854" spans="1:46" ht="15.75" customHeight="1" x14ac:dyDescent="0.25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  <c r="AC854" s="289"/>
      <c r="AD854" s="289"/>
      <c r="AE854" s="289"/>
      <c r="AF854" s="289"/>
      <c r="AG854" s="289"/>
      <c r="AH854" s="289"/>
      <c r="AI854" s="289"/>
      <c r="AJ854" s="289"/>
      <c r="AK854" s="289"/>
      <c r="AL854" s="289"/>
      <c r="AM854" s="289"/>
      <c r="AN854" s="289"/>
      <c r="AO854" s="289"/>
      <c r="AP854" s="289"/>
      <c r="AQ854" s="289"/>
      <c r="AR854" s="289"/>
      <c r="AS854" s="289"/>
      <c r="AT854" s="289"/>
    </row>
    <row r="855" spans="1:46" ht="15.75" customHeight="1" x14ac:dyDescent="0.25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  <c r="AC855" s="289"/>
      <c r="AD855" s="289"/>
      <c r="AE855" s="289"/>
      <c r="AF855" s="289"/>
      <c r="AG855" s="289"/>
      <c r="AH855" s="289"/>
      <c r="AI855" s="289"/>
      <c r="AJ855" s="289"/>
      <c r="AK855" s="289"/>
      <c r="AL855" s="289"/>
      <c r="AM855" s="289"/>
      <c r="AN855" s="289"/>
      <c r="AO855" s="289"/>
      <c r="AP855" s="289"/>
      <c r="AQ855" s="289"/>
      <c r="AR855" s="289"/>
      <c r="AS855" s="289"/>
      <c r="AT855" s="289"/>
    </row>
    <row r="856" spans="1:46" ht="15.75" customHeight="1" x14ac:dyDescent="0.25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  <c r="AC856" s="289"/>
      <c r="AD856" s="289"/>
      <c r="AE856" s="289"/>
      <c r="AF856" s="289"/>
      <c r="AG856" s="289"/>
      <c r="AH856" s="289"/>
      <c r="AI856" s="289"/>
      <c r="AJ856" s="289"/>
      <c r="AK856" s="289"/>
      <c r="AL856" s="289"/>
      <c r="AM856" s="289"/>
      <c r="AN856" s="289"/>
      <c r="AO856" s="289"/>
      <c r="AP856" s="289"/>
      <c r="AQ856" s="289"/>
      <c r="AR856" s="289"/>
      <c r="AS856" s="289"/>
      <c r="AT856" s="289"/>
    </row>
    <row r="857" spans="1:46" ht="15.75" customHeight="1" x14ac:dyDescent="0.25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  <c r="AC857" s="289"/>
      <c r="AD857" s="289"/>
      <c r="AE857" s="289"/>
      <c r="AF857" s="289"/>
      <c r="AG857" s="289"/>
      <c r="AH857" s="289"/>
      <c r="AI857" s="289"/>
      <c r="AJ857" s="289"/>
      <c r="AK857" s="289"/>
      <c r="AL857" s="289"/>
      <c r="AM857" s="289"/>
      <c r="AN857" s="289"/>
      <c r="AO857" s="289"/>
      <c r="AP857" s="289"/>
      <c r="AQ857" s="289"/>
      <c r="AR857" s="289"/>
      <c r="AS857" s="289"/>
      <c r="AT857" s="289"/>
    </row>
    <row r="858" spans="1:46" ht="15.75" customHeight="1" x14ac:dyDescent="0.25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  <c r="AC858" s="289"/>
      <c r="AD858" s="289"/>
      <c r="AE858" s="289"/>
      <c r="AF858" s="289"/>
      <c r="AG858" s="289"/>
      <c r="AH858" s="289"/>
      <c r="AI858" s="289"/>
      <c r="AJ858" s="289"/>
      <c r="AK858" s="289"/>
      <c r="AL858" s="289"/>
      <c r="AM858" s="289"/>
      <c r="AN858" s="289"/>
      <c r="AO858" s="289"/>
      <c r="AP858" s="289"/>
      <c r="AQ858" s="289"/>
      <c r="AR858" s="289"/>
      <c r="AS858" s="289"/>
      <c r="AT858" s="289"/>
    </row>
    <row r="859" spans="1:46" ht="15.75" customHeight="1" x14ac:dyDescent="0.25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  <c r="AC859" s="289"/>
      <c r="AD859" s="289"/>
      <c r="AE859" s="289"/>
      <c r="AF859" s="289"/>
      <c r="AG859" s="289"/>
      <c r="AH859" s="289"/>
      <c r="AI859" s="289"/>
      <c r="AJ859" s="289"/>
      <c r="AK859" s="289"/>
      <c r="AL859" s="289"/>
      <c r="AM859" s="289"/>
      <c r="AN859" s="289"/>
      <c r="AO859" s="289"/>
      <c r="AP859" s="289"/>
      <c r="AQ859" s="289"/>
      <c r="AR859" s="289"/>
      <c r="AS859" s="289"/>
      <c r="AT859" s="289"/>
    </row>
    <row r="860" spans="1:46" ht="15.75" customHeight="1" x14ac:dyDescent="0.25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  <c r="AC860" s="289"/>
      <c r="AD860" s="289"/>
      <c r="AE860" s="289"/>
      <c r="AF860" s="289"/>
      <c r="AG860" s="289"/>
      <c r="AH860" s="289"/>
      <c r="AI860" s="289"/>
      <c r="AJ860" s="289"/>
      <c r="AK860" s="289"/>
      <c r="AL860" s="289"/>
      <c r="AM860" s="289"/>
      <c r="AN860" s="289"/>
      <c r="AO860" s="289"/>
      <c r="AP860" s="289"/>
      <c r="AQ860" s="289"/>
      <c r="AR860" s="289"/>
      <c r="AS860" s="289"/>
      <c r="AT860" s="289"/>
    </row>
    <row r="861" spans="1:46" ht="15.75" customHeight="1" x14ac:dyDescent="0.25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  <c r="AC861" s="289"/>
      <c r="AD861" s="289"/>
      <c r="AE861" s="289"/>
      <c r="AF861" s="289"/>
      <c r="AG861" s="289"/>
      <c r="AH861" s="289"/>
      <c r="AI861" s="289"/>
      <c r="AJ861" s="289"/>
      <c r="AK861" s="289"/>
      <c r="AL861" s="289"/>
      <c r="AM861" s="289"/>
      <c r="AN861" s="289"/>
      <c r="AO861" s="289"/>
      <c r="AP861" s="289"/>
      <c r="AQ861" s="289"/>
      <c r="AR861" s="289"/>
      <c r="AS861" s="289"/>
      <c r="AT861" s="289"/>
    </row>
    <row r="862" spans="1:46" ht="15.75" customHeight="1" x14ac:dyDescent="0.25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  <c r="AC862" s="289"/>
      <c r="AD862" s="289"/>
      <c r="AE862" s="289"/>
      <c r="AF862" s="289"/>
      <c r="AG862" s="289"/>
      <c r="AH862" s="289"/>
      <c r="AI862" s="289"/>
      <c r="AJ862" s="289"/>
      <c r="AK862" s="289"/>
      <c r="AL862" s="289"/>
      <c r="AM862" s="289"/>
      <c r="AN862" s="289"/>
      <c r="AO862" s="289"/>
      <c r="AP862" s="289"/>
      <c r="AQ862" s="289"/>
      <c r="AR862" s="289"/>
      <c r="AS862" s="289"/>
      <c r="AT862" s="289"/>
    </row>
    <row r="863" spans="1:46" ht="15.75" customHeight="1" x14ac:dyDescent="0.25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  <c r="AC863" s="289"/>
      <c r="AD863" s="289"/>
      <c r="AE863" s="289"/>
      <c r="AF863" s="289"/>
      <c r="AG863" s="289"/>
      <c r="AH863" s="289"/>
      <c r="AI863" s="289"/>
      <c r="AJ863" s="289"/>
      <c r="AK863" s="289"/>
      <c r="AL863" s="289"/>
      <c r="AM863" s="289"/>
      <c r="AN863" s="289"/>
      <c r="AO863" s="289"/>
      <c r="AP863" s="289"/>
      <c r="AQ863" s="289"/>
      <c r="AR863" s="289"/>
      <c r="AS863" s="289"/>
      <c r="AT863" s="289"/>
    </row>
    <row r="864" spans="1:46" ht="15.75" customHeight="1" x14ac:dyDescent="0.25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  <c r="AC864" s="289"/>
      <c r="AD864" s="289"/>
      <c r="AE864" s="289"/>
      <c r="AF864" s="289"/>
      <c r="AG864" s="289"/>
      <c r="AH864" s="289"/>
      <c r="AI864" s="289"/>
      <c r="AJ864" s="289"/>
      <c r="AK864" s="289"/>
      <c r="AL864" s="289"/>
      <c r="AM864" s="289"/>
      <c r="AN864" s="289"/>
      <c r="AO864" s="289"/>
      <c r="AP864" s="289"/>
      <c r="AQ864" s="289"/>
      <c r="AR864" s="289"/>
      <c r="AS864" s="289"/>
      <c r="AT864" s="289"/>
    </row>
    <row r="865" spans="1:46" ht="15.75" customHeight="1" x14ac:dyDescent="0.25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  <c r="AC865" s="289"/>
      <c r="AD865" s="289"/>
      <c r="AE865" s="289"/>
      <c r="AF865" s="289"/>
      <c r="AG865" s="289"/>
      <c r="AH865" s="289"/>
      <c r="AI865" s="289"/>
      <c r="AJ865" s="289"/>
      <c r="AK865" s="289"/>
      <c r="AL865" s="289"/>
      <c r="AM865" s="289"/>
      <c r="AN865" s="289"/>
      <c r="AO865" s="289"/>
      <c r="AP865" s="289"/>
      <c r="AQ865" s="289"/>
      <c r="AR865" s="289"/>
      <c r="AS865" s="289"/>
      <c r="AT865" s="289"/>
    </row>
    <row r="866" spans="1:46" ht="15.75" customHeight="1" x14ac:dyDescent="0.25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  <c r="AC866" s="289"/>
      <c r="AD866" s="289"/>
      <c r="AE866" s="289"/>
      <c r="AF866" s="289"/>
      <c r="AG866" s="289"/>
      <c r="AH866" s="289"/>
      <c r="AI866" s="289"/>
      <c r="AJ866" s="289"/>
      <c r="AK866" s="289"/>
      <c r="AL866" s="289"/>
      <c r="AM866" s="289"/>
      <c r="AN866" s="289"/>
      <c r="AO866" s="289"/>
      <c r="AP866" s="289"/>
      <c r="AQ866" s="289"/>
      <c r="AR866" s="289"/>
      <c r="AS866" s="289"/>
      <c r="AT866" s="289"/>
    </row>
    <row r="867" spans="1:46" ht="15.75" customHeight="1" x14ac:dyDescent="0.25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  <c r="AC867" s="289"/>
      <c r="AD867" s="289"/>
      <c r="AE867" s="289"/>
      <c r="AF867" s="289"/>
      <c r="AG867" s="289"/>
      <c r="AH867" s="289"/>
      <c r="AI867" s="289"/>
      <c r="AJ867" s="289"/>
      <c r="AK867" s="289"/>
      <c r="AL867" s="289"/>
      <c r="AM867" s="289"/>
      <c r="AN867" s="289"/>
      <c r="AO867" s="289"/>
      <c r="AP867" s="289"/>
      <c r="AQ867" s="289"/>
      <c r="AR867" s="289"/>
      <c r="AS867" s="289"/>
      <c r="AT867" s="289"/>
    </row>
    <row r="868" spans="1:46" ht="15.75" customHeight="1" x14ac:dyDescent="0.25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  <c r="AC868" s="289"/>
      <c r="AD868" s="289"/>
      <c r="AE868" s="289"/>
      <c r="AF868" s="289"/>
      <c r="AG868" s="289"/>
      <c r="AH868" s="289"/>
      <c r="AI868" s="289"/>
      <c r="AJ868" s="289"/>
      <c r="AK868" s="289"/>
      <c r="AL868" s="289"/>
      <c r="AM868" s="289"/>
      <c r="AN868" s="289"/>
      <c r="AO868" s="289"/>
      <c r="AP868" s="289"/>
      <c r="AQ868" s="289"/>
      <c r="AR868" s="289"/>
      <c r="AS868" s="289"/>
      <c r="AT868" s="289"/>
    </row>
    <row r="869" spans="1:46" ht="15.75" customHeight="1" x14ac:dyDescent="0.25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  <c r="AC869" s="289"/>
      <c r="AD869" s="289"/>
      <c r="AE869" s="289"/>
      <c r="AF869" s="289"/>
      <c r="AG869" s="289"/>
      <c r="AH869" s="289"/>
      <c r="AI869" s="289"/>
      <c r="AJ869" s="289"/>
      <c r="AK869" s="289"/>
      <c r="AL869" s="289"/>
      <c r="AM869" s="289"/>
      <c r="AN869" s="289"/>
      <c r="AO869" s="289"/>
      <c r="AP869" s="289"/>
      <c r="AQ869" s="289"/>
      <c r="AR869" s="289"/>
      <c r="AS869" s="289"/>
      <c r="AT869" s="289"/>
    </row>
    <row r="870" spans="1:46" ht="15.75" customHeight="1" x14ac:dyDescent="0.25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  <c r="AC870" s="289"/>
      <c r="AD870" s="289"/>
      <c r="AE870" s="289"/>
      <c r="AF870" s="289"/>
      <c r="AG870" s="289"/>
      <c r="AH870" s="289"/>
      <c r="AI870" s="289"/>
      <c r="AJ870" s="289"/>
      <c r="AK870" s="289"/>
      <c r="AL870" s="289"/>
      <c r="AM870" s="289"/>
      <c r="AN870" s="289"/>
      <c r="AO870" s="289"/>
      <c r="AP870" s="289"/>
      <c r="AQ870" s="289"/>
      <c r="AR870" s="289"/>
      <c r="AS870" s="289"/>
      <c r="AT870" s="289"/>
    </row>
    <row r="871" spans="1:46" ht="15.75" customHeight="1" x14ac:dyDescent="0.25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  <c r="AC871" s="289"/>
      <c r="AD871" s="289"/>
      <c r="AE871" s="289"/>
      <c r="AF871" s="289"/>
      <c r="AG871" s="289"/>
      <c r="AH871" s="289"/>
      <c r="AI871" s="289"/>
      <c r="AJ871" s="289"/>
      <c r="AK871" s="289"/>
      <c r="AL871" s="289"/>
      <c r="AM871" s="289"/>
      <c r="AN871" s="289"/>
      <c r="AO871" s="289"/>
      <c r="AP871" s="289"/>
      <c r="AQ871" s="289"/>
      <c r="AR871" s="289"/>
      <c r="AS871" s="289"/>
      <c r="AT871" s="289"/>
    </row>
    <row r="872" spans="1:46" ht="15.75" customHeight="1" x14ac:dyDescent="0.25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  <c r="AC872" s="289"/>
      <c r="AD872" s="289"/>
      <c r="AE872" s="289"/>
      <c r="AF872" s="289"/>
      <c r="AG872" s="289"/>
      <c r="AH872" s="289"/>
      <c r="AI872" s="289"/>
      <c r="AJ872" s="289"/>
      <c r="AK872" s="289"/>
      <c r="AL872" s="289"/>
      <c r="AM872" s="289"/>
      <c r="AN872" s="289"/>
      <c r="AO872" s="289"/>
      <c r="AP872" s="289"/>
      <c r="AQ872" s="289"/>
      <c r="AR872" s="289"/>
      <c r="AS872" s="289"/>
      <c r="AT872" s="289"/>
    </row>
    <row r="873" spans="1:46" ht="15.75" customHeight="1" x14ac:dyDescent="0.25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  <c r="AC873" s="289"/>
      <c r="AD873" s="289"/>
      <c r="AE873" s="289"/>
      <c r="AF873" s="289"/>
      <c r="AG873" s="289"/>
      <c r="AH873" s="289"/>
      <c r="AI873" s="289"/>
      <c r="AJ873" s="289"/>
      <c r="AK873" s="289"/>
      <c r="AL873" s="289"/>
      <c r="AM873" s="289"/>
      <c r="AN873" s="289"/>
      <c r="AO873" s="289"/>
      <c r="AP873" s="289"/>
      <c r="AQ873" s="289"/>
      <c r="AR873" s="289"/>
      <c r="AS873" s="289"/>
      <c r="AT873" s="289"/>
    </row>
    <row r="874" spans="1:46" ht="15.75" customHeight="1" x14ac:dyDescent="0.25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  <c r="AC874" s="289"/>
      <c r="AD874" s="289"/>
      <c r="AE874" s="289"/>
      <c r="AF874" s="289"/>
      <c r="AG874" s="289"/>
      <c r="AH874" s="289"/>
      <c r="AI874" s="289"/>
      <c r="AJ874" s="289"/>
      <c r="AK874" s="289"/>
      <c r="AL874" s="289"/>
      <c r="AM874" s="289"/>
      <c r="AN874" s="289"/>
      <c r="AO874" s="289"/>
      <c r="AP874" s="289"/>
      <c r="AQ874" s="289"/>
      <c r="AR874" s="289"/>
      <c r="AS874" s="289"/>
      <c r="AT874" s="289"/>
    </row>
    <row r="875" spans="1:46" ht="15.75" customHeight="1" x14ac:dyDescent="0.25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  <c r="AC875" s="289"/>
      <c r="AD875" s="289"/>
      <c r="AE875" s="289"/>
      <c r="AF875" s="289"/>
      <c r="AG875" s="289"/>
      <c r="AH875" s="289"/>
      <c r="AI875" s="289"/>
      <c r="AJ875" s="289"/>
      <c r="AK875" s="289"/>
      <c r="AL875" s="289"/>
      <c r="AM875" s="289"/>
      <c r="AN875" s="289"/>
      <c r="AO875" s="289"/>
      <c r="AP875" s="289"/>
      <c r="AQ875" s="289"/>
      <c r="AR875" s="289"/>
      <c r="AS875" s="289"/>
      <c r="AT875" s="289"/>
    </row>
    <row r="876" spans="1:46" ht="15.75" customHeight="1" x14ac:dyDescent="0.25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  <c r="AC876" s="289"/>
      <c r="AD876" s="289"/>
      <c r="AE876" s="289"/>
      <c r="AF876" s="289"/>
      <c r="AG876" s="289"/>
      <c r="AH876" s="289"/>
      <c r="AI876" s="289"/>
      <c r="AJ876" s="289"/>
      <c r="AK876" s="289"/>
      <c r="AL876" s="289"/>
      <c r="AM876" s="289"/>
      <c r="AN876" s="289"/>
      <c r="AO876" s="289"/>
      <c r="AP876" s="289"/>
      <c r="AQ876" s="289"/>
      <c r="AR876" s="289"/>
      <c r="AS876" s="289"/>
      <c r="AT876" s="289"/>
    </row>
    <row r="877" spans="1:46" ht="15.75" customHeight="1" x14ac:dyDescent="0.25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  <c r="AC877" s="289"/>
      <c r="AD877" s="289"/>
      <c r="AE877" s="289"/>
      <c r="AF877" s="289"/>
      <c r="AG877" s="289"/>
      <c r="AH877" s="289"/>
      <c r="AI877" s="289"/>
      <c r="AJ877" s="289"/>
      <c r="AK877" s="289"/>
      <c r="AL877" s="289"/>
      <c r="AM877" s="289"/>
      <c r="AN877" s="289"/>
      <c r="AO877" s="289"/>
      <c r="AP877" s="289"/>
      <c r="AQ877" s="289"/>
      <c r="AR877" s="289"/>
      <c r="AS877" s="289"/>
      <c r="AT877" s="289"/>
    </row>
    <row r="878" spans="1:46" ht="15.75" customHeight="1" x14ac:dyDescent="0.25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  <c r="AC878" s="289"/>
      <c r="AD878" s="289"/>
      <c r="AE878" s="289"/>
      <c r="AF878" s="289"/>
      <c r="AG878" s="289"/>
      <c r="AH878" s="289"/>
      <c r="AI878" s="289"/>
      <c r="AJ878" s="289"/>
      <c r="AK878" s="289"/>
      <c r="AL878" s="289"/>
      <c r="AM878" s="289"/>
      <c r="AN878" s="289"/>
      <c r="AO878" s="289"/>
      <c r="AP878" s="289"/>
      <c r="AQ878" s="289"/>
      <c r="AR878" s="289"/>
      <c r="AS878" s="289"/>
      <c r="AT878" s="289"/>
    </row>
    <row r="879" spans="1:46" ht="15.75" customHeight="1" x14ac:dyDescent="0.25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  <c r="AC879" s="289"/>
      <c r="AD879" s="289"/>
      <c r="AE879" s="289"/>
      <c r="AF879" s="289"/>
      <c r="AG879" s="289"/>
      <c r="AH879" s="289"/>
      <c r="AI879" s="289"/>
      <c r="AJ879" s="289"/>
      <c r="AK879" s="289"/>
      <c r="AL879" s="289"/>
      <c r="AM879" s="289"/>
      <c r="AN879" s="289"/>
      <c r="AO879" s="289"/>
      <c r="AP879" s="289"/>
      <c r="AQ879" s="289"/>
      <c r="AR879" s="289"/>
      <c r="AS879" s="289"/>
      <c r="AT879" s="289"/>
    </row>
    <row r="880" spans="1:46" ht="15.75" customHeight="1" x14ac:dyDescent="0.25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  <c r="AC880" s="289"/>
      <c r="AD880" s="289"/>
      <c r="AE880" s="289"/>
      <c r="AF880" s="289"/>
      <c r="AG880" s="289"/>
      <c r="AH880" s="289"/>
      <c r="AI880" s="289"/>
      <c r="AJ880" s="289"/>
      <c r="AK880" s="289"/>
      <c r="AL880" s="289"/>
      <c r="AM880" s="289"/>
      <c r="AN880" s="289"/>
      <c r="AO880" s="289"/>
      <c r="AP880" s="289"/>
      <c r="AQ880" s="289"/>
      <c r="AR880" s="289"/>
      <c r="AS880" s="289"/>
      <c r="AT880" s="289"/>
    </row>
    <row r="881" spans="1:46" ht="15.75" customHeight="1" x14ac:dyDescent="0.25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  <c r="AC881" s="289"/>
      <c r="AD881" s="289"/>
      <c r="AE881" s="289"/>
      <c r="AF881" s="289"/>
      <c r="AG881" s="289"/>
      <c r="AH881" s="289"/>
      <c r="AI881" s="289"/>
      <c r="AJ881" s="289"/>
      <c r="AK881" s="289"/>
      <c r="AL881" s="289"/>
      <c r="AM881" s="289"/>
      <c r="AN881" s="289"/>
      <c r="AO881" s="289"/>
      <c r="AP881" s="289"/>
      <c r="AQ881" s="289"/>
      <c r="AR881" s="289"/>
      <c r="AS881" s="289"/>
      <c r="AT881" s="289"/>
    </row>
    <row r="882" spans="1:46" ht="15.75" customHeight="1" x14ac:dyDescent="0.25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  <c r="AC882" s="289"/>
      <c r="AD882" s="289"/>
      <c r="AE882" s="289"/>
      <c r="AF882" s="289"/>
      <c r="AG882" s="289"/>
      <c r="AH882" s="289"/>
      <c r="AI882" s="289"/>
      <c r="AJ882" s="289"/>
      <c r="AK882" s="289"/>
      <c r="AL882" s="289"/>
      <c r="AM882" s="289"/>
      <c r="AN882" s="289"/>
      <c r="AO882" s="289"/>
      <c r="AP882" s="289"/>
      <c r="AQ882" s="289"/>
      <c r="AR882" s="289"/>
      <c r="AS882" s="289"/>
      <c r="AT882" s="289"/>
    </row>
    <row r="883" spans="1:46" ht="15.75" customHeight="1" x14ac:dyDescent="0.25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  <c r="AC883" s="289"/>
      <c r="AD883" s="289"/>
      <c r="AE883" s="289"/>
      <c r="AF883" s="289"/>
      <c r="AG883" s="289"/>
      <c r="AH883" s="289"/>
      <c r="AI883" s="289"/>
      <c r="AJ883" s="289"/>
      <c r="AK883" s="289"/>
      <c r="AL883" s="289"/>
      <c r="AM883" s="289"/>
      <c r="AN883" s="289"/>
      <c r="AO883" s="289"/>
      <c r="AP883" s="289"/>
      <c r="AQ883" s="289"/>
      <c r="AR883" s="289"/>
      <c r="AS883" s="289"/>
      <c r="AT883" s="289"/>
    </row>
    <row r="884" spans="1:46" ht="15.75" customHeight="1" x14ac:dyDescent="0.25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  <c r="AC884" s="289"/>
      <c r="AD884" s="289"/>
      <c r="AE884" s="289"/>
      <c r="AF884" s="289"/>
      <c r="AG884" s="289"/>
      <c r="AH884" s="289"/>
      <c r="AI884" s="289"/>
      <c r="AJ884" s="289"/>
      <c r="AK884" s="289"/>
      <c r="AL884" s="289"/>
      <c r="AM884" s="289"/>
      <c r="AN884" s="289"/>
      <c r="AO884" s="289"/>
      <c r="AP884" s="289"/>
      <c r="AQ884" s="289"/>
      <c r="AR884" s="289"/>
      <c r="AS884" s="289"/>
      <c r="AT884" s="289"/>
    </row>
    <row r="885" spans="1:46" ht="15.75" customHeight="1" x14ac:dyDescent="0.25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  <c r="AC885" s="289"/>
      <c r="AD885" s="289"/>
      <c r="AE885" s="289"/>
      <c r="AF885" s="289"/>
      <c r="AG885" s="289"/>
      <c r="AH885" s="289"/>
      <c r="AI885" s="289"/>
      <c r="AJ885" s="289"/>
      <c r="AK885" s="289"/>
      <c r="AL885" s="289"/>
      <c r="AM885" s="289"/>
      <c r="AN885" s="289"/>
      <c r="AO885" s="289"/>
      <c r="AP885" s="289"/>
      <c r="AQ885" s="289"/>
      <c r="AR885" s="289"/>
      <c r="AS885" s="289"/>
      <c r="AT885" s="289"/>
    </row>
    <row r="886" spans="1:46" ht="15.75" customHeight="1" x14ac:dyDescent="0.25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  <c r="AC886" s="289"/>
      <c r="AD886" s="289"/>
      <c r="AE886" s="289"/>
      <c r="AF886" s="289"/>
      <c r="AG886" s="289"/>
      <c r="AH886" s="289"/>
      <c r="AI886" s="289"/>
      <c r="AJ886" s="289"/>
      <c r="AK886" s="289"/>
      <c r="AL886" s="289"/>
      <c r="AM886" s="289"/>
      <c r="AN886" s="289"/>
      <c r="AO886" s="289"/>
      <c r="AP886" s="289"/>
      <c r="AQ886" s="289"/>
      <c r="AR886" s="289"/>
      <c r="AS886" s="289"/>
      <c r="AT886" s="289"/>
    </row>
    <row r="887" spans="1:46" ht="15.75" customHeight="1" x14ac:dyDescent="0.25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  <c r="AC887" s="289"/>
      <c r="AD887" s="289"/>
      <c r="AE887" s="289"/>
      <c r="AF887" s="289"/>
      <c r="AG887" s="289"/>
      <c r="AH887" s="289"/>
      <c r="AI887" s="289"/>
      <c r="AJ887" s="289"/>
      <c r="AK887" s="289"/>
      <c r="AL887" s="289"/>
      <c r="AM887" s="289"/>
      <c r="AN887" s="289"/>
      <c r="AO887" s="289"/>
      <c r="AP887" s="289"/>
      <c r="AQ887" s="289"/>
      <c r="AR887" s="289"/>
      <c r="AS887" s="289"/>
      <c r="AT887" s="289"/>
    </row>
    <row r="888" spans="1:46" ht="15.75" customHeight="1" x14ac:dyDescent="0.25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  <c r="AC888" s="289"/>
      <c r="AD888" s="289"/>
      <c r="AE888" s="289"/>
      <c r="AF888" s="289"/>
      <c r="AG888" s="289"/>
      <c r="AH888" s="289"/>
      <c r="AI888" s="289"/>
      <c r="AJ888" s="289"/>
      <c r="AK888" s="289"/>
      <c r="AL888" s="289"/>
      <c r="AM888" s="289"/>
      <c r="AN888" s="289"/>
      <c r="AO888" s="289"/>
      <c r="AP888" s="289"/>
      <c r="AQ888" s="289"/>
      <c r="AR888" s="289"/>
      <c r="AS888" s="289"/>
      <c r="AT888" s="289"/>
    </row>
    <row r="889" spans="1:46" ht="15.75" customHeight="1" x14ac:dyDescent="0.25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  <c r="AC889" s="289"/>
      <c r="AD889" s="289"/>
      <c r="AE889" s="289"/>
      <c r="AF889" s="289"/>
      <c r="AG889" s="289"/>
      <c r="AH889" s="289"/>
      <c r="AI889" s="289"/>
      <c r="AJ889" s="289"/>
      <c r="AK889" s="289"/>
      <c r="AL889" s="289"/>
      <c r="AM889" s="289"/>
      <c r="AN889" s="289"/>
      <c r="AO889" s="289"/>
      <c r="AP889" s="289"/>
      <c r="AQ889" s="289"/>
      <c r="AR889" s="289"/>
      <c r="AS889" s="289"/>
      <c r="AT889" s="289"/>
    </row>
    <row r="890" spans="1:46" ht="15.75" customHeight="1" x14ac:dyDescent="0.25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  <c r="AC890" s="289"/>
      <c r="AD890" s="289"/>
      <c r="AE890" s="289"/>
      <c r="AF890" s="289"/>
      <c r="AG890" s="289"/>
      <c r="AH890" s="289"/>
      <c r="AI890" s="289"/>
      <c r="AJ890" s="289"/>
      <c r="AK890" s="289"/>
      <c r="AL890" s="289"/>
      <c r="AM890" s="289"/>
      <c r="AN890" s="289"/>
      <c r="AO890" s="289"/>
      <c r="AP890" s="289"/>
      <c r="AQ890" s="289"/>
      <c r="AR890" s="289"/>
      <c r="AS890" s="289"/>
      <c r="AT890" s="289"/>
    </row>
    <row r="891" spans="1:46" ht="15.75" customHeight="1" x14ac:dyDescent="0.25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  <c r="AC891" s="289"/>
      <c r="AD891" s="289"/>
      <c r="AE891" s="289"/>
      <c r="AF891" s="289"/>
      <c r="AG891" s="289"/>
      <c r="AH891" s="289"/>
      <c r="AI891" s="289"/>
      <c r="AJ891" s="289"/>
      <c r="AK891" s="289"/>
      <c r="AL891" s="289"/>
      <c r="AM891" s="289"/>
      <c r="AN891" s="289"/>
      <c r="AO891" s="289"/>
      <c r="AP891" s="289"/>
      <c r="AQ891" s="289"/>
      <c r="AR891" s="289"/>
      <c r="AS891" s="289"/>
      <c r="AT891" s="289"/>
    </row>
    <row r="892" spans="1:46" ht="15.75" customHeight="1" x14ac:dyDescent="0.25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  <c r="AC892" s="289"/>
      <c r="AD892" s="289"/>
      <c r="AE892" s="289"/>
      <c r="AF892" s="289"/>
      <c r="AG892" s="289"/>
      <c r="AH892" s="289"/>
      <c r="AI892" s="289"/>
      <c r="AJ892" s="289"/>
      <c r="AK892" s="289"/>
      <c r="AL892" s="289"/>
      <c r="AM892" s="289"/>
      <c r="AN892" s="289"/>
      <c r="AO892" s="289"/>
      <c r="AP892" s="289"/>
      <c r="AQ892" s="289"/>
      <c r="AR892" s="289"/>
      <c r="AS892" s="289"/>
      <c r="AT892" s="289"/>
    </row>
    <row r="893" spans="1:46" ht="15.75" customHeight="1" x14ac:dyDescent="0.25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  <c r="AC893" s="289"/>
      <c r="AD893" s="289"/>
      <c r="AE893" s="289"/>
      <c r="AF893" s="289"/>
      <c r="AG893" s="289"/>
      <c r="AH893" s="289"/>
      <c r="AI893" s="289"/>
      <c r="AJ893" s="289"/>
      <c r="AK893" s="289"/>
      <c r="AL893" s="289"/>
      <c r="AM893" s="289"/>
      <c r="AN893" s="289"/>
      <c r="AO893" s="289"/>
      <c r="AP893" s="289"/>
      <c r="AQ893" s="289"/>
      <c r="AR893" s="289"/>
      <c r="AS893" s="289"/>
      <c r="AT893" s="289"/>
    </row>
    <row r="894" spans="1:46" ht="15.75" customHeight="1" x14ac:dyDescent="0.25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  <c r="AC894" s="289"/>
      <c r="AD894" s="289"/>
      <c r="AE894" s="289"/>
      <c r="AF894" s="289"/>
      <c r="AG894" s="289"/>
      <c r="AH894" s="289"/>
      <c r="AI894" s="289"/>
      <c r="AJ894" s="289"/>
      <c r="AK894" s="289"/>
      <c r="AL894" s="289"/>
      <c r="AM894" s="289"/>
      <c r="AN894" s="289"/>
      <c r="AO894" s="289"/>
      <c r="AP894" s="289"/>
      <c r="AQ894" s="289"/>
      <c r="AR894" s="289"/>
      <c r="AS894" s="289"/>
      <c r="AT894" s="289"/>
    </row>
    <row r="895" spans="1:46" ht="15.75" customHeight="1" x14ac:dyDescent="0.25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  <c r="AC895" s="289"/>
      <c r="AD895" s="289"/>
      <c r="AE895" s="289"/>
      <c r="AF895" s="289"/>
      <c r="AG895" s="289"/>
      <c r="AH895" s="289"/>
      <c r="AI895" s="289"/>
      <c r="AJ895" s="289"/>
      <c r="AK895" s="289"/>
      <c r="AL895" s="289"/>
      <c r="AM895" s="289"/>
      <c r="AN895" s="289"/>
      <c r="AO895" s="289"/>
      <c r="AP895" s="289"/>
      <c r="AQ895" s="289"/>
      <c r="AR895" s="289"/>
      <c r="AS895" s="289"/>
      <c r="AT895" s="289"/>
    </row>
    <row r="896" spans="1:46" ht="15.75" customHeight="1" x14ac:dyDescent="0.25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  <c r="AC896" s="289"/>
      <c r="AD896" s="289"/>
      <c r="AE896" s="289"/>
      <c r="AF896" s="289"/>
      <c r="AG896" s="289"/>
      <c r="AH896" s="289"/>
      <c r="AI896" s="289"/>
      <c r="AJ896" s="289"/>
      <c r="AK896" s="289"/>
      <c r="AL896" s="289"/>
      <c r="AM896" s="289"/>
      <c r="AN896" s="289"/>
      <c r="AO896" s="289"/>
      <c r="AP896" s="289"/>
      <c r="AQ896" s="289"/>
      <c r="AR896" s="289"/>
      <c r="AS896" s="289"/>
      <c r="AT896" s="289"/>
    </row>
    <row r="897" spans="1:46" ht="15.75" customHeight="1" x14ac:dyDescent="0.25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  <c r="AC897" s="289"/>
      <c r="AD897" s="289"/>
      <c r="AE897" s="289"/>
      <c r="AF897" s="289"/>
      <c r="AG897" s="289"/>
      <c r="AH897" s="289"/>
      <c r="AI897" s="289"/>
      <c r="AJ897" s="289"/>
      <c r="AK897" s="289"/>
      <c r="AL897" s="289"/>
      <c r="AM897" s="289"/>
      <c r="AN897" s="289"/>
      <c r="AO897" s="289"/>
      <c r="AP897" s="289"/>
      <c r="AQ897" s="289"/>
      <c r="AR897" s="289"/>
      <c r="AS897" s="289"/>
      <c r="AT897" s="289"/>
    </row>
    <row r="898" spans="1:46" ht="15.75" customHeight="1" x14ac:dyDescent="0.25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  <c r="AC898" s="289"/>
      <c r="AD898" s="289"/>
      <c r="AE898" s="289"/>
      <c r="AF898" s="289"/>
      <c r="AG898" s="289"/>
      <c r="AH898" s="289"/>
      <c r="AI898" s="289"/>
      <c r="AJ898" s="289"/>
      <c r="AK898" s="289"/>
      <c r="AL898" s="289"/>
      <c r="AM898" s="289"/>
      <c r="AN898" s="289"/>
      <c r="AO898" s="289"/>
      <c r="AP898" s="289"/>
      <c r="AQ898" s="289"/>
      <c r="AR898" s="289"/>
      <c r="AS898" s="289"/>
      <c r="AT898" s="289"/>
    </row>
    <row r="899" spans="1:46" ht="15.75" customHeight="1" x14ac:dyDescent="0.25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  <c r="AC899" s="289"/>
      <c r="AD899" s="289"/>
      <c r="AE899" s="289"/>
      <c r="AF899" s="289"/>
      <c r="AG899" s="289"/>
      <c r="AH899" s="289"/>
      <c r="AI899" s="289"/>
      <c r="AJ899" s="289"/>
      <c r="AK899" s="289"/>
      <c r="AL899" s="289"/>
      <c r="AM899" s="289"/>
      <c r="AN899" s="289"/>
      <c r="AO899" s="289"/>
      <c r="AP899" s="289"/>
      <c r="AQ899" s="289"/>
      <c r="AR899" s="289"/>
      <c r="AS899" s="289"/>
      <c r="AT899" s="289"/>
    </row>
    <row r="900" spans="1:46" ht="15.75" customHeight="1" x14ac:dyDescent="0.25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  <c r="AC900" s="289"/>
      <c r="AD900" s="289"/>
      <c r="AE900" s="289"/>
      <c r="AF900" s="289"/>
      <c r="AG900" s="289"/>
      <c r="AH900" s="289"/>
      <c r="AI900" s="289"/>
      <c r="AJ900" s="289"/>
      <c r="AK900" s="289"/>
      <c r="AL900" s="289"/>
      <c r="AM900" s="289"/>
      <c r="AN900" s="289"/>
      <c r="AO900" s="289"/>
      <c r="AP900" s="289"/>
      <c r="AQ900" s="289"/>
      <c r="AR900" s="289"/>
      <c r="AS900" s="289"/>
      <c r="AT900" s="289"/>
    </row>
    <row r="901" spans="1:46" ht="15.75" customHeight="1" x14ac:dyDescent="0.25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  <c r="AC901" s="289"/>
      <c r="AD901" s="289"/>
      <c r="AE901" s="289"/>
      <c r="AF901" s="289"/>
      <c r="AG901" s="289"/>
      <c r="AH901" s="289"/>
      <c r="AI901" s="289"/>
      <c r="AJ901" s="289"/>
      <c r="AK901" s="289"/>
      <c r="AL901" s="289"/>
      <c r="AM901" s="289"/>
      <c r="AN901" s="289"/>
      <c r="AO901" s="289"/>
      <c r="AP901" s="289"/>
      <c r="AQ901" s="289"/>
      <c r="AR901" s="289"/>
      <c r="AS901" s="289"/>
      <c r="AT901" s="289"/>
    </row>
    <row r="902" spans="1:46" ht="15.75" customHeight="1" x14ac:dyDescent="0.25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  <c r="AC902" s="289"/>
      <c r="AD902" s="289"/>
      <c r="AE902" s="289"/>
      <c r="AF902" s="289"/>
      <c r="AG902" s="289"/>
      <c r="AH902" s="289"/>
      <c r="AI902" s="289"/>
      <c r="AJ902" s="289"/>
      <c r="AK902" s="289"/>
      <c r="AL902" s="289"/>
      <c r="AM902" s="289"/>
      <c r="AN902" s="289"/>
      <c r="AO902" s="289"/>
      <c r="AP902" s="289"/>
      <c r="AQ902" s="289"/>
      <c r="AR902" s="289"/>
      <c r="AS902" s="289"/>
      <c r="AT902" s="289"/>
    </row>
    <row r="903" spans="1:46" ht="15.75" customHeight="1" x14ac:dyDescent="0.25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  <c r="AC903" s="289"/>
      <c r="AD903" s="289"/>
      <c r="AE903" s="289"/>
      <c r="AF903" s="289"/>
      <c r="AG903" s="289"/>
      <c r="AH903" s="289"/>
      <c r="AI903" s="289"/>
      <c r="AJ903" s="289"/>
      <c r="AK903" s="289"/>
      <c r="AL903" s="289"/>
      <c r="AM903" s="289"/>
      <c r="AN903" s="289"/>
      <c r="AO903" s="289"/>
      <c r="AP903" s="289"/>
      <c r="AQ903" s="289"/>
      <c r="AR903" s="289"/>
      <c r="AS903" s="289"/>
      <c r="AT903" s="289"/>
    </row>
    <row r="904" spans="1:46" ht="15.75" customHeight="1" x14ac:dyDescent="0.25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  <c r="AC904" s="289"/>
      <c r="AD904" s="289"/>
      <c r="AE904" s="289"/>
      <c r="AF904" s="289"/>
      <c r="AG904" s="289"/>
      <c r="AH904" s="289"/>
      <c r="AI904" s="289"/>
      <c r="AJ904" s="289"/>
      <c r="AK904" s="289"/>
      <c r="AL904" s="289"/>
      <c r="AM904" s="289"/>
      <c r="AN904" s="289"/>
      <c r="AO904" s="289"/>
      <c r="AP904" s="289"/>
      <c r="AQ904" s="289"/>
      <c r="AR904" s="289"/>
      <c r="AS904" s="289"/>
      <c r="AT904" s="289"/>
    </row>
    <row r="905" spans="1:46" ht="15.75" customHeight="1" x14ac:dyDescent="0.25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  <c r="AC905" s="289"/>
      <c r="AD905" s="289"/>
      <c r="AE905" s="289"/>
      <c r="AF905" s="289"/>
      <c r="AG905" s="289"/>
      <c r="AH905" s="289"/>
      <c r="AI905" s="289"/>
      <c r="AJ905" s="289"/>
      <c r="AK905" s="289"/>
      <c r="AL905" s="289"/>
      <c r="AM905" s="289"/>
      <c r="AN905" s="289"/>
      <c r="AO905" s="289"/>
      <c r="AP905" s="289"/>
      <c r="AQ905" s="289"/>
      <c r="AR905" s="289"/>
      <c r="AS905" s="289"/>
      <c r="AT905" s="289"/>
    </row>
    <row r="906" spans="1:46" ht="15.75" customHeight="1" x14ac:dyDescent="0.25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  <c r="AC906" s="289"/>
      <c r="AD906" s="289"/>
      <c r="AE906" s="289"/>
      <c r="AF906" s="289"/>
      <c r="AG906" s="289"/>
      <c r="AH906" s="289"/>
      <c r="AI906" s="289"/>
      <c r="AJ906" s="289"/>
      <c r="AK906" s="289"/>
      <c r="AL906" s="289"/>
      <c r="AM906" s="289"/>
      <c r="AN906" s="289"/>
      <c r="AO906" s="289"/>
      <c r="AP906" s="289"/>
      <c r="AQ906" s="289"/>
      <c r="AR906" s="289"/>
      <c r="AS906" s="289"/>
      <c r="AT906" s="289"/>
    </row>
    <row r="907" spans="1:46" ht="15.75" customHeight="1" x14ac:dyDescent="0.25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  <c r="AC907" s="289"/>
      <c r="AD907" s="289"/>
      <c r="AE907" s="289"/>
      <c r="AF907" s="289"/>
      <c r="AG907" s="289"/>
      <c r="AH907" s="289"/>
      <c r="AI907" s="289"/>
      <c r="AJ907" s="289"/>
      <c r="AK907" s="289"/>
      <c r="AL907" s="289"/>
      <c r="AM907" s="289"/>
      <c r="AN907" s="289"/>
      <c r="AO907" s="289"/>
      <c r="AP907" s="289"/>
      <c r="AQ907" s="289"/>
      <c r="AR907" s="289"/>
      <c r="AS907" s="289"/>
      <c r="AT907" s="289"/>
    </row>
    <row r="908" spans="1:46" ht="15.75" customHeight="1" x14ac:dyDescent="0.25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  <c r="AC908" s="289"/>
      <c r="AD908" s="289"/>
      <c r="AE908" s="289"/>
      <c r="AF908" s="289"/>
      <c r="AG908" s="289"/>
      <c r="AH908" s="289"/>
      <c r="AI908" s="289"/>
      <c r="AJ908" s="289"/>
      <c r="AK908" s="289"/>
      <c r="AL908" s="289"/>
      <c r="AM908" s="289"/>
      <c r="AN908" s="289"/>
      <c r="AO908" s="289"/>
      <c r="AP908" s="289"/>
      <c r="AQ908" s="289"/>
      <c r="AR908" s="289"/>
      <c r="AS908" s="289"/>
      <c r="AT908" s="289"/>
    </row>
    <row r="909" spans="1:46" ht="15.75" customHeight="1" x14ac:dyDescent="0.25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  <c r="AC909" s="289"/>
      <c r="AD909" s="289"/>
      <c r="AE909" s="289"/>
      <c r="AF909" s="289"/>
      <c r="AG909" s="289"/>
      <c r="AH909" s="289"/>
      <c r="AI909" s="289"/>
      <c r="AJ909" s="289"/>
      <c r="AK909" s="289"/>
      <c r="AL909" s="289"/>
      <c r="AM909" s="289"/>
      <c r="AN909" s="289"/>
      <c r="AO909" s="289"/>
      <c r="AP909" s="289"/>
      <c r="AQ909" s="289"/>
      <c r="AR909" s="289"/>
      <c r="AS909" s="289"/>
      <c r="AT909" s="289"/>
    </row>
    <row r="910" spans="1:46" ht="15.75" customHeight="1" x14ac:dyDescent="0.25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  <c r="AC910" s="289"/>
      <c r="AD910" s="289"/>
      <c r="AE910" s="289"/>
      <c r="AF910" s="289"/>
      <c r="AG910" s="289"/>
      <c r="AH910" s="289"/>
      <c r="AI910" s="289"/>
      <c r="AJ910" s="289"/>
      <c r="AK910" s="289"/>
      <c r="AL910" s="289"/>
      <c r="AM910" s="289"/>
      <c r="AN910" s="289"/>
      <c r="AO910" s="289"/>
      <c r="AP910" s="289"/>
      <c r="AQ910" s="289"/>
      <c r="AR910" s="289"/>
      <c r="AS910" s="289"/>
      <c r="AT910" s="289"/>
    </row>
    <row r="911" spans="1:46" ht="15.75" customHeight="1" x14ac:dyDescent="0.25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  <c r="AC911" s="289"/>
      <c r="AD911" s="289"/>
      <c r="AE911" s="289"/>
      <c r="AF911" s="289"/>
      <c r="AG911" s="289"/>
      <c r="AH911" s="289"/>
      <c r="AI911" s="289"/>
      <c r="AJ911" s="289"/>
      <c r="AK911" s="289"/>
      <c r="AL911" s="289"/>
      <c r="AM911" s="289"/>
      <c r="AN911" s="289"/>
      <c r="AO911" s="289"/>
      <c r="AP911" s="289"/>
      <c r="AQ911" s="289"/>
      <c r="AR911" s="289"/>
      <c r="AS911" s="289"/>
      <c r="AT911" s="289"/>
    </row>
    <row r="912" spans="1:46" ht="15.75" customHeight="1" x14ac:dyDescent="0.25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  <c r="AC912" s="289"/>
      <c r="AD912" s="289"/>
      <c r="AE912" s="289"/>
      <c r="AF912" s="289"/>
      <c r="AG912" s="289"/>
      <c r="AH912" s="289"/>
      <c r="AI912" s="289"/>
      <c r="AJ912" s="289"/>
      <c r="AK912" s="289"/>
      <c r="AL912" s="289"/>
      <c r="AM912" s="289"/>
      <c r="AN912" s="289"/>
      <c r="AO912" s="289"/>
      <c r="AP912" s="289"/>
      <c r="AQ912" s="289"/>
      <c r="AR912" s="289"/>
      <c r="AS912" s="289"/>
      <c r="AT912" s="289"/>
    </row>
    <row r="913" spans="1:46" ht="15.75" customHeight="1" x14ac:dyDescent="0.25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  <c r="AC913" s="289"/>
      <c r="AD913" s="289"/>
      <c r="AE913" s="289"/>
      <c r="AF913" s="289"/>
      <c r="AG913" s="289"/>
      <c r="AH913" s="289"/>
      <c r="AI913" s="289"/>
      <c r="AJ913" s="289"/>
      <c r="AK913" s="289"/>
      <c r="AL913" s="289"/>
      <c r="AM913" s="289"/>
      <c r="AN913" s="289"/>
      <c r="AO913" s="289"/>
      <c r="AP913" s="289"/>
      <c r="AQ913" s="289"/>
      <c r="AR913" s="289"/>
      <c r="AS913" s="289"/>
      <c r="AT913" s="289"/>
    </row>
    <row r="914" spans="1:46" ht="15.75" customHeight="1" x14ac:dyDescent="0.25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  <c r="AC914" s="289"/>
      <c r="AD914" s="289"/>
      <c r="AE914" s="289"/>
      <c r="AF914" s="289"/>
      <c r="AG914" s="289"/>
      <c r="AH914" s="289"/>
      <c r="AI914" s="289"/>
      <c r="AJ914" s="289"/>
      <c r="AK914" s="289"/>
      <c r="AL914" s="289"/>
      <c r="AM914" s="289"/>
      <c r="AN914" s="289"/>
      <c r="AO914" s="289"/>
      <c r="AP914" s="289"/>
      <c r="AQ914" s="289"/>
      <c r="AR914" s="289"/>
      <c r="AS914" s="289"/>
      <c r="AT914" s="289"/>
    </row>
    <row r="915" spans="1:46" ht="15.75" customHeight="1" x14ac:dyDescent="0.25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  <c r="AC915" s="289"/>
      <c r="AD915" s="289"/>
      <c r="AE915" s="289"/>
      <c r="AF915" s="289"/>
      <c r="AG915" s="289"/>
      <c r="AH915" s="289"/>
      <c r="AI915" s="289"/>
      <c r="AJ915" s="289"/>
      <c r="AK915" s="289"/>
      <c r="AL915" s="289"/>
      <c r="AM915" s="289"/>
      <c r="AN915" s="289"/>
      <c r="AO915" s="289"/>
      <c r="AP915" s="289"/>
      <c r="AQ915" s="289"/>
      <c r="AR915" s="289"/>
      <c r="AS915" s="289"/>
      <c r="AT915" s="289"/>
    </row>
    <row r="916" spans="1:46" ht="15.75" customHeight="1" x14ac:dyDescent="0.25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  <c r="AC916" s="289"/>
      <c r="AD916" s="289"/>
      <c r="AE916" s="289"/>
      <c r="AF916" s="289"/>
      <c r="AG916" s="289"/>
      <c r="AH916" s="289"/>
      <c r="AI916" s="289"/>
      <c r="AJ916" s="289"/>
      <c r="AK916" s="289"/>
      <c r="AL916" s="289"/>
      <c r="AM916" s="289"/>
      <c r="AN916" s="289"/>
      <c r="AO916" s="289"/>
      <c r="AP916" s="289"/>
      <c r="AQ916" s="289"/>
      <c r="AR916" s="289"/>
      <c r="AS916" s="289"/>
      <c r="AT916" s="289"/>
    </row>
    <row r="917" spans="1:46" ht="15.75" customHeight="1" x14ac:dyDescent="0.25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  <c r="AC917" s="289"/>
      <c r="AD917" s="289"/>
      <c r="AE917" s="289"/>
      <c r="AF917" s="289"/>
      <c r="AG917" s="289"/>
      <c r="AH917" s="289"/>
      <c r="AI917" s="289"/>
      <c r="AJ917" s="289"/>
      <c r="AK917" s="289"/>
      <c r="AL917" s="289"/>
      <c r="AM917" s="289"/>
      <c r="AN917" s="289"/>
      <c r="AO917" s="289"/>
      <c r="AP917" s="289"/>
      <c r="AQ917" s="289"/>
      <c r="AR917" s="289"/>
      <c r="AS917" s="289"/>
      <c r="AT917" s="289"/>
    </row>
    <row r="918" spans="1:46" ht="15.75" customHeight="1" x14ac:dyDescent="0.25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  <c r="AC918" s="289"/>
      <c r="AD918" s="289"/>
      <c r="AE918" s="289"/>
      <c r="AF918" s="289"/>
      <c r="AG918" s="289"/>
      <c r="AH918" s="289"/>
      <c r="AI918" s="289"/>
      <c r="AJ918" s="289"/>
      <c r="AK918" s="289"/>
      <c r="AL918" s="289"/>
      <c r="AM918" s="289"/>
      <c r="AN918" s="289"/>
      <c r="AO918" s="289"/>
      <c r="AP918" s="289"/>
      <c r="AQ918" s="289"/>
      <c r="AR918" s="289"/>
      <c r="AS918" s="289"/>
      <c r="AT918" s="289"/>
    </row>
    <row r="919" spans="1:46" ht="15.75" customHeight="1" x14ac:dyDescent="0.25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  <c r="AC919" s="289"/>
      <c r="AD919" s="289"/>
      <c r="AE919" s="289"/>
      <c r="AF919" s="289"/>
      <c r="AG919" s="289"/>
      <c r="AH919" s="289"/>
      <c r="AI919" s="289"/>
      <c r="AJ919" s="289"/>
      <c r="AK919" s="289"/>
      <c r="AL919" s="289"/>
      <c r="AM919" s="289"/>
      <c r="AN919" s="289"/>
      <c r="AO919" s="289"/>
      <c r="AP919" s="289"/>
      <c r="AQ919" s="289"/>
      <c r="AR919" s="289"/>
      <c r="AS919" s="289"/>
      <c r="AT919" s="289"/>
    </row>
    <row r="920" spans="1:46" ht="15.75" customHeight="1" x14ac:dyDescent="0.25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  <c r="AC920" s="289"/>
      <c r="AD920" s="289"/>
      <c r="AE920" s="289"/>
      <c r="AF920" s="289"/>
      <c r="AG920" s="289"/>
      <c r="AH920" s="289"/>
      <c r="AI920" s="289"/>
      <c r="AJ920" s="289"/>
      <c r="AK920" s="289"/>
      <c r="AL920" s="289"/>
      <c r="AM920" s="289"/>
      <c r="AN920" s="289"/>
      <c r="AO920" s="289"/>
      <c r="AP920" s="289"/>
      <c r="AQ920" s="289"/>
      <c r="AR920" s="289"/>
      <c r="AS920" s="289"/>
      <c r="AT920" s="289"/>
    </row>
    <row r="921" spans="1:46" ht="15.75" customHeight="1" x14ac:dyDescent="0.25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  <c r="AC921" s="289"/>
      <c r="AD921" s="289"/>
      <c r="AE921" s="289"/>
      <c r="AF921" s="289"/>
      <c r="AG921" s="289"/>
      <c r="AH921" s="289"/>
      <c r="AI921" s="289"/>
      <c r="AJ921" s="289"/>
      <c r="AK921" s="289"/>
      <c r="AL921" s="289"/>
      <c r="AM921" s="289"/>
      <c r="AN921" s="289"/>
      <c r="AO921" s="289"/>
      <c r="AP921" s="289"/>
      <c r="AQ921" s="289"/>
      <c r="AR921" s="289"/>
      <c r="AS921" s="289"/>
      <c r="AT921" s="289"/>
    </row>
    <row r="922" spans="1:46" ht="15.75" customHeight="1" x14ac:dyDescent="0.25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  <c r="AC922" s="289"/>
      <c r="AD922" s="289"/>
      <c r="AE922" s="289"/>
      <c r="AF922" s="289"/>
      <c r="AG922" s="289"/>
      <c r="AH922" s="289"/>
      <c r="AI922" s="289"/>
      <c r="AJ922" s="289"/>
      <c r="AK922" s="289"/>
      <c r="AL922" s="289"/>
      <c r="AM922" s="289"/>
      <c r="AN922" s="289"/>
      <c r="AO922" s="289"/>
      <c r="AP922" s="289"/>
      <c r="AQ922" s="289"/>
      <c r="AR922" s="289"/>
      <c r="AS922" s="289"/>
      <c r="AT922" s="289"/>
    </row>
    <row r="923" spans="1:46" ht="15.75" customHeight="1" x14ac:dyDescent="0.25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  <c r="AC923" s="289"/>
      <c r="AD923" s="289"/>
      <c r="AE923" s="289"/>
      <c r="AF923" s="289"/>
      <c r="AG923" s="289"/>
      <c r="AH923" s="289"/>
      <c r="AI923" s="289"/>
      <c r="AJ923" s="289"/>
      <c r="AK923" s="289"/>
      <c r="AL923" s="289"/>
      <c r="AM923" s="289"/>
      <c r="AN923" s="289"/>
      <c r="AO923" s="289"/>
      <c r="AP923" s="289"/>
      <c r="AQ923" s="289"/>
      <c r="AR923" s="289"/>
      <c r="AS923" s="289"/>
      <c r="AT923" s="289"/>
    </row>
    <row r="924" spans="1:46" ht="15.75" customHeight="1" x14ac:dyDescent="0.25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  <c r="AC924" s="289"/>
      <c r="AD924" s="289"/>
      <c r="AE924" s="289"/>
      <c r="AF924" s="289"/>
      <c r="AG924" s="289"/>
      <c r="AH924" s="289"/>
      <c r="AI924" s="289"/>
      <c r="AJ924" s="289"/>
      <c r="AK924" s="289"/>
      <c r="AL924" s="289"/>
      <c r="AM924" s="289"/>
      <c r="AN924" s="289"/>
      <c r="AO924" s="289"/>
      <c r="AP924" s="289"/>
      <c r="AQ924" s="289"/>
      <c r="AR924" s="289"/>
      <c r="AS924" s="289"/>
      <c r="AT924" s="289"/>
    </row>
    <row r="925" spans="1:46" ht="15.75" customHeight="1" x14ac:dyDescent="0.25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  <c r="AC925" s="289"/>
      <c r="AD925" s="289"/>
      <c r="AE925" s="289"/>
      <c r="AF925" s="289"/>
      <c r="AG925" s="289"/>
      <c r="AH925" s="289"/>
      <c r="AI925" s="289"/>
      <c r="AJ925" s="289"/>
      <c r="AK925" s="289"/>
      <c r="AL925" s="289"/>
      <c r="AM925" s="289"/>
      <c r="AN925" s="289"/>
      <c r="AO925" s="289"/>
      <c r="AP925" s="289"/>
      <c r="AQ925" s="289"/>
      <c r="AR925" s="289"/>
      <c r="AS925" s="289"/>
      <c r="AT925" s="289"/>
    </row>
    <row r="926" spans="1:46" ht="15.75" customHeight="1" x14ac:dyDescent="0.25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  <c r="AC926" s="289"/>
      <c r="AD926" s="289"/>
      <c r="AE926" s="289"/>
      <c r="AF926" s="289"/>
      <c r="AG926" s="289"/>
      <c r="AH926" s="289"/>
      <c r="AI926" s="289"/>
      <c r="AJ926" s="289"/>
      <c r="AK926" s="289"/>
      <c r="AL926" s="289"/>
      <c r="AM926" s="289"/>
      <c r="AN926" s="289"/>
      <c r="AO926" s="289"/>
      <c r="AP926" s="289"/>
      <c r="AQ926" s="289"/>
      <c r="AR926" s="289"/>
      <c r="AS926" s="289"/>
      <c r="AT926" s="289"/>
    </row>
    <row r="927" spans="1:46" ht="15.75" customHeight="1" x14ac:dyDescent="0.25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  <c r="AC927" s="289"/>
      <c r="AD927" s="289"/>
      <c r="AE927" s="289"/>
      <c r="AF927" s="289"/>
      <c r="AG927" s="289"/>
      <c r="AH927" s="289"/>
      <c r="AI927" s="289"/>
      <c r="AJ927" s="289"/>
      <c r="AK927" s="289"/>
      <c r="AL927" s="289"/>
      <c r="AM927" s="289"/>
      <c r="AN927" s="289"/>
      <c r="AO927" s="289"/>
      <c r="AP927" s="289"/>
      <c r="AQ927" s="289"/>
      <c r="AR927" s="289"/>
      <c r="AS927" s="289"/>
      <c r="AT927" s="289"/>
    </row>
    <row r="928" spans="1:46" ht="15.75" customHeight="1" x14ac:dyDescent="0.25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  <c r="AC928" s="289"/>
      <c r="AD928" s="289"/>
      <c r="AE928" s="289"/>
      <c r="AF928" s="289"/>
      <c r="AG928" s="289"/>
      <c r="AH928" s="289"/>
      <c r="AI928" s="289"/>
      <c r="AJ928" s="289"/>
      <c r="AK928" s="289"/>
      <c r="AL928" s="289"/>
      <c r="AM928" s="289"/>
      <c r="AN928" s="289"/>
      <c r="AO928" s="289"/>
      <c r="AP928" s="289"/>
      <c r="AQ928" s="289"/>
      <c r="AR928" s="289"/>
      <c r="AS928" s="289"/>
      <c r="AT928" s="289"/>
    </row>
    <row r="929" spans="1:46" ht="15.75" customHeight="1" x14ac:dyDescent="0.25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  <c r="AC929" s="289"/>
      <c r="AD929" s="289"/>
      <c r="AE929" s="289"/>
      <c r="AF929" s="289"/>
      <c r="AG929" s="289"/>
      <c r="AH929" s="289"/>
      <c r="AI929" s="289"/>
      <c r="AJ929" s="289"/>
      <c r="AK929" s="289"/>
      <c r="AL929" s="289"/>
      <c r="AM929" s="289"/>
      <c r="AN929" s="289"/>
      <c r="AO929" s="289"/>
      <c r="AP929" s="289"/>
      <c r="AQ929" s="289"/>
      <c r="AR929" s="289"/>
      <c r="AS929" s="289"/>
      <c r="AT929" s="289"/>
    </row>
    <row r="930" spans="1:46" ht="15.75" customHeight="1" x14ac:dyDescent="0.25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  <c r="AC930" s="289"/>
      <c r="AD930" s="289"/>
      <c r="AE930" s="289"/>
      <c r="AF930" s="289"/>
      <c r="AG930" s="289"/>
      <c r="AH930" s="289"/>
      <c r="AI930" s="289"/>
      <c r="AJ930" s="289"/>
      <c r="AK930" s="289"/>
      <c r="AL930" s="289"/>
      <c r="AM930" s="289"/>
      <c r="AN930" s="289"/>
      <c r="AO930" s="289"/>
      <c r="AP930" s="289"/>
      <c r="AQ930" s="289"/>
      <c r="AR930" s="289"/>
      <c r="AS930" s="289"/>
      <c r="AT930" s="289"/>
    </row>
    <row r="931" spans="1:46" ht="15.75" customHeight="1" x14ac:dyDescent="0.25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289"/>
      <c r="AI931" s="289"/>
      <c r="AJ931" s="289"/>
      <c r="AK931" s="289"/>
      <c r="AL931" s="289"/>
      <c r="AM931" s="289"/>
      <c r="AN931" s="289"/>
      <c r="AO931" s="289"/>
      <c r="AP931" s="289"/>
      <c r="AQ931" s="289"/>
      <c r="AR931" s="289"/>
      <c r="AS931" s="289"/>
      <c r="AT931" s="289"/>
    </row>
    <row r="932" spans="1:46" ht="15.75" customHeight="1" x14ac:dyDescent="0.25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  <c r="AC932" s="289"/>
      <c r="AD932" s="289"/>
      <c r="AE932" s="289"/>
      <c r="AF932" s="289"/>
      <c r="AG932" s="289"/>
      <c r="AH932" s="289"/>
      <c r="AI932" s="289"/>
      <c r="AJ932" s="289"/>
      <c r="AK932" s="289"/>
      <c r="AL932" s="289"/>
      <c r="AM932" s="289"/>
      <c r="AN932" s="289"/>
      <c r="AO932" s="289"/>
      <c r="AP932" s="289"/>
      <c r="AQ932" s="289"/>
      <c r="AR932" s="289"/>
      <c r="AS932" s="289"/>
      <c r="AT932" s="289"/>
    </row>
    <row r="933" spans="1:46" ht="15.75" customHeight="1" x14ac:dyDescent="0.25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  <c r="AC933" s="289"/>
      <c r="AD933" s="289"/>
      <c r="AE933" s="289"/>
      <c r="AF933" s="289"/>
      <c r="AG933" s="289"/>
      <c r="AH933" s="289"/>
      <c r="AI933" s="289"/>
      <c r="AJ933" s="289"/>
      <c r="AK933" s="289"/>
      <c r="AL933" s="289"/>
      <c r="AM933" s="289"/>
      <c r="AN933" s="289"/>
      <c r="AO933" s="289"/>
      <c r="AP933" s="289"/>
      <c r="AQ933" s="289"/>
      <c r="AR933" s="289"/>
      <c r="AS933" s="289"/>
      <c r="AT933" s="289"/>
    </row>
    <row r="934" spans="1:46" ht="15.75" customHeight="1" x14ac:dyDescent="0.25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  <c r="AC934" s="289"/>
      <c r="AD934" s="289"/>
      <c r="AE934" s="289"/>
      <c r="AF934" s="289"/>
      <c r="AG934" s="289"/>
      <c r="AH934" s="289"/>
      <c r="AI934" s="289"/>
      <c r="AJ934" s="289"/>
      <c r="AK934" s="289"/>
      <c r="AL934" s="289"/>
      <c r="AM934" s="289"/>
      <c r="AN934" s="289"/>
      <c r="AO934" s="289"/>
      <c r="AP934" s="289"/>
      <c r="AQ934" s="289"/>
      <c r="AR934" s="289"/>
      <c r="AS934" s="289"/>
      <c r="AT934" s="289"/>
    </row>
    <row r="935" spans="1:46" ht="15.75" customHeight="1" x14ac:dyDescent="0.25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  <c r="AC935" s="289"/>
      <c r="AD935" s="289"/>
      <c r="AE935" s="289"/>
      <c r="AF935" s="289"/>
      <c r="AG935" s="289"/>
      <c r="AH935" s="289"/>
      <c r="AI935" s="289"/>
      <c r="AJ935" s="289"/>
      <c r="AK935" s="289"/>
      <c r="AL935" s="289"/>
      <c r="AM935" s="289"/>
      <c r="AN935" s="289"/>
      <c r="AO935" s="289"/>
      <c r="AP935" s="289"/>
      <c r="AQ935" s="289"/>
      <c r="AR935" s="289"/>
      <c r="AS935" s="289"/>
      <c r="AT935" s="289"/>
    </row>
    <row r="936" spans="1:46" ht="15.75" customHeight="1" x14ac:dyDescent="0.25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  <c r="AC936" s="289"/>
      <c r="AD936" s="289"/>
      <c r="AE936" s="289"/>
      <c r="AF936" s="289"/>
      <c r="AG936" s="289"/>
      <c r="AH936" s="289"/>
      <c r="AI936" s="289"/>
      <c r="AJ936" s="289"/>
      <c r="AK936" s="289"/>
      <c r="AL936" s="289"/>
      <c r="AM936" s="289"/>
      <c r="AN936" s="289"/>
      <c r="AO936" s="289"/>
      <c r="AP936" s="289"/>
      <c r="AQ936" s="289"/>
      <c r="AR936" s="289"/>
      <c r="AS936" s="289"/>
      <c r="AT936" s="289"/>
    </row>
    <row r="937" spans="1:46" ht="15.75" customHeight="1" x14ac:dyDescent="0.25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  <c r="AC937" s="289"/>
      <c r="AD937" s="289"/>
      <c r="AE937" s="289"/>
      <c r="AF937" s="289"/>
      <c r="AG937" s="289"/>
      <c r="AH937" s="289"/>
      <c r="AI937" s="289"/>
      <c r="AJ937" s="289"/>
      <c r="AK937" s="289"/>
      <c r="AL937" s="289"/>
      <c r="AM937" s="289"/>
      <c r="AN937" s="289"/>
      <c r="AO937" s="289"/>
      <c r="AP937" s="289"/>
      <c r="AQ937" s="289"/>
      <c r="AR937" s="289"/>
      <c r="AS937" s="289"/>
      <c r="AT937" s="289"/>
    </row>
    <row r="938" spans="1:46" ht="15.75" customHeight="1" x14ac:dyDescent="0.25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  <c r="AC938" s="289"/>
      <c r="AD938" s="289"/>
      <c r="AE938" s="289"/>
      <c r="AF938" s="289"/>
      <c r="AG938" s="289"/>
      <c r="AH938" s="289"/>
      <c r="AI938" s="289"/>
      <c r="AJ938" s="289"/>
      <c r="AK938" s="289"/>
      <c r="AL938" s="289"/>
      <c r="AM938" s="289"/>
      <c r="AN938" s="289"/>
      <c r="AO938" s="289"/>
      <c r="AP938" s="289"/>
      <c r="AQ938" s="289"/>
      <c r="AR938" s="289"/>
      <c r="AS938" s="289"/>
      <c r="AT938" s="289"/>
    </row>
    <row r="939" spans="1:46" ht="15.75" customHeight="1" x14ac:dyDescent="0.25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  <c r="AC939" s="289"/>
      <c r="AD939" s="289"/>
      <c r="AE939" s="289"/>
      <c r="AF939" s="289"/>
      <c r="AG939" s="289"/>
      <c r="AH939" s="289"/>
      <c r="AI939" s="289"/>
      <c r="AJ939" s="289"/>
      <c r="AK939" s="289"/>
      <c r="AL939" s="289"/>
      <c r="AM939" s="289"/>
      <c r="AN939" s="289"/>
      <c r="AO939" s="289"/>
      <c r="AP939" s="289"/>
      <c r="AQ939" s="289"/>
      <c r="AR939" s="289"/>
      <c r="AS939" s="289"/>
      <c r="AT939" s="289"/>
    </row>
    <row r="940" spans="1:46" ht="15.75" customHeight="1" x14ac:dyDescent="0.25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  <c r="AC940" s="289"/>
      <c r="AD940" s="289"/>
      <c r="AE940" s="289"/>
      <c r="AF940" s="289"/>
      <c r="AG940" s="289"/>
      <c r="AH940" s="289"/>
      <c r="AI940" s="289"/>
      <c r="AJ940" s="289"/>
      <c r="AK940" s="289"/>
      <c r="AL940" s="289"/>
      <c r="AM940" s="289"/>
      <c r="AN940" s="289"/>
      <c r="AO940" s="289"/>
      <c r="AP940" s="289"/>
      <c r="AQ940" s="289"/>
      <c r="AR940" s="289"/>
      <c r="AS940" s="289"/>
      <c r="AT940" s="289"/>
    </row>
    <row r="941" spans="1:46" ht="15.75" customHeight="1" x14ac:dyDescent="0.25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  <c r="AC941" s="289"/>
      <c r="AD941" s="289"/>
      <c r="AE941" s="289"/>
      <c r="AF941" s="289"/>
      <c r="AG941" s="289"/>
      <c r="AH941" s="289"/>
      <c r="AI941" s="289"/>
      <c r="AJ941" s="289"/>
      <c r="AK941" s="289"/>
      <c r="AL941" s="289"/>
      <c r="AM941" s="289"/>
      <c r="AN941" s="289"/>
      <c r="AO941" s="289"/>
      <c r="AP941" s="289"/>
      <c r="AQ941" s="289"/>
      <c r="AR941" s="289"/>
      <c r="AS941" s="289"/>
      <c r="AT941" s="289"/>
    </row>
    <row r="942" spans="1:46" ht="15.75" customHeight="1" x14ac:dyDescent="0.25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  <c r="AC942" s="289"/>
      <c r="AD942" s="289"/>
      <c r="AE942" s="289"/>
      <c r="AF942" s="289"/>
      <c r="AG942" s="289"/>
      <c r="AH942" s="289"/>
      <c r="AI942" s="289"/>
      <c r="AJ942" s="289"/>
      <c r="AK942" s="289"/>
      <c r="AL942" s="289"/>
      <c r="AM942" s="289"/>
      <c r="AN942" s="289"/>
      <c r="AO942" s="289"/>
      <c r="AP942" s="289"/>
      <c r="AQ942" s="289"/>
      <c r="AR942" s="289"/>
      <c r="AS942" s="289"/>
      <c r="AT942" s="289"/>
    </row>
    <row r="943" spans="1:46" ht="15.75" customHeight="1" x14ac:dyDescent="0.25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  <c r="AC943" s="289"/>
      <c r="AD943" s="289"/>
      <c r="AE943" s="289"/>
      <c r="AF943" s="289"/>
      <c r="AG943" s="289"/>
      <c r="AH943" s="289"/>
      <c r="AI943" s="289"/>
      <c r="AJ943" s="289"/>
      <c r="AK943" s="289"/>
      <c r="AL943" s="289"/>
      <c r="AM943" s="289"/>
      <c r="AN943" s="289"/>
      <c r="AO943" s="289"/>
      <c r="AP943" s="289"/>
      <c r="AQ943" s="289"/>
      <c r="AR943" s="289"/>
      <c r="AS943" s="289"/>
      <c r="AT943" s="289"/>
    </row>
    <row r="944" spans="1:46" ht="15.75" customHeight="1" x14ac:dyDescent="0.25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  <c r="AC944" s="289"/>
      <c r="AD944" s="289"/>
      <c r="AE944" s="289"/>
      <c r="AF944" s="289"/>
      <c r="AG944" s="289"/>
      <c r="AH944" s="289"/>
      <c r="AI944" s="289"/>
      <c r="AJ944" s="289"/>
      <c r="AK944" s="289"/>
      <c r="AL944" s="289"/>
      <c r="AM944" s="289"/>
      <c r="AN944" s="289"/>
      <c r="AO944" s="289"/>
      <c r="AP944" s="289"/>
      <c r="AQ944" s="289"/>
      <c r="AR944" s="289"/>
      <c r="AS944" s="289"/>
      <c r="AT944" s="289"/>
    </row>
    <row r="945" spans="1:46" ht="15.75" customHeight="1" x14ac:dyDescent="0.25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  <c r="AC945" s="289"/>
      <c r="AD945" s="289"/>
      <c r="AE945" s="289"/>
      <c r="AF945" s="289"/>
      <c r="AG945" s="289"/>
      <c r="AH945" s="289"/>
      <c r="AI945" s="289"/>
      <c r="AJ945" s="289"/>
      <c r="AK945" s="289"/>
      <c r="AL945" s="289"/>
      <c r="AM945" s="289"/>
      <c r="AN945" s="289"/>
      <c r="AO945" s="289"/>
      <c r="AP945" s="289"/>
      <c r="AQ945" s="289"/>
      <c r="AR945" s="289"/>
      <c r="AS945" s="289"/>
      <c r="AT945" s="289"/>
    </row>
    <row r="946" spans="1:46" ht="15.75" customHeight="1" x14ac:dyDescent="0.25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  <c r="AC946" s="289"/>
      <c r="AD946" s="289"/>
      <c r="AE946" s="289"/>
      <c r="AF946" s="289"/>
      <c r="AG946" s="289"/>
      <c r="AH946" s="289"/>
      <c r="AI946" s="289"/>
      <c r="AJ946" s="289"/>
      <c r="AK946" s="289"/>
      <c r="AL946" s="289"/>
      <c r="AM946" s="289"/>
      <c r="AN946" s="289"/>
      <c r="AO946" s="289"/>
      <c r="AP946" s="289"/>
      <c r="AQ946" s="289"/>
      <c r="AR946" s="289"/>
      <c r="AS946" s="289"/>
      <c r="AT946" s="289"/>
    </row>
    <row r="947" spans="1:46" ht="15.75" customHeight="1" x14ac:dyDescent="0.25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  <c r="AC947" s="289"/>
      <c r="AD947" s="289"/>
      <c r="AE947" s="289"/>
      <c r="AF947" s="289"/>
      <c r="AG947" s="289"/>
      <c r="AH947" s="289"/>
      <c r="AI947" s="289"/>
      <c r="AJ947" s="289"/>
      <c r="AK947" s="289"/>
      <c r="AL947" s="289"/>
      <c r="AM947" s="289"/>
      <c r="AN947" s="289"/>
      <c r="AO947" s="289"/>
      <c r="AP947" s="289"/>
      <c r="AQ947" s="289"/>
      <c r="AR947" s="289"/>
      <c r="AS947" s="289"/>
      <c r="AT947" s="289"/>
    </row>
    <row r="948" spans="1:46" ht="15.75" customHeight="1" x14ac:dyDescent="0.25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  <c r="AC948" s="289"/>
      <c r="AD948" s="289"/>
      <c r="AE948" s="289"/>
      <c r="AF948" s="289"/>
      <c r="AG948" s="289"/>
      <c r="AH948" s="289"/>
      <c r="AI948" s="289"/>
      <c r="AJ948" s="289"/>
      <c r="AK948" s="289"/>
      <c r="AL948" s="289"/>
      <c r="AM948" s="289"/>
      <c r="AN948" s="289"/>
      <c r="AO948" s="289"/>
      <c r="AP948" s="289"/>
      <c r="AQ948" s="289"/>
      <c r="AR948" s="289"/>
      <c r="AS948" s="289"/>
      <c r="AT948" s="289"/>
    </row>
    <row r="949" spans="1:46" ht="15.75" customHeight="1" x14ac:dyDescent="0.25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  <c r="AC949" s="289"/>
      <c r="AD949" s="289"/>
      <c r="AE949" s="289"/>
      <c r="AF949" s="289"/>
      <c r="AG949" s="289"/>
      <c r="AH949" s="289"/>
      <c r="AI949" s="289"/>
      <c r="AJ949" s="289"/>
      <c r="AK949" s="289"/>
      <c r="AL949" s="289"/>
      <c r="AM949" s="289"/>
      <c r="AN949" s="289"/>
      <c r="AO949" s="289"/>
      <c r="AP949" s="289"/>
      <c r="AQ949" s="289"/>
      <c r="AR949" s="289"/>
      <c r="AS949" s="289"/>
      <c r="AT949" s="289"/>
    </row>
    <row r="950" spans="1:46" ht="15.75" customHeight="1" x14ac:dyDescent="0.25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  <c r="AC950" s="289"/>
      <c r="AD950" s="289"/>
      <c r="AE950" s="289"/>
      <c r="AF950" s="289"/>
      <c r="AG950" s="289"/>
      <c r="AH950" s="289"/>
      <c r="AI950" s="289"/>
      <c r="AJ950" s="289"/>
      <c r="AK950" s="289"/>
      <c r="AL950" s="289"/>
      <c r="AM950" s="289"/>
      <c r="AN950" s="289"/>
      <c r="AO950" s="289"/>
      <c r="AP950" s="289"/>
      <c r="AQ950" s="289"/>
      <c r="AR950" s="289"/>
      <c r="AS950" s="289"/>
      <c r="AT950" s="289"/>
    </row>
    <row r="951" spans="1:46" ht="15.75" customHeight="1" x14ac:dyDescent="0.25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  <c r="AC951" s="289"/>
      <c r="AD951" s="289"/>
      <c r="AE951" s="289"/>
      <c r="AF951" s="289"/>
      <c r="AG951" s="289"/>
      <c r="AH951" s="289"/>
      <c r="AI951" s="289"/>
      <c r="AJ951" s="289"/>
      <c r="AK951" s="289"/>
      <c r="AL951" s="289"/>
      <c r="AM951" s="289"/>
      <c r="AN951" s="289"/>
      <c r="AO951" s="289"/>
      <c r="AP951" s="289"/>
      <c r="AQ951" s="289"/>
      <c r="AR951" s="289"/>
      <c r="AS951" s="289"/>
      <c r="AT951" s="289"/>
    </row>
    <row r="952" spans="1:46" ht="15.75" customHeight="1" x14ac:dyDescent="0.25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  <c r="AC952" s="289"/>
      <c r="AD952" s="289"/>
      <c r="AE952" s="289"/>
      <c r="AF952" s="289"/>
      <c r="AG952" s="289"/>
      <c r="AH952" s="289"/>
      <c r="AI952" s="289"/>
      <c r="AJ952" s="289"/>
      <c r="AK952" s="289"/>
      <c r="AL952" s="289"/>
      <c r="AM952" s="289"/>
      <c r="AN952" s="289"/>
      <c r="AO952" s="289"/>
      <c r="AP952" s="289"/>
      <c r="AQ952" s="289"/>
      <c r="AR952" s="289"/>
      <c r="AS952" s="289"/>
      <c r="AT952" s="289"/>
    </row>
    <row r="953" spans="1:46" ht="15.75" customHeight="1" x14ac:dyDescent="0.25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  <c r="AC953" s="289"/>
      <c r="AD953" s="289"/>
      <c r="AE953" s="289"/>
      <c r="AF953" s="289"/>
      <c r="AG953" s="289"/>
      <c r="AH953" s="289"/>
      <c r="AI953" s="289"/>
      <c r="AJ953" s="289"/>
      <c r="AK953" s="289"/>
      <c r="AL953" s="289"/>
      <c r="AM953" s="289"/>
      <c r="AN953" s="289"/>
      <c r="AO953" s="289"/>
      <c r="AP953" s="289"/>
      <c r="AQ953" s="289"/>
      <c r="AR953" s="289"/>
      <c r="AS953" s="289"/>
      <c r="AT953" s="289"/>
    </row>
    <row r="954" spans="1:46" ht="15.75" customHeight="1" x14ac:dyDescent="0.25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  <c r="AC954" s="289"/>
      <c r="AD954" s="289"/>
      <c r="AE954" s="289"/>
      <c r="AF954" s="289"/>
      <c r="AG954" s="289"/>
      <c r="AH954" s="289"/>
      <c r="AI954" s="289"/>
      <c r="AJ954" s="289"/>
      <c r="AK954" s="289"/>
      <c r="AL954" s="289"/>
      <c r="AM954" s="289"/>
      <c r="AN954" s="289"/>
      <c r="AO954" s="289"/>
      <c r="AP954" s="289"/>
      <c r="AQ954" s="289"/>
      <c r="AR954" s="289"/>
      <c r="AS954" s="289"/>
      <c r="AT954" s="289"/>
    </row>
    <row r="955" spans="1:46" ht="15.75" customHeight="1" x14ac:dyDescent="0.25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  <c r="AC955" s="289"/>
      <c r="AD955" s="289"/>
      <c r="AE955" s="289"/>
      <c r="AF955" s="289"/>
      <c r="AG955" s="289"/>
      <c r="AH955" s="289"/>
      <c r="AI955" s="289"/>
      <c r="AJ955" s="289"/>
      <c r="AK955" s="289"/>
      <c r="AL955" s="289"/>
      <c r="AM955" s="289"/>
      <c r="AN955" s="289"/>
      <c r="AO955" s="289"/>
      <c r="AP955" s="289"/>
      <c r="AQ955" s="289"/>
      <c r="AR955" s="289"/>
      <c r="AS955" s="289"/>
      <c r="AT955" s="289"/>
    </row>
    <row r="956" spans="1:46" ht="15.75" customHeight="1" x14ac:dyDescent="0.25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  <c r="AC956" s="289"/>
      <c r="AD956" s="289"/>
      <c r="AE956" s="289"/>
      <c r="AF956" s="289"/>
      <c r="AG956" s="289"/>
      <c r="AH956" s="289"/>
      <c r="AI956" s="289"/>
      <c r="AJ956" s="289"/>
      <c r="AK956" s="289"/>
      <c r="AL956" s="289"/>
      <c r="AM956" s="289"/>
      <c r="AN956" s="289"/>
      <c r="AO956" s="289"/>
      <c r="AP956" s="289"/>
      <c r="AQ956" s="289"/>
      <c r="AR956" s="289"/>
      <c r="AS956" s="289"/>
      <c r="AT956" s="289"/>
    </row>
    <row r="957" spans="1:46" ht="15.75" customHeight="1" x14ac:dyDescent="0.25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  <c r="AC957" s="289"/>
      <c r="AD957" s="289"/>
      <c r="AE957" s="289"/>
      <c r="AF957" s="289"/>
      <c r="AG957" s="289"/>
      <c r="AH957" s="289"/>
      <c r="AI957" s="289"/>
      <c r="AJ957" s="289"/>
      <c r="AK957" s="289"/>
      <c r="AL957" s="289"/>
      <c r="AM957" s="289"/>
      <c r="AN957" s="289"/>
      <c r="AO957" s="289"/>
      <c r="AP957" s="289"/>
      <c r="AQ957" s="289"/>
      <c r="AR957" s="289"/>
      <c r="AS957" s="289"/>
      <c r="AT957" s="289"/>
    </row>
    <row r="958" spans="1:46" ht="15.75" customHeight="1" x14ac:dyDescent="0.25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  <c r="AC958" s="289"/>
      <c r="AD958" s="289"/>
      <c r="AE958" s="289"/>
      <c r="AF958" s="289"/>
      <c r="AG958" s="289"/>
      <c r="AH958" s="289"/>
      <c r="AI958" s="289"/>
      <c r="AJ958" s="289"/>
      <c r="AK958" s="289"/>
      <c r="AL958" s="289"/>
      <c r="AM958" s="289"/>
      <c r="AN958" s="289"/>
      <c r="AO958" s="289"/>
      <c r="AP958" s="289"/>
      <c r="AQ958" s="289"/>
      <c r="AR958" s="289"/>
      <c r="AS958" s="289"/>
      <c r="AT958" s="289"/>
    </row>
    <row r="959" spans="1:46" ht="15.75" customHeight="1" x14ac:dyDescent="0.25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  <c r="AC959" s="289"/>
      <c r="AD959" s="289"/>
      <c r="AE959" s="289"/>
      <c r="AF959" s="289"/>
      <c r="AG959" s="289"/>
      <c r="AH959" s="289"/>
      <c r="AI959" s="289"/>
      <c r="AJ959" s="289"/>
      <c r="AK959" s="289"/>
      <c r="AL959" s="289"/>
      <c r="AM959" s="289"/>
      <c r="AN959" s="289"/>
      <c r="AO959" s="289"/>
      <c r="AP959" s="289"/>
      <c r="AQ959" s="289"/>
      <c r="AR959" s="289"/>
      <c r="AS959" s="289"/>
      <c r="AT959" s="289"/>
    </row>
    <row r="960" spans="1:46" ht="15.75" customHeight="1" x14ac:dyDescent="0.25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  <c r="AC960" s="289"/>
      <c r="AD960" s="289"/>
      <c r="AE960" s="289"/>
      <c r="AF960" s="289"/>
      <c r="AG960" s="289"/>
      <c r="AH960" s="289"/>
      <c r="AI960" s="289"/>
      <c r="AJ960" s="289"/>
      <c r="AK960" s="289"/>
      <c r="AL960" s="289"/>
      <c r="AM960" s="289"/>
      <c r="AN960" s="289"/>
      <c r="AO960" s="289"/>
      <c r="AP960" s="289"/>
      <c r="AQ960" s="289"/>
      <c r="AR960" s="289"/>
      <c r="AS960" s="289"/>
      <c r="AT960" s="289"/>
    </row>
    <row r="961" spans="1:46" ht="15.75" customHeight="1" x14ac:dyDescent="0.25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  <c r="AC961" s="289"/>
      <c r="AD961" s="289"/>
      <c r="AE961" s="289"/>
      <c r="AF961" s="289"/>
      <c r="AG961" s="289"/>
      <c r="AH961" s="289"/>
      <c r="AI961" s="289"/>
      <c r="AJ961" s="289"/>
      <c r="AK961" s="289"/>
      <c r="AL961" s="289"/>
      <c r="AM961" s="289"/>
      <c r="AN961" s="289"/>
      <c r="AO961" s="289"/>
      <c r="AP961" s="289"/>
      <c r="AQ961" s="289"/>
      <c r="AR961" s="289"/>
      <c r="AS961" s="289"/>
      <c r="AT961" s="289"/>
    </row>
    <row r="962" spans="1:46" ht="15.75" customHeight="1" x14ac:dyDescent="0.25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  <c r="AC962" s="289"/>
      <c r="AD962" s="289"/>
      <c r="AE962" s="289"/>
      <c r="AF962" s="289"/>
      <c r="AG962" s="289"/>
      <c r="AH962" s="289"/>
      <c r="AI962" s="289"/>
      <c r="AJ962" s="289"/>
      <c r="AK962" s="289"/>
      <c r="AL962" s="289"/>
      <c r="AM962" s="289"/>
      <c r="AN962" s="289"/>
      <c r="AO962" s="289"/>
      <c r="AP962" s="289"/>
      <c r="AQ962" s="289"/>
      <c r="AR962" s="289"/>
      <c r="AS962" s="289"/>
      <c r="AT962" s="289"/>
    </row>
    <row r="963" spans="1:46" ht="15.75" customHeight="1" x14ac:dyDescent="0.25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  <c r="AC963" s="289"/>
      <c r="AD963" s="289"/>
      <c r="AE963" s="289"/>
      <c r="AF963" s="289"/>
      <c r="AG963" s="289"/>
      <c r="AH963" s="289"/>
      <c r="AI963" s="289"/>
      <c r="AJ963" s="289"/>
      <c r="AK963" s="289"/>
      <c r="AL963" s="289"/>
      <c r="AM963" s="289"/>
      <c r="AN963" s="289"/>
      <c r="AO963" s="289"/>
      <c r="AP963" s="289"/>
      <c r="AQ963" s="289"/>
      <c r="AR963" s="289"/>
      <c r="AS963" s="289"/>
      <c r="AT963" s="289"/>
    </row>
    <row r="964" spans="1:46" ht="15.75" customHeight="1" x14ac:dyDescent="0.25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  <c r="AC964" s="289"/>
      <c r="AD964" s="289"/>
      <c r="AE964" s="289"/>
      <c r="AF964" s="289"/>
      <c r="AG964" s="289"/>
      <c r="AH964" s="289"/>
      <c r="AI964" s="289"/>
      <c r="AJ964" s="289"/>
      <c r="AK964" s="289"/>
      <c r="AL964" s="289"/>
      <c r="AM964" s="289"/>
      <c r="AN964" s="289"/>
      <c r="AO964" s="289"/>
      <c r="AP964" s="289"/>
      <c r="AQ964" s="289"/>
      <c r="AR964" s="289"/>
      <c r="AS964" s="289"/>
      <c r="AT964" s="289"/>
    </row>
    <row r="965" spans="1:46" ht="15.75" customHeight="1" x14ac:dyDescent="0.25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  <c r="AC965" s="289"/>
      <c r="AD965" s="289"/>
      <c r="AE965" s="289"/>
      <c r="AF965" s="289"/>
      <c r="AG965" s="289"/>
      <c r="AH965" s="289"/>
      <c r="AI965" s="289"/>
      <c r="AJ965" s="289"/>
      <c r="AK965" s="289"/>
      <c r="AL965" s="289"/>
      <c r="AM965" s="289"/>
      <c r="AN965" s="289"/>
      <c r="AO965" s="289"/>
      <c r="AP965" s="289"/>
      <c r="AQ965" s="289"/>
      <c r="AR965" s="289"/>
      <c r="AS965" s="289"/>
      <c r="AT965" s="289"/>
    </row>
    <row r="966" spans="1:46" ht="15.75" customHeight="1" x14ac:dyDescent="0.25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  <c r="AC966" s="289"/>
      <c r="AD966" s="289"/>
      <c r="AE966" s="289"/>
      <c r="AF966" s="289"/>
      <c r="AG966" s="289"/>
      <c r="AH966" s="289"/>
      <c r="AI966" s="289"/>
      <c r="AJ966" s="289"/>
      <c r="AK966" s="289"/>
      <c r="AL966" s="289"/>
      <c r="AM966" s="289"/>
      <c r="AN966" s="289"/>
      <c r="AO966" s="289"/>
      <c r="AP966" s="289"/>
      <c r="AQ966" s="289"/>
      <c r="AR966" s="289"/>
      <c r="AS966" s="289"/>
      <c r="AT966" s="289"/>
    </row>
    <row r="967" spans="1:46" ht="15.75" customHeight="1" x14ac:dyDescent="0.25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  <c r="AC967" s="289"/>
      <c r="AD967" s="289"/>
      <c r="AE967" s="289"/>
      <c r="AF967" s="289"/>
      <c r="AG967" s="289"/>
      <c r="AH967" s="289"/>
      <c r="AI967" s="289"/>
      <c r="AJ967" s="289"/>
      <c r="AK967" s="289"/>
      <c r="AL967" s="289"/>
      <c r="AM967" s="289"/>
      <c r="AN967" s="289"/>
      <c r="AO967" s="289"/>
      <c r="AP967" s="289"/>
      <c r="AQ967" s="289"/>
      <c r="AR967" s="289"/>
      <c r="AS967" s="289"/>
      <c r="AT967" s="289"/>
    </row>
    <row r="968" spans="1:46" ht="15.75" customHeight="1" x14ac:dyDescent="0.25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  <c r="AC968" s="289"/>
      <c r="AD968" s="289"/>
      <c r="AE968" s="289"/>
      <c r="AF968" s="289"/>
      <c r="AG968" s="289"/>
      <c r="AH968" s="289"/>
      <c r="AI968" s="289"/>
      <c r="AJ968" s="289"/>
      <c r="AK968" s="289"/>
      <c r="AL968" s="289"/>
      <c r="AM968" s="289"/>
      <c r="AN968" s="289"/>
      <c r="AO968" s="289"/>
      <c r="AP968" s="289"/>
      <c r="AQ968" s="289"/>
      <c r="AR968" s="289"/>
      <c r="AS968" s="289"/>
      <c r="AT968" s="289"/>
    </row>
    <row r="969" spans="1:46" ht="15.75" customHeight="1" x14ac:dyDescent="0.25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  <c r="AC969" s="289"/>
      <c r="AD969" s="289"/>
      <c r="AE969" s="289"/>
      <c r="AF969" s="289"/>
      <c r="AG969" s="289"/>
      <c r="AH969" s="289"/>
      <c r="AI969" s="289"/>
      <c r="AJ969" s="289"/>
      <c r="AK969" s="289"/>
      <c r="AL969" s="289"/>
      <c r="AM969" s="289"/>
      <c r="AN969" s="289"/>
      <c r="AO969" s="289"/>
      <c r="AP969" s="289"/>
      <c r="AQ969" s="289"/>
      <c r="AR969" s="289"/>
      <c r="AS969" s="289"/>
      <c r="AT969" s="289"/>
    </row>
    <row r="970" spans="1:46" ht="15.75" customHeight="1" x14ac:dyDescent="0.25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  <c r="AC970" s="289"/>
      <c r="AD970" s="289"/>
      <c r="AE970" s="289"/>
      <c r="AF970" s="289"/>
      <c r="AG970" s="289"/>
      <c r="AH970" s="289"/>
      <c r="AI970" s="289"/>
      <c r="AJ970" s="289"/>
      <c r="AK970" s="289"/>
      <c r="AL970" s="289"/>
      <c r="AM970" s="289"/>
      <c r="AN970" s="289"/>
      <c r="AO970" s="289"/>
      <c r="AP970" s="289"/>
      <c r="AQ970" s="289"/>
      <c r="AR970" s="289"/>
      <c r="AS970" s="289"/>
      <c r="AT970" s="289"/>
    </row>
    <row r="971" spans="1:46" ht="15.75" customHeight="1" x14ac:dyDescent="0.25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  <c r="AC971" s="289"/>
      <c r="AD971" s="289"/>
      <c r="AE971" s="289"/>
      <c r="AF971" s="289"/>
      <c r="AG971" s="289"/>
      <c r="AH971" s="289"/>
      <c r="AI971" s="289"/>
      <c r="AJ971" s="289"/>
      <c r="AK971" s="289"/>
      <c r="AL971" s="289"/>
      <c r="AM971" s="289"/>
      <c r="AN971" s="289"/>
      <c r="AO971" s="289"/>
      <c r="AP971" s="289"/>
      <c r="AQ971" s="289"/>
      <c r="AR971" s="289"/>
      <c r="AS971" s="289"/>
      <c r="AT971" s="289"/>
    </row>
    <row r="972" spans="1:46" ht="15.75" customHeight="1" x14ac:dyDescent="0.25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  <c r="AC972" s="289"/>
      <c r="AD972" s="289"/>
      <c r="AE972" s="289"/>
      <c r="AF972" s="289"/>
      <c r="AG972" s="289"/>
      <c r="AH972" s="289"/>
      <c r="AI972" s="289"/>
      <c r="AJ972" s="289"/>
      <c r="AK972" s="289"/>
      <c r="AL972" s="289"/>
      <c r="AM972" s="289"/>
      <c r="AN972" s="289"/>
      <c r="AO972" s="289"/>
      <c r="AP972" s="289"/>
      <c r="AQ972" s="289"/>
      <c r="AR972" s="289"/>
      <c r="AS972" s="289"/>
      <c r="AT972" s="289"/>
    </row>
    <row r="973" spans="1:46" ht="15.75" customHeight="1" x14ac:dyDescent="0.25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  <c r="AC973" s="289"/>
      <c r="AD973" s="289"/>
      <c r="AE973" s="289"/>
      <c r="AF973" s="289"/>
      <c r="AG973" s="289"/>
      <c r="AH973" s="289"/>
      <c r="AI973" s="289"/>
      <c r="AJ973" s="289"/>
      <c r="AK973" s="289"/>
      <c r="AL973" s="289"/>
      <c r="AM973" s="289"/>
      <c r="AN973" s="289"/>
      <c r="AO973" s="289"/>
      <c r="AP973" s="289"/>
      <c r="AQ973" s="289"/>
      <c r="AR973" s="289"/>
      <c r="AS973" s="289"/>
      <c r="AT973" s="289"/>
    </row>
    <row r="974" spans="1:46" ht="15.75" customHeight="1" x14ac:dyDescent="0.25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  <c r="AC974" s="289"/>
      <c r="AD974" s="289"/>
      <c r="AE974" s="289"/>
      <c r="AF974" s="289"/>
      <c r="AG974" s="289"/>
      <c r="AH974" s="289"/>
      <c r="AI974" s="289"/>
      <c r="AJ974" s="289"/>
      <c r="AK974" s="289"/>
      <c r="AL974" s="289"/>
      <c r="AM974" s="289"/>
      <c r="AN974" s="289"/>
      <c r="AO974" s="289"/>
      <c r="AP974" s="289"/>
      <c r="AQ974" s="289"/>
      <c r="AR974" s="289"/>
      <c r="AS974" s="289"/>
      <c r="AT974" s="289"/>
    </row>
    <row r="975" spans="1:46" ht="15.75" customHeight="1" x14ac:dyDescent="0.25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  <c r="AC975" s="289"/>
      <c r="AD975" s="289"/>
      <c r="AE975" s="289"/>
      <c r="AF975" s="289"/>
      <c r="AG975" s="289"/>
      <c r="AH975" s="289"/>
      <c r="AI975" s="289"/>
      <c r="AJ975" s="289"/>
      <c r="AK975" s="289"/>
      <c r="AL975" s="289"/>
      <c r="AM975" s="289"/>
      <c r="AN975" s="289"/>
      <c r="AO975" s="289"/>
      <c r="AP975" s="289"/>
      <c r="AQ975" s="289"/>
      <c r="AR975" s="289"/>
      <c r="AS975" s="289"/>
      <c r="AT975" s="289"/>
    </row>
    <row r="976" spans="1:46" ht="15.75" customHeight="1" x14ac:dyDescent="0.25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  <c r="AC976" s="289"/>
      <c r="AD976" s="289"/>
      <c r="AE976" s="289"/>
      <c r="AF976" s="289"/>
      <c r="AG976" s="289"/>
      <c r="AH976" s="289"/>
      <c r="AI976" s="289"/>
      <c r="AJ976" s="289"/>
      <c r="AK976" s="289"/>
      <c r="AL976" s="289"/>
      <c r="AM976" s="289"/>
      <c r="AN976" s="289"/>
      <c r="AO976" s="289"/>
      <c r="AP976" s="289"/>
      <c r="AQ976" s="289"/>
      <c r="AR976" s="289"/>
      <c r="AS976" s="289"/>
      <c r="AT976" s="289"/>
    </row>
    <row r="977" spans="1:46" ht="15.75" customHeight="1" x14ac:dyDescent="0.25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  <c r="AC977" s="289"/>
      <c r="AD977" s="289"/>
      <c r="AE977" s="289"/>
      <c r="AF977" s="289"/>
      <c r="AG977" s="289"/>
      <c r="AH977" s="289"/>
      <c r="AI977" s="289"/>
      <c r="AJ977" s="289"/>
      <c r="AK977" s="289"/>
      <c r="AL977" s="289"/>
      <c r="AM977" s="289"/>
      <c r="AN977" s="289"/>
      <c r="AO977" s="289"/>
      <c r="AP977" s="289"/>
      <c r="AQ977" s="289"/>
      <c r="AR977" s="289"/>
      <c r="AS977" s="289"/>
      <c r="AT977" s="289"/>
    </row>
    <row r="978" spans="1:46" ht="15.75" customHeight="1" x14ac:dyDescent="0.25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  <c r="AC978" s="289"/>
      <c r="AD978" s="289"/>
      <c r="AE978" s="289"/>
      <c r="AF978" s="289"/>
      <c r="AG978" s="289"/>
      <c r="AH978" s="289"/>
      <c r="AI978" s="289"/>
      <c r="AJ978" s="289"/>
      <c r="AK978" s="289"/>
      <c r="AL978" s="289"/>
      <c r="AM978" s="289"/>
      <c r="AN978" s="289"/>
      <c r="AO978" s="289"/>
      <c r="AP978" s="289"/>
      <c r="AQ978" s="289"/>
      <c r="AR978" s="289"/>
      <c r="AS978" s="289"/>
      <c r="AT978" s="289"/>
    </row>
    <row r="979" spans="1:46" ht="15.75" customHeight="1" x14ac:dyDescent="0.25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  <c r="AC979" s="289"/>
      <c r="AD979" s="289"/>
      <c r="AE979" s="289"/>
      <c r="AF979" s="289"/>
      <c r="AG979" s="289"/>
      <c r="AH979" s="289"/>
      <c r="AI979" s="289"/>
      <c r="AJ979" s="289"/>
      <c r="AK979" s="289"/>
      <c r="AL979" s="289"/>
      <c r="AM979" s="289"/>
      <c r="AN979" s="289"/>
      <c r="AO979" s="289"/>
      <c r="AP979" s="289"/>
      <c r="AQ979" s="289"/>
      <c r="AR979" s="289"/>
      <c r="AS979" s="289"/>
      <c r="AT979" s="289"/>
    </row>
    <row r="980" spans="1:46" ht="15.75" customHeight="1" x14ac:dyDescent="0.25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  <c r="AC980" s="289"/>
      <c r="AD980" s="289"/>
      <c r="AE980" s="289"/>
      <c r="AF980" s="289"/>
      <c r="AG980" s="289"/>
      <c r="AH980" s="289"/>
      <c r="AI980" s="289"/>
      <c r="AJ980" s="289"/>
      <c r="AK980" s="289"/>
      <c r="AL980" s="289"/>
      <c r="AM980" s="289"/>
      <c r="AN980" s="289"/>
      <c r="AO980" s="289"/>
      <c r="AP980" s="289"/>
      <c r="AQ980" s="289"/>
      <c r="AR980" s="289"/>
      <c r="AS980" s="289"/>
      <c r="AT980" s="289"/>
    </row>
    <row r="981" spans="1:46" ht="15.75" customHeight="1" x14ac:dyDescent="0.25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  <c r="AC981" s="289"/>
      <c r="AD981" s="289"/>
      <c r="AE981" s="289"/>
      <c r="AF981" s="289"/>
      <c r="AG981" s="289"/>
      <c r="AH981" s="289"/>
      <c r="AI981" s="289"/>
      <c r="AJ981" s="289"/>
      <c r="AK981" s="289"/>
      <c r="AL981" s="289"/>
      <c r="AM981" s="289"/>
      <c r="AN981" s="289"/>
      <c r="AO981" s="289"/>
      <c r="AP981" s="289"/>
      <c r="AQ981" s="289"/>
      <c r="AR981" s="289"/>
      <c r="AS981" s="289"/>
      <c r="AT981" s="289"/>
    </row>
    <row r="982" spans="1:46" ht="15.75" customHeight="1" x14ac:dyDescent="0.25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  <c r="AC982" s="289"/>
      <c r="AD982" s="289"/>
      <c r="AE982" s="289"/>
      <c r="AF982" s="289"/>
      <c r="AG982" s="289"/>
      <c r="AH982" s="289"/>
      <c r="AI982" s="289"/>
      <c r="AJ982" s="289"/>
      <c r="AK982" s="289"/>
      <c r="AL982" s="289"/>
      <c r="AM982" s="289"/>
      <c r="AN982" s="289"/>
      <c r="AO982" s="289"/>
      <c r="AP982" s="289"/>
      <c r="AQ982" s="289"/>
      <c r="AR982" s="289"/>
      <c r="AS982" s="289"/>
      <c r="AT982" s="289"/>
    </row>
    <row r="983" spans="1:46" ht="15.75" customHeight="1" x14ac:dyDescent="0.25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  <c r="AC983" s="289"/>
      <c r="AD983" s="289"/>
      <c r="AE983" s="289"/>
      <c r="AF983" s="289"/>
      <c r="AG983" s="289"/>
      <c r="AH983" s="289"/>
      <c r="AI983" s="289"/>
      <c r="AJ983" s="289"/>
      <c r="AK983" s="289"/>
      <c r="AL983" s="289"/>
      <c r="AM983" s="289"/>
      <c r="AN983" s="289"/>
      <c r="AO983" s="289"/>
      <c r="AP983" s="289"/>
      <c r="AQ983" s="289"/>
      <c r="AR983" s="289"/>
      <c r="AS983" s="289"/>
      <c r="AT983" s="289"/>
    </row>
    <row r="984" spans="1:46" ht="15.75" customHeight="1" x14ac:dyDescent="0.25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  <c r="AC984" s="289"/>
      <c r="AD984" s="289"/>
      <c r="AE984" s="289"/>
      <c r="AF984" s="289"/>
      <c r="AG984" s="289"/>
      <c r="AH984" s="289"/>
      <c r="AI984" s="289"/>
      <c r="AJ984" s="289"/>
      <c r="AK984" s="289"/>
      <c r="AL984" s="289"/>
      <c r="AM984" s="289"/>
      <c r="AN984" s="289"/>
      <c r="AO984" s="289"/>
      <c r="AP984" s="289"/>
      <c r="AQ984" s="289"/>
      <c r="AR984" s="289"/>
      <c r="AS984" s="289"/>
      <c r="AT984" s="289"/>
    </row>
    <row r="985" spans="1:46" ht="15.75" customHeight="1" x14ac:dyDescent="0.25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  <c r="AC985" s="289"/>
      <c r="AD985" s="289"/>
      <c r="AE985" s="289"/>
      <c r="AF985" s="289"/>
      <c r="AG985" s="289"/>
      <c r="AH985" s="289"/>
      <c r="AI985" s="289"/>
      <c r="AJ985" s="289"/>
      <c r="AK985" s="289"/>
      <c r="AL985" s="289"/>
      <c r="AM985" s="289"/>
      <c r="AN985" s="289"/>
      <c r="AO985" s="289"/>
      <c r="AP985" s="289"/>
      <c r="AQ985" s="289"/>
      <c r="AR985" s="289"/>
      <c r="AS985" s="289"/>
      <c r="AT985" s="289"/>
    </row>
    <row r="986" spans="1:46" ht="15.75" customHeight="1" x14ac:dyDescent="0.25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  <c r="AC986" s="289"/>
      <c r="AD986" s="289"/>
      <c r="AE986" s="289"/>
      <c r="AF986" s="289"/>
      <c r="AG986" s="289"/>
      <c r="AH986" s="289"/>
      <c r="AI986" s="289"/>
      <c r="AJ986" s="289"/>
      <c r="AK986" s="289"/>
      <c r="AL986" s="289"/>
      <c r="AM986" s="289"/>
      <c r="AN986" s="289"/>
      <c r="AO986" s="289"/>
      <c r="AP986" s="289"/>
      <c r="AQ986" s="289"/>
      <c r="AR986" s="289"/>
      <c r="AS986" s="289"/>
      <c r="AT986" s="289"/>
    </row>
    <row r="987" spans="1:46" ht="15.75" customHeight="1" x14ac:dyDescent="0.25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  <c r="AC987" s="289"/>
      <c r="AD987" s="289"/>
      <c r="AE987" s="289"/>
      <c r="AF987" s="289"/>
      <c r="AG987" s="289"/>
      <c r="AH987" s="289"/>
      <c r="AI987" s="289"/>
      <c r="AJ987" s="289"/>
      <c r="AK987" s="289"/>
      <c r="AL987" s="289"/>
      <c r="AM987" s="289"/>
      <c r="AN987" s="289"/>
      <c r="AO987" s="289"/>
      <c r="AP987" s="289"/>
      <c r="AQ987" s="289"/>
      <c r="AR987" s="289"/>
      <c r="AS987" s="289"/>
      <c r="AT987" s="289"/>
    </row>
    <row r="988" spans="1:46" ht="15.75" customHeight="1" x14ac:dyDescent="0.25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  <c r="AC988" s="289"/>
      <c r="AD988" s="289"/>
      <c r="AE988" s="289"/>
      <c r="AF988" s="289"/>
      <c r="AG988" s="289"/>
      <c r="AH988" s="289"/>
      <c r="AI988" s="289"/>
      <c r="AJ988" s="289"/>
      <c r="AK988" s="289"/>
      <c r="AL988" s="289"/>
      <c r="AM988" s="289"/>
      <c r="AN988" s="289"/>
      <c r="AO988" s="289"/>
      <c r="AP988" s="289"/>
      <c r="AQ988" s="289"/>
      <c r="AR988" s="289"/>
      <c r="AS988" s="289"/>
      <c r="AT988" s="289"/>
    </row>
    <row r="989" spans="1:46" ht="15.75" customHeight="1" x14ac:dyDescent="0.25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  <c r="AC989" s="289"/>
      <c r="AD989" s="289"/>
      <c r="AE989" s="289"/>
      <c r="AF989" s="289"/>
      <c r="AG989" s="289"/>
      <c r="AH989" s="289"/>
      <c r="AI989" s="289"/>
      <c r="AJ989" s="289"/>
      <c r="AK989" s="289"/>
      <c r="AL989" s="289"/>
      <c r="AM989" s="289"/>
      <c r="AN989" s="289"/>
      <c r="AO989" s="289"/>
      <c r="AP989" s="289"/>
      <c r="AQ989" s="289"/>
      <c r="AR989" s="289"/>
      <c r="AS989" s="289"/>
      <c r="AT989" s="289"/>
    </row>
    <row r="990" spans="1:46" ht="15.75" customHeight="1" x14ac:dyDescent="0.25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  <c r="AC990" s="289"/>
      <c r="AD990" s="289"/>
      <c r="AE990" s="289"/>
      <c r="AF990" s="289"/>
      <c r="AG990" s="289"/>
      <c r="AH990" s="289"/>
      <c r="AI990" s="289"/>
      <c r="AJ990" s="289"/>
      <c r="AK990" s="289"/>
      <c r="AL990" s="289"/>
      <c r="AM990" s="289"/>
      <c r="AN990" s="289"/>
      <c r="AO990" s="289"/>
      <c r="AP990" s="289"/>
      <c r="AQ990" s="289"/>
      <c r="AR990" s="289"/>
      <c r="AS990" s="289"/>
      <c r="AT990" s="289"/>
    </row>
    <row r="991" spans="1:46" ht="15.75" customHeight="1" x14ac:dyDescent="0.25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  <c r="AC991" s="289"/>
      <c r="AD991" s="289"/>
      <c r="AE991" s="289"/>
      <c r="AF991" s="289"/>
      <c r="AG991" s="289"/>
      <c r="AH991" s="289"/>
      <c r="AI991" s="289"/>
      <c r="AJ991" s="289"/>
      <c r="AK991" s="289"/>
      <c r="AL991" s="289"/>
      <c r="AM991" s="289"/>
      <c r="AN991" s="289"/>
      <c r="AO991" s="289"/>
      <c r="AP991" s="289"/>
      <c r="AQ991" s="289"/>
      <c r="AR991" s="289"/>
      <c r="AS991" s="289"/>
      <c r="AT991" s="289"/>
    </row>
    <row r="992" spans="1:46" ht="15.75" customHeight="1" x14ac:dyDescent="0.25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  <c r="AC992" s="289"/>
      <c r="AD992" s="289"/>
      <c r="AE992" s="289"/>
      <c r="AF992" s="289"/>
      <c r="AG992" s="289"/>
      <c r="AH992" s="289"/>
      <c r="AI992" s="289"/>
      <c r="AJ992" s="289"/>
      <c r="AK992" s="289"/>
      <c r="AL992" s="289"/>
      <c r="AM992" s="289"/>
      <c r="AN992" s="289"/>
      <c r="AO992" s="289"/>
      <c r="AP992" s="289"/>
      <c r="AQ992" s="289"/>
      <c r="AR992" s="289"/>
      <c r="AS992" s="289"/>
      <c r="AT992" s="289"/>
    </row>
    <row r="993" spans="1:46" ht="15.75" customHeight="1" x14ac:dyDescent="0.25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  <c r="AC993" s="289"/>
      <c r="AD993" s="289"/>
      <c r="AE993" s="289"/>
      <c r="AF993" s="289"/>
      <c r="AG993" s="289"/>
      <c r="AH993" s="289"/>
      <c r="AI993" s="289"/>
      <c r="AJ993" s="289"/>
      <c r="AK993" s="289"/>
      <c r="AL993" s="289"/>
      <c r="AM993" s="289"/>
      <c r="AN993" s="289"/>
      <c r="AO993" s="289"/>
      <c r="AP993" s="289"/>
      <c r="AQ993" s="289"/>
      <c r="AR993" s="289"/>
      <c r="AS993" s="289"/>
      <c r="AT993" s="289"/>
    </row>
    <row r="994" spans="1:46" ht="15.75" customHeight="1" x14ac:dyDescent="0.25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  <c r="AC994" s="289"/>
      <c r="AD994" s="289"/>
      <c r="AE994" s="289"/>
      <c r="AF994" s="289"/>
      <c r="AG994" s="289"/>
      <c r="AH994" s="289"/>
      <c r="AI994" s="289"/>
      <c r="AJ994" s="289"/>
      <c r="AK994" s="289"/>
      <c r="AL994" s="289"/>
      <c r="AM994" s="289"/>
      <c r="AN994" s="289"/>
      <c r="AO994" s="289"/>
      <c r="AP994" s="289"/>
      <c r="AQ994" s="289"/>
      <c r="AR994" s="289"/>
      <c r="AS994" s="289"/>
      <c r="AT994" s="289"/>
    </row>
    <row r="995" spans="1:46" ht="15.75" customHeight="1" x14ac:dyDescent="0.25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  <c r="AC995" s="289"/>
      <c r="AD995" s="289"/>
      <c r="AE995" s="289"/>
      <c r="AF995" s="289"/>
      <c r="AG995" s="289"/>
      <c r="AH995" s="289"/>
      <c r="AI995" s="289"/>
      <c r="AJ995" s="289"/>
      <c r="AK995" s="289"/>
      <c r="AL995" s="289"/>
      <c r="AM995" s="289"/>
      <c r="AN995" s="289"/>
      <c r="AO995" s="289"/>
      <c r="AP995" s="289"/>
      <c r="AQ995" s="289"/>
      <c r="AR995" s="289"/>
      <c r="AS995" s="289"/>
      <c r="AT995" s="289"/>
    </row>
    <row r="996" spans="1:46" ht="15.75" customHeight="1" x14ac:dyDescent="0.25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  <c r="AC996" s="289"/>
      <c r="AD996" s="289"/>
      <c r="AE996" s="289"/>
      <c r="AF996" s="289"/>
      <c r="AG996" s="289"/>
      <c r="AH996" s="289"/>
      <c r="AI996" s="289"/>
      <c r="AJ996" s="289"/>
      <c r="AK996" s="289"/>
      <c r="AL996" s="289"/>
      <c r="AM996" s="289"/>
      <c r="AN996" s="289"/>
      <c r="AO996" s="289"/>
      <c r="AP996" s="289"/>
      <c r="AQ996" s="289"/>
      <c r="AR996" s="289"/>
      <c r="AS996" s="289"/>
      <c r="AT996" s="289"/>
    </row>
    <row r="997" spans="1:46" ht="15.75" customHeight="1" x14ac:dyDescent="0.25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  <c r="AC997" s="289"/>
      <c r="AD997" s="289"/>
      <c r="AE997" s="289"/>
      <c r="AF997" s="289"/>
      <c r="AG997" s="289"/>
      <c r="AH997" s="289"/>
      <c r="AI997" s="289"/>
      <c r="AJ997" s="289"/>
      <c r="AK997" s="289"/>
      <c r="AL997" s="289"/>
      <c r="AM997" s="289"/>
      <c r="AN997" s="289"/>
      <c r="AO997" s="289"/>
      <c r="AP997" s="289"/>
      <c r="AQ997" s="289"/>
      <c r="AR997" s="289"/>
      <c r="AS997" s="289"/>
      <c r="AT997" s="289"/>
    </row>
    <row r="998" spans="1:46" ht="15.75" customHeight="1" x14ac:dyDescent="0.25">
      <c r="A998" s="289"/>
      <c r="B998" s="289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  <c r="AC998" s="289"/>
      <c r="AD998" s="289"/>
      <c r="AE998" s="289"/>
      <c r="AF998" s="289"/>
      <c r="AG998" s="289"/>
      <c r="AH998" s="289"/>
      <c r="AI998" s="289"/>
      <c r="AJ998" s="289"/>
      <c r="AK998" s="289"/>
      <c r="AL998" s="289"/>
      <c r="AM998" s="289"/>
      <c r="AN998" s="289"/>
      <c r="AO998" s="289"/>
      <c r="AP998" s="289"/>
      <c r="AQ998" s="289"/>
      <c r="AR998" s="289"/>
      <c r="AS998" s="289"/>
      <c r="AT998" s="289"/>
    </row>
    <row r="999" spans="1:46" ht="15.75" customHeight="1" x14ac:dyDescent="0.25">
      <c r="A999" s="289"/>
      <c r="B999" s="289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  <c r="AC999" s="289"/>
      <c r="AD999" s="289"/>
      <c r="AE999" s="289"/>
      <c r="AF999" s="289"/>
      <c r="AG999" s="289"/>
      <c r="AH999" s="289"/>
      <c r="AI999" s="289"/>
      <c r="AJ999" s="289"/>
      <c r="AK999" s="289"/>
      <c r="AL999" s="289"/>
      <c r="AM999" s="289"/>
      <c r="AN999" s="289"/>
      <c r="AO999" s="289"/>
      <c r="AP999" s="289"/>
      <c r="AQ999" s="289"/>
      <c r="AR999" s="289"/>
      <c r="AS999" s="289"/>
      <c r="AT999" s="289"/>
    </row>
    <row r="1000" spans="1:46" ht="15.75" customHeight="1" x14ac:dyDescent="0.25">
      <c r="A1000" s="289"/>
      <c r="B1000" s="289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  <c r="AC1000" s="289"/>
      <c r="AD1000" s="289"/>
      <c r="AE1000" s="289"/>
      <c r="AF1000" s="289"/>
      <c r="AG1000" s="289"/>
      <c r="AH1000" s="289"/>
      <c r="AI1000" s="289"/>
      <c r="AJ1000" s="289"/>
      <c r="AK1000" s="289"/>
      <c r="AL1000" s="289"/>
      <c r="AM1000" s="289"/>
      <c r="AN1000" s="289"/>
      <c r="AO1000" s="289"/>
      <c r="AP1000" s="289"/>
      <c r="AQ1000" s="289"/>
      <c r="AR1000" s="289"/>
      <c r="AS1000" s="289"/>
      <c r="AT1000" s="289"/>
    </row>
  </sheetData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/>
  </sheetViews>
  <sheetFormatPr defaultRowHeight="15" x14ac:dyDescent="0.25"/>
  <sheetData/>
  <sheetProtection sheet="1" objects="1" selectLockedCells="1" selectUnlockedCell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0006"/>
  </sheetPr>
  <dimension ref="A1:BB1000"/>
  <sheetViews>
    <sheetView topLeftCell="A38" workbookViewId="0">
      <selection activeCell="E69" sqref="E69"/>
    </sheetView>
  </sheetViews>
  <sheetFormatPr defaultColWidth="12.7109375" defaultRowHeight="15" customHeight="1" outlineLevelCol="2" x14ac:dyDescent="0.25"/>
  <cols>
    <col min="1" max="1" width="7.42578125" customWidth="1"/>
    <col min="2" max="2" width="22" customWidth="1" outlineLevel="1"/>
    <col min="3" max="3" width="10" customWidth="1" outlineLevel="1"/>
    <col min="4" max="5" width="11.7109375" customWidth="1" outlineLevel="1"/>
    <col min="6" max="6" width="12.7109375" customWidth="1" outlineLevel="1"/>
    <col min="7" max="7" width="9" customWidth="1" outlineLevel="1"/>
    <col min="8" max="8" width="3.28515625" customWidth="1" outlineLevel="2"/>
    <col min="9" max="9" width="21.42578125" customWidth="1" outlineLevel="2"/>
    <col min="10" max="10" width="10" customWidth="1" outlineLevel="2"/>
    <col min="11" max="13" width="12.42578125" customWidth="1" outlineLevel="2"/>
    <col min="14" max="14" width="9" customWidth="1" outlineLevel="2"/>
    <col min="15" max="15" width="3.7109375" customWidth="1" outlineLevel="2"/>
    <col min="16" max="16" width="8.7109375" customWidth="1"/>
    <col min="17" max="17" width="7.28515625" customWidth="1"/>
    <col min="18" max="18" width="17.140625" customWidth="1" outlineLevel="1"/>
    <col min="19" max="19" width="12.42578125" customWidth="1" outlineLevel="1"/>
    <col min="20" max="20" width="12.7109375" customWidth="1" outlineLevel="1"/>
    <col min="21" max="21" width="13.42578125" customWidth="1" outlineLevel="1"/>
    <col min="22" max="22" width="12.28515625" customWidth="1" outlineLevel="1"/>
    <col min="23" max="23" width="11" customWidth="1" outlineLevel="1"/>
    <col min="24" max="24" width="12.28515625" customWidth="1" outlineLevel="1"/>
    <col min="25" max="25" width="12.85546875" customWidth="1" outlineLevel="1"/>
    <col min="26" max="26" width="11" customWidth="1" outlineLevel="1"/>
    <col min="27" max="27" width="10.7109375" customWidth="1" outlineLevel="1"/>
    <col min="28" max="28" width="10.28515625" customWidth="1" outlineLevel="1"/>
    <col min="29" max="29" width="12.140625" customWidth="1" outlineLevel="1"/>
    <col min="30" max="30" width="12.7109375" customWidth="1" outlineLevel="1"/>
    <col min="31" max="31" width="13.28515625" customWidth="1" outlineLevel="1"/>
    <col min="32" max="32" width="12.28515625" customWidth="1" outlineLevel="1"/>
    <col min="33" max="54" width="11" customWidth="1" outlineLevel="1"/>
  </cols>
  <sheetData>
    <row r="1" spans="1:54" ht="14.25" customHeight="1" x14ac:dyDescent="0.25">
      <c r="A1" s="106" t="s">
        <v>145</v>
      </c>
      <c r="B1" s="9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53" t="s">
        <v>160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</row>
    <row r="2" spans="1:54" ht="14.25" customHeight="1" x14ac:dyDescent="0.25">
      <c r="A2" s="106" t="s">
        <v>578</v>
      </c>
      <c r="B2" s="9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153" t="s">
        <v>578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</row>
    <row r="3" spans="1:54" ht="14.25" customHeight="1" x14ac:dyDescent="0.25">
      <c r="A3" s="348"/>
      <c r="B3" s="1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349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</row>
    <row r="4" spans="1:54" ht="14.25" customHeight="1" x14ac:dyDescent="0.25">
      <c r="A4" s="348"/>
      <c r="B4" s="11" t="s">
        <v>579</v>
      </c>
      <c r="C4" s="22"/>
      <c r="D4" s="22"/>
      <c r="E4" s="22"/>
      <c r="F4" s="22"/>
      <c r="G4" s="22"/>
      <c r="H4" s="22"/>
      <c r="I4" s="22" t="s">
        <v>580</v>
      </c>
      <c r="J4" s="22"/>
      <c r="K4" s="22"/>
      <c r="L4" s="22"/>
      <c r="M4" s="22"/>
      <c r="N4" s="22"/>
      <c r="O4" s="22"/>
      <c r="P4" s="22"/>
      <c r="Q4" s="349"/>
      <c r="R4" s="22"/>
      <c r="S4" s="35">
        <v>45658</v>
      </c>
      <c r="T4" s="35">
        <v>45689</v>
      </c>
      <c r="U4" s="35">
        <v>45717</v>
      </c>
      <c r="V4" s="35">
        <v>45748</v>
      </c>
      <c r="W4" s="35">
        <v>45778</v>
      </c>
      <c r="X4" s="35">
        <v>45809</v>
      </c>
      <c r="Y4" s="35">
        <v>45839</v>
      </c>
      <c r="Z4" s="35">
        <v>45870</v>
      </c>
      <c r="AA4" s="36">
        <v>45901</v>
      </c>
      <c r="AB4" s="36">
        <v>45931</v>
      </c>
      <c r="AC4" s="36">
        <v>45962</v>
      </c>
      <c r="AD4" s="36">
        <v>45992</v>
      </c>
      <c r="AE4" s="38">
        <v>46023</v>
      </c>
      <c r="AF4" s="39">
        <v>46054</v>
      </c>
      <c r="AG4" s="39">
        <v>46082</v>
      </c>
      <c r="AH4" s="39">
        <v>46113</v>
      </c>
      <c r="AI4" s="39">
        <v>46143</v>
      </c>
      <c r="AJ4" s="39">
        <v>46174</v>
      </c>
      <c r="AK4" s="39">
        <v>46204</v>
      </c>
      <c r="AL4" s="39">
        <v>46235</v>
      </c>
      <c r="AM4" s="39">
        <v>46266</v>
      </c>
      <c r="AN4" s="39">
        <v>46296</v>
      </c>
      <c r="AO4" s="39">
        <v>46327</v>
      </c>
      <c r="AP4" s="39">
        <v>46357</v>
      </c>
      <c r="AQ4" s="40">
        <v>46388</v>
      </c>
      <c r="AR4" s="36">
        <v>46419</v>
      </c>
      <c r="AS4" s="36">
        <v>46447</v>
      </c>
      <c r="AT4" s="36">
        <v>46478</v>
      </c>
      <c r="AU4" s="36">
        <v>46508</v>
      </c>
      <c r="AV4" s="36">
        <v>46539</v>
      </c>
      <c r="AW4" s="36">
        <v>46569</v>
      </c>
      <c r="AX4" s="36">
        <v>46600</v>
      </c>
      <c r="AY4" s="36">
        <v>46631</v>
      </c>
      <c r="AZ4" s="36">
        <v>46661</v>
      </c>
      <c r="BA4" s="36">
        <v>46692</v>
      </c>
      <c r="BB4" s="36">
        <v>46722</v>
      </c>
    </row>
    <row r="5" spans="1:54" ht="14.25" customHeight="1" x14ac:dyDescent="0.25">
      <c r="A5" s="348"/>
      <c r="B5" s="1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349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</row>
    <row r="6" spans="1:54" ht="14.25" customHeight="1" x14ac:dyDescent="0.25">
      <c r="A6" s="348">
        <f>'Monthly Financial Reports'!C3</f>
        <v>0</v>
      </c>
      <c r="B6" s="11"/>
      <c r="C6" s="22">
        <f>'Monthly Financial Reports'!BB3</f>
        <v>2024</v>
      </c>
      <c r="D6" s="22">
        <f>'Monthly Financial Reports'!BC3</f>
        <v>2025</v>
      </c>
      <c r="E6" s="22">
        <f>'Monthly Financial Reports'!BD3</f>
        <v>2026</v>
      </c>
      <c r="F6" s="22">
        <f>'Monthly Financial Reports'!BE3</f>
        <v>2027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349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</row>
    <row r="7" spans="1:54" ht="14.25" customHeight="1" x14ac:dyDescent="0.25">
      <c r="A7" s="348"/>
      <c r="B7" s="11"/>
      <c r="C7" s="22"/>
      <c r="D7" s="22"/>
      <c r="E7" s="22"/>
      <c r="F7" s="22"/>
      <c r="G7" s="22"/>
      <c r="H7" s="22"/>
      <c r="I7" s="22"/>
      <c r="J7" s="81">
        <v>2024</v>
      </c>
      <c r="K7" s="81">
        <v>2025</v>
      </c>
      <c r="L7" s="81">
        <v>2026</v>
      </c>
      <c r="M7" s="81">
        <v>2027</v>
      </c>
      <c r="N7" s="22"/>
      <c r="O7" s="22"/>
      <c r="P7" s="22"/>
      <c r="Q7" s="349"/>
      <c r="R7" s="22" t="s">
        <v>52</v>
      </c>
      <c r="S7" s="11">
        <f>'Monthly Financial Reports'!Q66</f>
        <v>1337303.1200000001</v>
      </c>
      <c r="T7" s="11">
        <f>'Monthly Financial Reports'!R66</f>
        <v>1111183.3799999999</v>
      </c>
      <c r="U7" s="11">
        <f>'Monthly Financial Reports'!S66</f>
        <v>1210604.0741666665</v>
      </c>
      <c r="V7" s="11">
        <f>'Monthly Financial Reports'!T66</f>
        <v>615697.93041666644</v>
      </c>
      <c r="W7" s="11">
        <f>'Monthly Financial Reports'!U66</f>
        <v>985758.14249999973</v>
      </c>
      <c r="X7" s="11">
        <f>'Monthly Financial Reports'!V66</f>
        <v>994792.37458333315</v>
      </c>
      <c r="Y7" s="11">
        <f>'Monthly Financial Reports'!W66</f>
        <v>907889.66449808714</v>
      </c>
      <c r="Z7" s="11">
        <f>'Monthly Financial Reports'!X66</f>
        <v>1040575.3779627511</v>
      </c>
      <c r="AA7" s="11">
        <f>'Monthly Financial Reports'!Y66</f>
        <v>1383801.4254294704</v>
      </c>
      <c r="AB7" s="11">
        <f>'Monthly Financial Reports'!Z66</f>
        <v>1799322.2587628036</v>
      </c>
      <c r="AC7" s="11">
        <f>'Monthly Financial Reports'!AA66</f>
        <v>2280989.6121854587</v>
      </c>
      <c r="AD7" s="11">
        <f>'Monthly Financial Reports'!AB66</f>
        <v>2602593.568843523</v>
      </c>
      <c r="AE7" s="11">
        <f>'Monthly Financial Reports'!AC66</f>
        <v>2731799.1136222663</v>
      </c>
      <c r="AF7" s="11">
        <f>'Monthly Financial Reports'!AD66</f>
        <v>2681532.7506324728</v>
      </c>
      <c r="AG7" s="11">
        <f>'Monthly Financial Reports'!AE66</f>
        <v>2551489.1909924438</v>
      </c>
      <c r="AH7" s="11">
        <f>'Monthly Financial Reports'!AF66</f>
        <v>1093281.8213981355</v>
      </c>
      <c r="AI7" s="11">
        <f>'Monthly Financial Reports'!AG66</f>
        <v>941770.26760992152</v>
      </c>
      <c r="AJ7" s="11">
        <f>'Monthly Financial Reports'!AH66</f>
        <v>979700.45042585232</v>
      </c>
      <c r="AK7" s="11">
        <f>'Monthly Financial Reports'!AI66</f>
        <v>1629081.4550844317</v>
      </c>
      <c r="AL7" s="11">
        <f>'Monthly Financial Reports'!AJ66</f>
        <v>2692093.2502581351</v>
      </c>
      <c r="AM7" s="11">
        <f>'Monthly Financial Reports'!AK66</f>
        <v>3814639.3019021759</v>
      </c>
      <c r="AN7" s="11">
        <f>'Monthly Financial Reports'!AL66</f>
        <v>5851482.8733825609</v>
      </c>
      <c r="AO7" s="11">
        <f>'Monthly Financial Reports'!AM66</f>
        <v>8489562.9049472157</v>
      </c>
      <c r="AP7" s="11">
        <f>'Monthly Financial Reports'!AN66</f>
        <v>11389945.257901916</v>
      </c>
      <c r="AQ7" s="11">
        <f>'Monthly Financial Reports'!AO66</f>
        <v>15190343.202686492</v>
      </c>
      <c r="AR7" s="11">
        <f>'Monthly Financial Reports'!AP66</f>
        <v>19423004.681849401</v>
      </c>
      <c r="AS7" s="11">
        <f>'Monthly Financial Reports'!AQ66</f>
        <v>24432162.820696138</v>
      </c>
      <c r="AT7" s="11">
        <f>'Monthly Financial Reports'!AR66</f>
        <v>21164612.986348581</v>
      </c>
      <c r="AU7" s="11">
        <f>'Monthly Financial Reports'!AS66</f>
        <v>27514038.675587576</v>
      </c>
      <c r="AV7" s="11">
        <f>'Monthly Financial Reports'!AT66</f>
        <v>34277634.530774914</v>
      </c>
      <c r="AW7" s="11">
        <f>'Monthly Financial Reports'!AU66</f>
        <v>37988279.800423302</v>
      </c>
      <c r="AX7" s="11">
        <f>'Monthly Financial Reports'!AV66</f>
        <v>42017996.264600612</v>
      </c>
      <c r="AY7" s="11">
        <f>'Monthly Financial Reports'!AW66</f>
        <v>46797014.810661286</v>
      </c>
      <c r="AZ7" s="11">
        <f>'Monthly Financial Reports'!AX66</f>
        <v>52089906.815788522</v>
      </c>
      <c r="BA7" s="11">
        <f>'Monthly Financial Reports'!AY66</f>
        <v>57776986.962238692</v>
      </c>
      <c r="BB7" s="11">
        <f>'Monthly Financial Reports'!AZ66</f>
        <v>64205897.95310872</v>
      </c>
    </row>
    <row r="8" spans="1:54" ht="14.25" customHeight="1" x14ac:dyDescent="0.25">
      <c r="A8" s="106" t="str">
        <f>'Monthly Financial Reports'!C5</f>
        <v>Revenue</v>
      </c>
      <c r="B8" s="9"/>
      <c r="C8" s="9">
        <f>'Monthly Financial Reports'!BB5</f>
        <v>7078783.0700000003</v>
      </c>
      <c r="D8" s="9">
        <f>'Monthly Financial Reports'!BC5</f>
        <v>14671987</v>
      </c>
      <c r="E8" s="9">
        <f>'Monthly Financial Reports'!BD5</f>
        <v>66233628.728470087</v>
      </c>
      <c r="F8" s="9">
        <f>'Monthly Financial Reports'!BE5</f>
        <v>178114253.24587882</v>
      </c>
      <c r="G8" s="46"/>
      <c r="H8" s="9" t="str">
        <f>A8</f>
        <v>Revenue</v>
      </c>
      <c r="I8" s="46"/>
      <c r="J8" s="46"/>
      <c r="K8" s="46"/>
      <c r="L8" s="46"/>
      <c r="M8" s="46"/>
      <c r="N8" s="46"/>
      <c r="O8" s="46"/>
      <c r="P8" s="46"/>
      <c r="Q8" s="153"/>
      <c r="R8" s="22" t="s">
        <v>53</v>
      </c>
      <c r="S8" s="11">
        <f>'Monthly Financial Reports'!Q67</f>
        <v>0</v>
      </c>
      <c r="T8" s="11">
        <f>'Monthly Financial Reports'!R67</f>
        <v>0</v>
      </c>
      <c r="U8" s="11">
        <f>'Monthly Financial Reports'!S67</f>
        <v>0</v>
      </c>
      <c r="V8" s="11">
        <f>'Monthly Financial Reports'!T67</f>
        <v>12010</v>
      </c>
      <c r="W8" s="11">
        <f>'Monthly Financial Reports'!U67</f>
        <v>70315</v>
      </c>
      <c r="X8" s="11">
        <f>'Monthly Financial Reports'!V67</f>
        <v>221000</v>
      </c>
      <c r="Y8" s="11">
        <f>'Monthly Financial Reports'!W67</f>
        <v>1675882.6994061866</v>
      </c>
      <c r="Z8" s="11">
        <f>'Monthly Financial Reports'!X67</f>
        <v>2163693.6391333863</v>
      </c>
      <c r="AA8" s="11">
        <f>'Monthly Financial Reports'!Y67</f>
        <v>2744808</v>
      </c>
      <c r="AB8" s="11">
        <f>'Monthly Financial Reports'!Z67</f>
        <v>3162834.8</v>
      </c>
      <c r="AC8" s="11">
        <f>'Monthly Financial Reports'!AA67</f>
        <v>3925867.8</v>
      </c>
      <c r="AD8" s="11">
        <f>'Monthly Financial Reports'!AB67</f>
        <v>4907723.5999999996</v>
      </c>
      <c r="AE8" s="11">
        <f>'Monthly Financial Reports'!AC67</f>
        <v>6130291.9333333336</v>
      </c>
      <c r="AF8" s="11">
        <f>'Monthly Financial Reports'!AD67</f>
        <v>7592712.8000000007</v>
      </c>
      <c r="AG8" s="11">
        <f>'Monthly Financial Reports'!AE67</f>
        <v>9217436.4666666668</v>
      </c>
      <c r="AH8" s="11">
        <f>'Monthly Financial Reports'!AF67</f>
        <v>11057155.733333334</v>
      </c>
      <c r="AI8" s="11">
        <f>'Monthly Financial Reports'!AG67</f>
        <v>13203868.6</v>
      </c>
      <c r="AJ8" s="11">
        <f>'Monthly Financial Reports'!AH67</f>
        <v>15471578.866666665</v>
      </c>
      <c r="AK8" s="11">
        <f>'Monthly Financial Reports'!AI67</f>
        <v>17850286.93333333</v>
      </c>
      <c r="AL8" s="11">
        <f>'Monthly Financial Reports'!AJ67</f>
        <v>21099894.399999999</v>
      </c>
      <c r="AM8" s="11">
        <f>'Monthly Financial Reports'!AK67</f>
        <v>23613599.866666671</v>
      </c>
      <c r="AN8" s="11">
        <f>'Monthly Financial Reports'!AL67</f>
        <v>26867394.633333337</v>
      </c>
      <c r="AO8" s="11">
        <f>'Monthly Financial Reports'!AM67</f>
        <v>29182291.600000001</v>
      </c>
      <c r="AP8" s="11">
        <f>'Monthly Financial Reports'!AN67</f>
        <v>31388190.966666669</v>
      </c>
      <c r="AQ8" s="11">
        <f>'Monthly Financial Reports'!AO67</f>
        <v>34339304.833333336</v>
      </c>
      <c r="AR8" s="11">
        <f>'Monthly Financial Reports'!AP67</f>
        <v>36340446.100000001</v>
      </c>
      <c r="AS8" s="11">
        <f>'Monthly Financial Reports'!AQ67</f>
        <v>39067489.766666666</v>
      </c>
      <c r="AT8" s="11">
        <f>'Monthly Financial Reports'!AR67</f>
        <v>40858635.233333334</v>
      </c>
      <c r="AU8" s="11">
        <f>'Monthly Financial Reports'!AS67</f>
        <v>43385682.700000003</v>
      </c>
      <c r="AV8" s="11">
        <f>'Monthly Financial Reports'!AT67</f>
        <v>44985832.166666664</v>
      </c>
      <c r="AW8" s="11">
        <f>'Monthly Financial Reports'!AU67</f>
        <v>46505983.433333337</v>
      </c>
      <c r="AX8" s="11">
        <f>'Monthly Financial Reports'!AV67</f>
        <v>50810548.800000004</v>
      </c>
      <c r="AY8" s="11">
        <f>'Monthly Financial Reports'!AW67</f>
        <v>53021815.566666663</v>
      </c>
      <c r="AZ8" s="11">
        <f>'Monthly Financial Reports'!AX67</f>
        <v>54325184.133333333</v>
      </c>
      <c r="BA8" s="11">
        <f>'Monthly Financial Reports'!AY67</f>
        <v>55558554.100000009</v>
      </c>
      <c r="BB8" s="11">
        <f>'Monthly Financial Reports'!AZ67</f>
        <v>59583125.066666663</v>
      </c>
    </row>
    <row r="9" spans="1:54" ht="14.25" customHeight="1" x14ac:dyDescent="0.25">
      <c r="A9" s="348"/>
      <c r="B9" s="11" t="str">
        <f>'Monthly Financial Reports'!D6</f>
        <v>VA Mental Health</v>
      </c>
      <c r="C9" s="11">
        <f>'Monthly Financial Reports'!BB6</f>
        <v>6970768.0700000003</v>
      </c>
      <c r="D9" s="11">
        <f>'Monthly Financial Reports'!BC6</f>
        <v>10955547</v>
      </c>
      <c r="E9" s="11">
        <f>'Monthly Financial Reports'!BD6</f>
        <v>17132940</v>
      </c>
      <c r="F9" s="11">
        <f>'Monthly Financial Reports'!BE6</f>
        <v>21077100</v>
      </c>
      <c r="G9" s="22"/>
      <c r="H9" s="22"/>
      <c r="I9" s="11" t="str">
        <f t="shared" ref="I9:M9" si="0">B9</f>
        <v>VA Mental Health</v>
      </c>
      <c r="J9" s="11">
        <f t="shared" si="0"/>
        <v>6970768.0700000003</v>
      </c>
      <c r="K9" s="11">
        <f t="shared" si="0"/>
        <v>10955547</v>
      </c>
      <c r="L9" s="11">
        <f t="shared" si="0"/>
        <v>17132940</v>
      </c>
      <c r="M9" s="11">
        <f t="shared" si="0"/>
        <v>21077100</v>
      </c>
      <c r="N9" s="22"/>
      <c r="O9" s="22"/>
      <c r="P9" s="22"/>
      <c r="Q9" s="349"/>
      <c r="R9" s="22" t="s">
        <v>12</v>
      </c>
      <c r="S9" s="11">
        <f>'Monthly Financial Reports'!Q5</f>
        <v>697873</v>
      </c>
      <c r="T9" s="11">
        <f>'Monthly Financial Reports'!R5</f>
        <v>605304</v>
      </c>
      <c r="U9" s="11">
        <f>'Monthly Financial Reports'!S5</f>
        <v>937772</v>
      </c>
      <c r="V9" s="11">
        <f>'Monthly Financial Reports'!T5</f>
        <v>850512</v>
      </c>
      <c r="W9" s="11">
        <f>'Monthly Financial Reports'!U5</f>
        <v>991397</v>
      </c>
      <c r="X9" s="11">
        <f>'Monthly Financial Reports'!V5</f>
        <v>951240</v>
      </c>
      <c r="Y9" s="11">
        <f>'Monthly Financial Reports'!W5</f>
        <v>1034942.6</v>
      </c>
      <c r="Z9" s="11">
        <f>'Monthly Financial Reports'!X5</f>
        <v>1263146.6000000001</v>
      </c>
      <c r="AA9" s="11">
        <f>'Monthly Financial Reports'!Y5</f>
        <v>1537039.2</v>
      </c>
      <c r="AB9" s="11">
        <f>'Monthly Financial Reports'!Z5</f>
        <v>1593096.8</v>
      </c>
      <c r="AC9" s="11">
        <f>'Monthly Financial Reports'!AA5</f>
        <v>1981583</v>
      </c>
      <c r="AD9" s="11">
        <f>'Monthly Financial Reports'!AB5</f>
        <v>2228080.7999999998</v>
      </c>
      <c r="AE9" s="11">
        <f>'Monthly Financial Reports'!AC5</f>
        <v>2656798.333333333</v>
      </c>
      <c r="AF9" s="11">
        <f>'Monthly Financial Reports'!AD5</f>
        <v>3078515.8666666667</v>
      </c>
      <c r="AG9" s="11">
        <f>'Monthly Financial Reports'!AE5</f>
        <v>3495233.6</v>
      </c>
      <c r="AH9" s="11">
        <f>'Monthly Financial Reports'!AF5</f>
        <v>3899951.5333333332</v>
      </c>
      <c r="AI9" s="11">
        <f>'Monthly Financial Reports'!AG5</f>
        <v>4297669.4666666668</v>
      </c>
      <c r="AJ9" s="11">
        <f>'Monthly Financial Reports'!AH5</f>
        <v>4719996.9666666668</v>
      </c>
      <c r="AK9" s="11">
        <f>'Monthly Financial Reports'!AI5</f>
        <v>5962647.5083333328</v>
      </c>
      <c r="AL9" s="11">
        <f>'Monthly Financial Reports'!AJ5</f>
        <v>6361094.3040833334</v>
      </c>
      <c r="AM9" s="11">
        <f>'Monthly Financial Reports'!AK5</f>
        <v>6750537.1731274994</v>
      </c>
      <c r="AN9" s="11">
        <f>'Monthly Financial Reports'!AL5</f>
        <v>7965392.5101836752</v>
      </c>
      <c r="AO9" s="11">
        <f>'Monthly Financial Reports'!AM5</f>
        <v>8339033.9202198312</v>
      </c>
      <c r="AP9" s="11">
        <f>'Monthly Financial Reports'!AN5</f>
        <v>8706757.5458557364</v>
      </c>
      <c r="AQ9" s="11">
        <f>'Monthly Financial Reports'!AO5</f>
        <v>9919983.9717152994</v>
      </c>
      <c r="AR9" s="11">
        <f>'Monthly Financial Reports'!AP5</f>
        <v>10291858.497158626</v>
      </c>
      <c r="AS9" s="11">
        <f>'Monthly Financial Reports'!AQ5</f>
        <v>11487420.729290616</v>
      </c>
      <c r="AT9" s="11">
        <f>'Monthly Financial Reports'!AR5</f>
        <v>11843384.650995718</v>
      </c>
      <c r="AU9" s="11">
        <f>'Monthly Financial Reports'!AS5</f>
        <v>13028923.196349708</v>
      </c>
      <c r="AV9" s="11">
        <f>'Monthly Financial Reports'!AT5</f>
        <v>13379637.440667121</v>
      </c>
      <c r="AW9" s="11">
        <f>'Monthly Financial Reports'!AU5</f>
        <v>13728859.741164975</v>
      </c>
      <c r="AX9" s="11">
        <f>'Monthly Financial Reports'!AV5</f>
        <v>16938469.164118659</v>
      </c>
      <c r="AY9" s="11">
        <f>'Monthly Financial Reports'!AW5</f>
        <v>18126256.113452155</v>
      </c>
      <c r="AZ9" s="11">
        <f>'Monthly Financial Reports'!AX5</f>
        <v>18481162.976899542</v>
      </c>
      <c r="BA9" s="11">
        <f>'Monthly Financial Reports'!AY5</f>
        <v>18836674.607164919</v>
      </c>
      <c r="BB9" s="11">
        <f>'Monthly Financial Reports'!AZ5</f>
        <v>22051622.156901456</v>
      </c>
    </row>
    <row r="10" spans="1:54" ht="14.25" customHeight="1" x14ac:dyDescent="0.25">
      <c r="A10" s="348"/>
      <c r="B10" s="11" t="str">
        <f>'Monthly Financial Reports'!D7</f>
        <v>VA Medical Exams</v>
      </c>
      <c r="C10" s="11">
        <f>'Monthly Financial Reports'!BB7</f>
        <v>108015</v>
      </c>
      <c r="D10" s="11">
        <f>'Monthly Financial Reports'!BC7</f>
        <v>1040988</v>
      </c>
      <c r="E10" s="11">
        <f>'Monthly Financial Reports'!BD7</f>
        <v>4956619.9999999991</v>
      </c>
      <c r="F10" s="11">
        <f>'Monthly Financial Reports'!BE7</f>
        <v>9468620.0000000037</v>
      </c>
      <c r="G10" s="22"/>
      <c r="H10" s="22"/>
      <c r="I10" s="11" t="str">
        <f t="shared" ref="I10:M10" si="1">B10</f>
        <v>VA Medical Exams</v>
      </c>
      <c r="J10" s="11">
        <f t="shared" si="1"/>
        <v>108015</v>
      </c>
      <c r="K10" s="11">
        <f t="shared" si="1"/>
        <v>1040988</v>
      </c>
      <c r="L10" s="11">
        <f t="shared" si="1"/>
        <v>4956619.9999999991</v>
      </c>
      <c r="M10" s="11">
        <f t="shared" si="1"/>
        <v>9468620.0000000037</v>
      </c>
      <c r="N10" s="22"/>
      <c r="O10" s="22"/>
      <c r="P10" s="22"/>
      <c r="Q10" s="349"/>
      <c r="R10" s="22" t="s">
        <v>22</v>
      </c>
      <c r="S10" s="11">
        <f>'Monthly Financial Reports'!Q17</f>
        <v>273063.13</v>
      </c>
      <c r="T10" s="11">
        <f>'Monthly Financial Reports'!R17</f>
        <v>177084.75</v>
      </c>
      <c r="U10" s="11">
        <f>'Monthly Financial Reports'!S17</f>
        <v>295550.75166666659</v>
      </c>
      <c r="V10" s="11">
        <f>'Monthly Financial Reports'!T17</f>
        <v>142036.1416666666</v>
      </c>
      <c r="W10" s="11">
        <f>'Monthly Financial Reports'!U17</f>
        <v>487224.99333333329</v>
      </c>
      <c r="X10" s="11">
        <f>'Monthly Financial Reports'!V17</f>
        <v>372751.07499999995</v>
      </c>
      <c r="Y10" s="11">
        <f>'Monthly Financial Reports'!W17</f>
        <v>536262.6</v>
      </c>
      <c r="Z10" s="11">
        <f>'Monthly Financial Reports'!X17</f>
        <v>774186.60000000009</v>
      </c>
      <c r="AA10" s="11">
        <f>'Monthly Financial Reports'!Y17</f>
        <v>1023248.2</v>
      </c>
      <c r="AB10" s="11">
        <f>'Monthly Financial Reports'!Z17</f>
        <v>1052166.8</v>
      </c>
      <c r="AC10" s="11">
        <f>'Monthly Financial Reports'!AA17</f>
        <v>1308743.9784226546</v>
      </c>
      <c r="AD10" s="11">
        <f>'Monthly Financial Reports'!AB17</f>
        <v>1471544.3816580637</v>
      </c>
      <c r="AE10" s="11">
        <f>'Monthly Financial Reports'!AC17</f>
        <v>1754692.4961676318</v>
      </c>
      <c r="AF10" s="11">
        <f>'Monthly Financial Reports'!AD17</f>
        <v>2033217.4342324291</v>
      </c>
      <c r="AG10" s="11">
        <f>'Monthly Financial Reports'!AE17</f>
        <v>2308440.23549886</v>
      </c>
      <c r="AH10" s="11">
        <f>'Monthly Financial Reports'!AF17</f>
        <v>2575737.7235221528</v>
      </c>
      <c r="AI10" s="11">
        <f>'Monthly Financial Reports'!AG17</f>
        <v>2838412.0351006752</v>
      </c>
      <c r="AJ10" s="11">
        <f>'Monthly Financial Reports'!AH17</f>
        <v>3117339.8279548194</v>
      </c>
      <c r="AK10" s="11">
        <f>'Monthly Financial Reports'!AI17</f>
        <v>3938053.0727141351</v>
      </c>
      <c r="AL10" s="11">
        <f>'Monthly Financial Reports'!AJ17</f>
        <v>4201208.7642292595</v>
      </c>
      <c r="AM10" s="11">
        <f>'Monthly Financial Reports'!AK17</f>
        <v>4458417.7783362614</v>
      </c>
      <c r="AN10" s="11">
        <f>'Monthly Financial Reports'!AL17</f>
        <v>5260773.5752051752</v>
      </c>
      <c r="AO10" s="11">
        <f>'Monthly Financial Reports'!AM17</f>
        <v>5507546.4560151994</v>
      </c>
      <c r="AP10" s="11">
        <f>'Monthly Financial Reports'!AN17</f>
        <v>5750410.9137617266</v>
      </c>
      <c r="AQ10" s="11">
        <f>'Monthly Financial Reports'!AO17</f>
        <v>6551690.8900770973</v>
      </c>
      <c r="AR10" s="11">
        <f>'Monthly Financial Reports'!AP17</f>
        <v>6797296.8252828075</v>
      </c>
      <c r="AS10" s="11">
        <f>'Monthly Financial Reports'!AQ17</f>
        <v>7586910.4181185802</v>
      </c>
      <c r="AT10" s="11">
        <f>'Monthly Financial Reports'!AR17</f>
        <v>7822008.1349779125</v>
      </c>
      <c r="AU10" s="11">
        <f>'Monthly Financial Reports'!AS17</f>
        <v>8605001.546013426</v>
      </c>
      <c r="AV10" s="11">
        <f>'Monthly Financial Reports'!AT17</f>
        <v>8836632.0936097</v>
      </c>
      <c r="AW10" s="11">
        <f>'Monthly Financial Reports'!AU17</f>
        <v>5524115.7558123246</v>
      </c>
      <c r="AX10" s="11">
        <f>'Monthly Financial Reports'!AV17</f>
        <v>6202652.7017304618</v>
      </c>
      <c r="AY10" s="11">
        <f>'Monthly Financial Reports'!AW17</f>
        <v>6508973.7083451208</v>
      </c>
      <c r="AZ10" s="11">
        <f>'Monthly Financial Reports'!AX17</f>
        <v>6713236.836827999</v>
      </c>
      <c r="BA10" s="11">
        <f>'Monthly Financial Reports'!AY17</f>
        <v>6914371.2226750515</v>
      </c>
      <c r="BB10" s="11">
        <f>'Monthly Financial Reports'!AZ17</f>
        <v>8094480.837768821</v>
      </c>
    </row>
    <row r="11" spans="1:54" ht="14.25" customHeight="1" x14ac:dyDescent="0.25">
      <c r="A11" s="348"/>
      <c r="B11" s="11" t="str">
        <f>'Monthly Financial Reports'!D8</f>
        <v>Personal Injury</v>
      </c>
      <c r="C11" s="11">
        <f>'Monthly Financial Reports'!BB8</f>
        <v>0</v>
      </c>
      <c r="D11" s="11">
        <f>'Monthly Financial Reports'!BC8</f>
        <v>2547952</v>
      </c>
      <c r="E11" s="11">
        <f>'Monthly Financial Reports'!BD8</f>
        <v>27817424.600000005</v>
      </c>
      <c r="F11" s="11">
        <f>'Monthly Financial Reports'!BE8</f>
        <v>50932946.000000007</v>
      </c>
      <c r="G11" s="22"/>
      <c r="H11" s="22"/>
      <c r="I11" s="11" t="str">
        <f t="shared" ref="I11:M11" si="2">B11</f>
        <v>Personal Injury</v>
      </c>
      <c r="J11" s="11">
        <f t="shared" si="2"/>
        <v>0</v>
      </c>
      <c r="K11" s="11">
        <f t="shared" si="2"/>
        <v>2547952</v>
      </c>
      <c r="L11" s="11">
        <f t="shared" si="2"/>
        <v>27817424.600000005</v>
      </c>
      <c r="M11" s="11">
        <f t="shared" si="2"/>
        <v>50932946.000000007</v>
      </c>
      <c r="N11" s="22"/>
      <c r="O11" s="22"/>
      <c r="P11" s="22"/>
      <c r="Q11" s="349"/>
      <c r="R11" s="22" t="s">
        <v>29</v>
      </c>
      <c r="S11" s="11">
        <f>'Monthly Financial Reports'!Q26</f>
        <v>98401.12</v>
      </c>
      <c r="T11" s="11">
        <f>'Monthly Financial Reports'!R26</f>
        <v>-237693.74000000011</v>
      </c>
      <c r="U11" s="11">
        <f>'Monthly Financial Reports'!S26</f>
        <v>96525.339999999909</v>
      </c>
      <c r="V11" s="11">
        <f>'Monthly Financial Reports'!T26</f>
        <v>-65535.800000000047</v>
      </c>
      <c r="W11" s="11">
        <f>'Monthly Financial Reports'!U26</f>
        <v>454588.15999999992</v>
      </c>
      <c r="X11" s="11">
        <f>'Monthly Financial Reports'!V26</f>
        <v>167633.17999999993</v>
      </c>
      <c r="Y11" s="11">
        <f>'Monthly Financial Reports'!W26</f>
        <v>360965.43333333329</v>
      </c>
      <c r="Z11" s="11">
        <f>'Monthly Financial Reports'!X26</f>
        <v>592199.10000000009</v>
      </c>
      <c r="AA11" s="11">
        <f>'Monthly Financial Reports'!Y26</f>
        <v>840340.7</v>
      </c>
      <c r="AB11" s="11">
        <f>'Monthly Financial Reports'!Z26</f>
        <v>863805.46666666679</v>
      </c>
      <c r="AC11" s="11">
        <f>'Monthly Financial Reports'!AA26</f>
        <v>1109462.6450893213</v>
      </c>
      <c r="AD11" s="11">
        <f>'Monthly Financial Reports'!AB26</f>
        <v>1238843.0483247305</v>
      </c>
      <c r="AE11" s="11">
        <f>'Monthly Financial Reports'!AC26</f>
        <v>1146715.8989454098</v>
      </c>
      <c r="AF11" s="11">
        <f>'Monthly Financial Reports'!AD26</f>
        <v>1271156.4620102071</v>
      </c>
      <c r="AG11" s="11">
        <f>'Monthly Financial Reports'!AE26</f>
        <v>1338961.5549433045</v>
      </c>
      <c r="AH11" s="11">
        <f>'Monthly Financial Reports'!AF26</f>
        <v>1514312.1679665972</v>
      </c>
      <c r="AI11" s="11">
        <f>'Monthly Financial Reports'!AG26</f>
        <v>1944205.6462117862</v>
      </c>
      <c r="AJ11" s="11">
        <f>'Monthly Financial Reports'!AH26</f>
        <v>2199806.3557325974</v>
      </c>
      <c r="AK11" s="11">
        <f>'Monthly Financial Reports'!AI26</f>
        <v>2988253.975491913</v>
      </c>
      <c r="AL11" s="11">
        <f>'Monthly Financial Reports'!AJ26</f>
        <v>3333445.7086737039</v>
      </c>
      <c r="AM11" s="11">
        <f>'Monthly Financial Reports'!AK26</f>
        <v>3473994.3061140394</v>
      </c>
      <c r="AN11" s="11">
        <f>'Monthly Financial Reports'!AL26</f>
        <v>4377569.8946496192</v>
      </c>
      <c r="AO11" s="11">
        <f>'Monthly Financial Reports'!AM26</f>
        <v>4755942.7754596435</v>
      </c>
      <c r="AP11" s="11">
        <f>'Monthly Financial Reports'!AN26</f>
        <v>4862907.2332061715</v>
      </c>
      <c r="AQ11" s="11">
        <f>'Monthly Financial Reports'!AO26</f>
        <v>5748827.2095215414</v>
      </c>
      <c r="AR11" s="11">
        <f>'Monthly Financial Reports'!AP26</f>
        <v>5897772.7280605854</v>
      </c>
      <c r="AS11" s="11">
        <f>'Monthly Financial Reports'!AQ26</f>
        <v>6646486.3208963582</v>
      </c>
      <c r="AT11" s="11">
        <f>'Monthly Financial Reports'!AR26</f>
        <v>6620684.0377556905</v>
      </c>
      <c r="AU11" s="11">
        <f>'Monthly Financial Reports'!AS26</f>
        <v>7772777.448791204</v>
      </c>
      <c r="AV11" s="11">
        <f>'Monthly Financial Reports'!AT26</f>
        <v>7810627.7880541449</v>
      </c>
      <c r="AW11" s="11">
        <f>'Monthly Financial Reports'!AU26</f>
        <v>4677211.4502567695</v>
      </c>
      <c r="AX11" s="11">
        <f>'Monthly Financial Reports'!AV26</f>
        <v>5284848.3961749068</v>
      </c>
      <c r="AY11" s="11">
        <f>'Monthly Financial Reports'!AW26</f>
        <v>5550269.4027895657</v>
      </c>
      <c r="AZ11" s="11">
        <f>'Monthly Financial Reports'!AX26</f>
        <v>5781782.739605777</v>
      </c>
      <c r="BA11" s="11">
        <f>'Monthly Financial Reports'!AY26</f>
        <v>6052017.1254528295</v>
      </c>
      <c r="BB11" s="11">
        <f>'Monthly Financial Reports'!AZ26</f>
        <v>7096226.740546599</v>
      </c>
    </row>
    <row r="12" spans="1:54" ht="14.25" customHeight="1" x14ac:dyDescent="0.25">
      <c r="A12" s="348"/>
      <c r="B12" s="11" t="str">
        <f>'Monthly Financial Reports'!D9</f>
        <v>Workers Comp</v>
      </c>
      <c r="C12" s="11">
        <f>'Monthly Financial Reports'!BB9</f>
        <v>0</v>
      </c>
      <c r="D12" s="11">
        <f>'Monthly Financial Reports'!BC9</f>
        <v>127500</v>
      </c>
      <c r="E12" s="11">
        <f>'Monthly Financial Reports'!BD9</f>
        <v>7650000</v>
      </c>
      <c r="F12" s="11">
        <f>'Monthly Financial Reports'!BE9</f>
        <v>19890000</v>
      </c>
      <c r="G12" s="22"/>
      <c r="H12" s="22"/>
      <c r="I12" s="11" t="str">
        <f t="shared" ref="I12:M12" si="3">B12</f>
        <v>Workers Comp</v>
      </c>
      <c r="J12" s="11">
        <f t="shared" si="3"/>
        <v>0</v>
      </c>
      <c r="K12" s="11">
        <f t="shared" si="3"/>
        <v>127500</v>
      </c>
      <c r="L12" s="11">
        <f t="shared" si="3"/>
        <v>7650000</v>
      </c>
      <c r="M12" s="11">
        <f t="shared" si="3"/>
        <v>19890000</v>
      </c>
      <c r="N12" s="22"/>
      <c r="O12" s="22"/>
      <c r="P12" s="22"/>
      <c r="Q12" s="349"/>
      <c r="R12" s="22" t="s">
        <v>58</v>
      </c>
      <c r="S12" s="11">
        <f>'Monthly Financial Reports'!Q73</f>
        <v>0</v>
      </c>
      <c r="T12" s="11">
        <f>'Monthly Financial Reports'!R73</f>
        <v>0</v>
      </c>
      <c r="U12" s="11">
        <f>'Monthly Financial Reports'!S73</f>
        <v>0</v>
      </c>
      <c r="V12" s="11">
        <f>'Monthly Financial Reports'!T73</f>
        <v>0</v>
      </c>
      <c r="W12" s="11">
        <f>'Monthly Financial Reports'!U73</f>
        <v>0</v>
      </c>
      <c r="X12" s="11">
        <f>'Monthly Financial Reports'!V73</f>
        <v>0</v>
      </c>
      <c r="Y12" s="11">
        <f>'Monthly Financial Reports'!W73</f>
        <v>512450.73847480334</v>
      </c>
      <c r="Z12" s="11">
        <f>'Monthly Financial Reports'!X73</f>
        <v>642295</v>
      </c>
      <c r="AA12" s="11">
        <f>'Monthly Financial Reports'!Y73</f>
        <v>775265</v>
      </c>
      <c r="AB12" s="11">
        <f>'Monthly Financial Reports'!Z73</f>
        <v>792840</v>
      </c>
      <c r="AC12" s="11">
        <f>'Monthly Financial Reports'!AA73</f>
        <v>974540</v>
      </c>
      <c r="AD12" s="11">
        <f>'Monthly Financial Reports'!AB73</f>
        <v>1088115</v>
      </c>
      <c r="AE12" s="11">
        <f>'Monthly Financial Reports'!AC73</f>
        <v>1286440</v>
      </c>
      <c r="AF12" s="11">
        <f>'Monthly Financial Reports'!AD73</f>
        <v>1481765</v>
      </c>
      <c r="AG12" s="11">
        <f>'Monthly Financial Reports'!AE73</f>
        <v>1674890</v>
      </c>
      <c r="AH12" s="11">
        <f>'Monthly Financial Reports'!AF73</f>
        <v>1862815</v>
      </c>
      <c r="AI12" s="11">
        <f>'Monthly Financial Reports'!AG73</f>
        <v>2047740</v>
      </c>
      <c r="AJ12" s="11">
        <f>'Monthly Financial Reports'!AH73</f>
        <v>2228265</v>
      </c>
      <c r="AK12" s="11">
        <f>'Monthly Financial Reports'!AI73</f>
        <v>2401390</v>
      </c>
      <c r="AL12" s="11">
        <f>'Monthly Financial Reports'!AJ73</f>
        <v>3295315</v>
      </c>
      <c r="AM12" s="11">
        <f>'Monthly Financial Reports'!AK73</f>
        <v>3458040</v>
      </c>
      <c r="AN12" s="11">
        <f>'Monthly Financial Reports'!AL73</f>
        <v>4342165</v>
      </c>
      <c r="AO12" s="11">
        <f>'Monthly Financial Reports'!AM73</f>
        <v>4495890</v>
      </c>
      <c r="AP12" s="11">
        <f>'Monthly Financial Reports'!AN73</f>
        <v>4645215</v>
      </c>
      <c r="AQ12" s="11">
        <f>'Monthly Financial Reports'!AO73</f>
        <v>5527315</v>
      </c>
      <c r="AR12" s="11">
        <f>'Monthly Financial Reports'!AP73</f>
        <v>5674830</v>
      </c>
      <c r="AS12" s="11">
        <f>'Monthly Financial Reports'!AQ73</f>
        <v>6543945</v>
      </c>
      <c r="AT12" s="11">
        <f>'Monthly Financial Reports'!AR73</f>
        <v>6683260</v>
      </c>
      <c r="AU12" s="11">
        <f>'Monthly Financial Reports'!AS73</f>
        <v>7544175</v>
      </c>
      <c r="AV12" s="11">
        <f>'Monthly Financial Reports'!AT73</f>
        <v>7676890</v>
      </c>
      <c r="AW12" s="11">
        <f>'Monthly Financial Reports'!AU73</f>
        <v>7806605</v>
      </c>
      <c r="AX12" s="11">
        <f>'Monthly Financial Reports'!AV73</f>
        <v>10315115</v>
      </c>
      <c r="AY12" s="11">
        <f>'Monthly Financial Reports'!AW73</f>
        <v>11168425</v>
      </c>
      <c r="AZ12" s="11">
        <f>'Monthly Financial Reports'!AX73</f>
        <v>11293535</v>
      </c>
      <c r="BA12" s="11">
        <f>'Monthly Financial Reports'!AY73</f>
        <v>11415645</v>
      </c>
      <c r="BB12" s="11">
        <f>'Monthly Financial Reports'!AZ73</f>
        <v>13913755</v>
      </c>
    </row>
    <row r="13" spans="1:54" ht="14.25" customHeight="1" x14ac:dyDescent="0.25">
      <c r="A13" s="348"/>
      <c r="B13" s="11" t="str">
        <f>'Monthly Financial Reports'!D10</f>
        <v>SaaS</v>
      </c>
      <c r="C13" s="11">
        <f>'Monthly Financial Reports'!BB10</f>
        <v>0</v>
      </c>
      <c r="D13" s="11">
        <f>'Monthly Financial Reports'!BC10</f>
        <v>0</v>
      </c>
      <c r="E13" s="11">
        <f>'Monthly Financial Reports'!BD10</f>
        <v>1125419.1284700765</v>
      </c>
      <c r="F13" s="11">
        <f>'Monthly Financial Reports'!BE10</f>
        <v>9514199.7458787914</v>
      </c>
      <c r="G13" s="22"/>
      <c r="H13" s="22"/>
      <c r="I13" s="11" t="str">
        <f t="shared" ref="I13:M13" si="4">B13</f>
        <v>SaaS</v>
      </c>
      <c r="J13" s="11">
        <f t="shared" si="4"/>
        <v>0</v>
      </c>
      <c r="K13" s="11">
        <f t="shared" si="4"/>
        <v>0</v>
      </c>
      <c r="L13" s="11">
        <f t="shared" si="4"/>
        <v>1125419.1284700765</v>
      </c>
      <c r="M13" s="11">
        <f t="shared" si="4"/>
        <v>9514199.7458787914</v>
      </c>
      <c r="N13" s="22"/>
      <c r="O13" s="22"/>
      <c r="P13" s="22"/>
      <c r="Q13" s="349"/>
      <c r="R13" s="22" t="s">
        <v>581</v>
      </c>
      <c r="S13" s="11">
        <f t="shared" ref="S13:BB13" si="5">S8-S12</f>
        <v>0</v>
      </c>
      <c r="T13" s="11">
        <f t="shared" si="5"/>
        <v>0</v>
      </c>
      <c r="U13" s="11">
        <f t="shared" si="5"/>
        <v>0</v>
      </c>
      <c r="V13" s="11">
        <f t="shared" si="5"/>
        <v>12010</v>
      </c>
      <c r="W13" s="11">
        <f t="shared" si="5"/>
        <v>70315</v>
      </c>
      <c r="X13" s="11">
        <f t="shared" si="5"/>
        <v>221000</v>
      </c>
      <c r="Y13" s="11">
        <f t="shared" si="5"/>
        <v>1163431.9609313833</v>
      </c>
      <c r="Z13" s="11">
        <f t="shared" si="5"/>
        <v>1521398.6391333863</v>
      </c>
      <c r="AA13" s="11">
        <f t="shared" si="5"/>
        <v>1969543</v>
      </c>
      <c r="AB13" s="11">
        <f t="shared" si="5"/>
        <v>2369994.7999999998</v>
      </c>
      <c r="AC13" s="11">
        <f t="shared" si="5"/>
        <v>2951327.8</v>
      </c>
      <c r="AD13" s="11">
        <f t="shared" si="5"/>
        <v>3819608.5999999996</v>
      </c>
      <c r="AE13" s="11">
        <f t="shared" si="5"/>
        <v>4843851.9333333336</v>
      </c>
      <c r="AF13" s="11">
        <f t="shared" si="5"/>
        <v>6110947.8000000007</v>
      </c>
      <c r="AG13" s="11">
        <f t="shared" si="5"/>
        <v>7542546.4666666668</v>
      </c>
      <c r="AH13" s="11">
        <f t="shared" si="5"/>
        <v>9194340.7333333343</v>
      </c>
      <c r="AI13" s="11">
        <f t="shared" si="5"/>
        <v>11156128.6</v>
      </c>
      <c r="AJ13" s="11">
        <f t="shared" si="5"/>
        <v>13243313.866666665</v>
      </c>
      <c r="AK13" s="11">
        <f t="shared" si="5"/>
        <v>15448896.93333333</v>
      </c>
      <c r="AL13" s="11">
        <f t="shared" si="5"/>
        <v>17804579.399999999</v>
      </c>
      <c r="AM13" s="11">
        <f t="shared" si="5"/>
        <v>20155559.866666671</v>
      </c>
      <c r="AN13" s="11">
        <f t="shared" si="5"/>
        <v>22525229.633333337</v>
      </c>
      <c r="AO13" s="11">
        <f t="shared" si="5"/>
        <v>24686401.600000001</v>
      </c>
      <c r="AP13" s="11">
        <f t="shared" si="5"/>
        <v>26742975.966666669</v>
      </c>
      <c r="AQ13" s="11">
        <f t="shared" si="5"/>
        <v>28811989.833333336</v>
      </c>
      <c r="AR13" s="11">
        <f t="shared" si="5"/>
        <v>30665616.100000001</v>
      </c>
      <c r="AS13" s="11">
        <f t="shared" si="5"/>
        <v>32523544.766666666</v>
      </c>
      <c r="AT13" s="11">
        <f t="shared" si="5"/>
        <v>34175375.233333334</v>
      </c>
      <c r="AU13" s="11">
        <f t="shared" si="5"/>
        <v>35841507.700000003</v>
      </c>
      <c r="AV13" s="11">
        <f t="shared" si="5"/>
        <v>37308942.166666664</v>
      </c>
      <c r="AW13" s="11">
        <f t="shared" si="5"/>
        <v>38699378.433333337</v>
      </c>
      <c r="AX13" s="11">
        <f t="shared" si="5"/>
        <v>40495433.800000004</v>
      </c>
      <c r="AY13" s="11">
        <f t="shared" si="5"/>
        <v>41853390.566666663</v>
      </c>
      <c r="AZ13" s="11">
        <f t="shared" si="5"/>
        <v>43031649.133333333</v>
      </c>
      <c r="BA13" s="11">
        <f t="shared" si="5"/>
        <v>44142909.100000009</v>
      </c>
      <c r="BB13" s="11">
        <f t="shared" si="5"/>
        <v>45669370.066666663</v>
      </c>
    </row>
    <row r="14" spans="1:54" ht="14.25" customHeight="1" x14ac:dyDescent="0.25">
      <c r="A14" s="348"/>
      <c r="B14" s="11" t="str">
        <f>'Monthly Financial Reports'!D11</f>
        <v>Corrections</v>
      </c>
      <c r="C14" s="11">
        <f>'Monthly Financial Reports'!BB11</f>
        <v>0</v>
      </c>
      <c r="D14" s="11">
        <f>'Monthly Financial Reports'!BC11</f>
        <v>0</v>
      </c>
      <c r="E14" s="11">
        <f>'Monthly Financial Reports'!BD11</f>
        <v>7514100.0000000009</v>
      </c>
      <c r="F14" s="11">
        <f>'Monthly Financial Reports'!BE11</f>
        <v>65531400</v>
      </c>
      <c r="G14" s="22"/>
      <c r="H14" s="22"/>
      <c r="I14" s="11" t="str">
        <f t="shared" ref="I14:M14" si="6">B14</f>
        <v>Corrections</v>
      </c>
      <c r="J14" s="11">
        <f t="shared" si="6"/>
        <v>0</v>
      </c>
      <c r="K14" s="11">
        <f t="shared" si="6"/>
        <v>0</v>
      </c>
      <c r="L14" s="11">
        <f t="shared" si="6"/>
        <v>7514100.0000000009</v>
      </c>
      <c r="M14" s="11">
        <f t="shared" si="6"/>
        <v>65531400</v>
      </c>
      <c r="N14" s="22"/>
      <c r="O14" s="22"/>
      <c r="P14" s="22"/>
      <c r="Q14" s="349"/>
      <c r="R14" s="22"/>
      <c r="S14" s="11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</row>
    <row r="15" spans="1:54" ht="14.25" customHeight="1" x14ac:dyDescent="0.25">
      <c r="A15" s="348"/>
      <c r="B15" s="11" t="str">
        <f>'Monthly Financial Reports'!D12</f>
        <v>Healthcare Compliance</v>
      </c>
      <c r="C15" s="11">
        <f>'Monthly Financial Reports'!BB12</f>
        <v>0</v>
      </c>
      <c r="D15" s="11">
        <f>'Monthly Financial Reports'!BC12</f>
        <v>0</v>
      </c>
      <c r="E15" s="11">
        <f>'Monthly Financial Reports'!BD12</f>
        <v>37125</v>
      </c>
      <c r="F15" s="11">
        <f>'Monthly Financial Reports'!BE12</f>
        <v>1699987.5</v>
      </c>
      <c r="G15" s="22"/>
      <c r="H15" s="22"/>
      <c r="I15" s="11" t="str">
        <f t="shared" ref="I15:M15" si="7">B15</f>
        <v>Healthcare Compliance</v>
      </c>
      <c r="J15" s="11">
        <f t="shared" si="7"/>
        <v>0</v>
      </c>
      <c r="K15" s="11">
        <f t="shared" si="7"/>
        <v>0</v>
      </c>
      <c r="L15" s="11">
        <f t="shared" si="7"/>
        <v>37125</v>
      </c>
      <c r="M15" s="11">
        <f t="shared" si="7"/>
        <v>1699987.5</v>
      </c>
      <c r="N15" s="22"/>
      <c r="O15" s="22"/>
      <c r="P15" s="22"/>
      <c r="Q15" s="349"/>
      <c r="R15" s="22"/>
      <c r="S15" s="11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</row>
    <row r="16" spans="1:54" ht="14.25" customHeight="1" x14ac:dyDescent="0.25">
      <c r="A16" s="348"/>
      <c r="B16" s="11" t="str">
        <f>'Monthly Financial Reports'!D13</f>
        <v>Employee Wellness</v>
      </c>
      <c r="C16" s="11">
        <f>'Monthly Financial Reports'!BB13</f>
        <v>0</v>
      </c>
      <c r="D16" s="11">
        <f>'Monthly Financial Reports'!BC13</f>
        <v>0</v>
      </c>
      <c r="E16" s="11">
        <f>'Monthly Financial Reports'!BD13</f>
        <v>0</v>
      </c>
      <c r="F16" s="11">
        <f>'Monthly Financial Reports'!BE13</f>
        <v>0</v>
      </c>
      <c r="G16" s="22"/>
      <c r="H16" s="22"/>
      <c r="I16" s="46" t="s">
        <v>582</v>
      </c>
      <c r="J16" s="9">
        <f t="shared" ref="J16:M16" si="8">C8</f>
        <v>7078783.0700000003</v>
      </c>
      <c r="K16" s="9">
        <f t="shared" si="8"/>
        <v>14671987</v>
      </c>
      <c r="L16" s="9">
        <f t="shared" si="8"/>
        <v>66233628.728470087</v>
      </c>
      <c r="M16" s="9">
        <f t="shared" si="8"/>
        <v>178114253.24587882</v>
      </c>
      <c r="N16" s="22"/>
      <c r="O16" s="22"/>
      <c r="P16" s="22"/>
      <c r="Q16" s="349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</row>
    <row r="17" spans="1:54" ht="14.25" customHeight="1" x14ac:dyDescent="0.25">
      <c r="A17" s="106"/>
      <c r="B17" s="9"/>
      <c r="C17" s="9">
        <f>'Monthly Financial Reports'!BB14</f>
        <v>0</v>
      </c>
      <c r="D17" s="9">
        <f>'Monthly Financial Reports'!BC14</f>
        <v>0</v>
      </c>
      <c r="E17" s="9">
        <f>'Monthly Financial Reports'!BD14</f>
        <v>0</v>
      </c>
      <c r="F17" s="9">
        <f>'Monthly Financial Reports'!BE14</f>
        <v>0</v>
      </c>
      <c r="G17" s="46"/>
      <c r="H17" s="9" t="str">
        <f>A18</f>
        <v>COGS</v>
      </c>
      <c r="I17" s="46"/>
      <c r="J17" s="51">
        <f t="shared" ref="J17:M17" si="9">C18</f>
        <v>4503867</v>
      </c>
      <c r="K17" s="51">
        <f t="shared" si="9"/>
        <v>6758123.598252615</v>
      </c>
      <c r="L17" s="51">
        <f t="shared" si="9"/>
        <v>22489378.41573175</v>
      </c>
      <c r="M17" s="51">
        <f t="shared" si="9"/>
        <v>91956882.274639502</v>
      </c>
      <c r="N17" s="46"/>
      <c r="O17" s="46"/>
      <c r="P17" s="46"/>
      <c r="Q17" s="153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</row>
    <row r="18" spans="1:54" ht="14.25" customHeight="1" x14ac:dyDescent="0.25">
      <c r="A18" s="106" t="str">
        <f>'Monthly Financial Reports'!C15</f>
        <v>COGS</v>
      </c>
      <c r="B18" s="9"/>
      <c r="C18" s="9">
        <f>'Monthly Financial Reports'!BB15</f>
        <v>4503867</v>
      </c>
      <c r="D18" s="9">
        <f>'Monthly Financial Reports'!BC15</f>
        <v>6758123.598252615</v>
      </c>
      <c r="E18" s="9">
        <f>'Monthly Financial Reports'!BD15</f>
        <v>22489378.41573175</v>
      </c>
      <c r="F18" s="9">
        <f>'Monthly Financial Reports'!BE15</f>
        <v>91956882.274639502</v>
      </c>
      <c r="G18" s="22"/>
      <c r="H18" s="9" t="str">
        <f>A20</f>
        <v>Gross Profit</v>
      </c>
      <c r="I18" s="46"/>
      <c r="J18" s="9">
        <f t="shared" ref="J18:M18" si="10">C20</f>
        <v>2574916.0700000003</v>
      </c>
      <c r="K18" s="9">
        <f t="shared" si="10"/>
        <v>7913863.401747385</v>
      </c>
      <c r="L18" s="9">
        <f t="shared" si="10"/>
        <v>43744250.312738337</v>
      </c>
      <c r="M18" s="9">
        <f t="shared" si="10"/>
        <v>86157370.971239313</v>
      </c>
      <c r="N18" s="22"/>
      <c r="O18" s="22"/>
      <c r="P18" s="22"/>
      <c r="Q18" s="349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</row>
    <row r="19" spans="1:54" ht="14.25" customHeight="1" x14ac:dyDescent="0.25">
      <c r="A19" s="348"/>
      <c r="B19" s="11"/>
      <c r="C19" s="11">
        <f>'Monthly Financial Reports'!BB16</f>
        <v>0</v>
      </c>
      <c r="D19" s="11">
        <f>'Monthly Financial Reports'!BC16</f>
        <v>0</v>
      </c>
      <c r="E19" s="11">
        <f>'Monthly Financial Reports'!BD16</f>
        <v>0</v>
      </c>
      <c r="F19" s="11">
        <f>'Monthly Financial Reports'!BE16</f>
        <v>0</v>
      </c>
      <c r="G19" s="22"/>
      <c r="H19" s="22"/>
      <c r="I19" s="44" t="str">
        <f t="shared" ref="I19:M19" si="11">B21</f>
        <v>Gross Margin</v>
      </c>
      <c r="J19" s="167">
        <f t="shared" si="11"/>
        <v>0.36375123302090401</v>
      </c>
      <c r="K19" s="167">
        <f t="shared" si="11"/>
        <v>0.53938593332637119</v>
      </c>
      <c r="L19" s="167">
        <f t="shared" si="11"/>
        <v>0.66045377782442349</v>
      </c>
      <c r="M19" s="167">
        <f t="shared" si="11"/>
        <v>0.48371968779108815</v>
      </c>
      <c r="N19" s="22"/>
      <c r="O19" s="22"/>
      <c r="P19" s="22"/>
      <c r="Q19" s="349"/>
      <c r="R19" s="22"/>
      <c r="S19" s="214">
        <f t="shared" ref="S19:BB19" si="12">S4</f>
        <v>45658</v>
      </c>
      <c r="T19" s="214">
        <f t="shared" si="12"/>
        <v>45689</v>
      </c>
      <c r="U19" s="214">
        <f t="shared" si="12"/>
        <v>45717</v>
      </c>
      <c r="V19" s="214">
        <f t="shared" si="12"/>
        <v>45748</v>
      </c>
      <c r="W19" s="214">
        <f t="shared" si="12"/>
        <v>45778</v>
      </c>
      <c r="X19" s="214">
        <f t="shared" si="12"/>
        <v>45809</v>
      </c>
      <c r="Y19" s="214">
        <f t="shared" si="12"/>
        <v>45839</v>
      </c>
      <c r="Z19" s="214">
        <f t="shared" si="12"/>
        <v>45870</v>
      </c>
      <c r="AA19" s="214">
        <f t="shared" si="12"/>
        <v>45901</v>
      </c>
      <c r="AB19" s="214">
        <f t="shared" si="12"/>
        <v>45931</v>
      </c>
      <c r="AC19" s="214">
        <f t="shared" si="12"/>
        <v>45962</v>
      </c>
      <c r="AD19" s="214">
        <f t="shared" si="12"/>
        <v>45992</v>
      </c>
      <c r="AE19" s="214">
        <f t="shared" si="12"/>
        <v>46023</v>
      </c>
      <c r="AF19" s="214">
        <f t="shared" si="12"/>
        <v>46054</v>
      </c>
      <c r="AG19" s="214">
        <f t="shared" si="12"/>
        <v>46082</v>
      </c>
      <c r="AH19" s="214">
        <f t="shared" si="12"/>
        <v>46113</v>
      </c>
      <c r="AI19" s="214">
        <f t="shared" si="12"/>
        <v>46143</v>
      </c>
      <c r="AJ19" s="214">
        <f t="shared" si="12"/>
        <v>46174</v>
      </c>
      <c r="AK19" s="214">
        <f t="shared" si="12"/>
        <v>46204</v>
      </c>
      <c r="AL19" s="214">
        <f t="shared" si="12"/>
        <v>46235</v>
      </c>
      <c r="AM19" s="214">
        <f t="shared" si="12"/>
        <v>46266</v>
      </c>
      <c r="AN19" s="214">
        <f t="shared" si="12"/>
        <v>46296</v>
      </c>
      <c r="AO19" s="214">
        <f t="shared" si="12"/>
        <v>46327</v>
      </c>
      <c r="AP19" s="214">
        <f t="shared" si="12"/>
        <v>46357</v>
      </c>
      <c r="AQ19" s="214">
        <f t="shared" si="12"/>
        <v>46388</v>
      </c>
      <c r="AR19" s="214">
        <f t="shared" si="12"/>
        <v>46419</v>
      </c>
      <c r="AS19" s="214">
        <f t="shared" si="12"/>
        <v>46447</v>
      </c>
      <c r="AT19" s="214">
        <f t="shared" si="12"/>
        <v>46478</v>
      </c>
      <c r="AU19" s="214">
        <f t="shared" si="12"/>
        <v>46508</v>
      </c>
      <c r="AV19" s="214">
        <f t="shared" si="12"/>
        <v>46539</v>
      </c>
      <c r="AW19" s="214">
        <f t="shared" si="12"/>
        <v>46569</v>
      </c>
      <c r="AX19" s="214">
        <f t="shared" si="12"/>
        <v>46600</v>
      </c>
      <c r="AY19" s="214">
        <f t="shared" si="12"/>
        <v>46631</v>
      </c>
      <c r="AZ19" s="214">
        <f t="shared" si="12"/>
        <v>46661</v>
      </c>
      <c r="BA19" s="214">
        <f t="shared" si="12"/>
        <v>46692</v>
      </c>
      <c r="BB19" s="214">
        <f t="shared" si="12"/>
        <v>46722</v>
      </c>
    </row>
    <row r="20" spans="1:54" ht="14.25" customHeight="1" x14ac:dyDescent="0.25">
      <c r="A20" s="106" t="str">
        <f>'Monthly Financial Reports'!C17</f>
        <v>Gross Profit</v>
      </c>
      <c r="B20" s="9"/>
      <c r="C20" s="9">
        <f>'Monthly Financial Reports'!BB17</f>
        <v>2574916.0700000003</v>
      </c>
      <c r="D20" s="9">
        <f>'Monthly Financial Reports'!BC17</f>
        <v>7913863.401747385</v>
      </c>
      <c r="E20" s="9">
        <f>'Monthly Financial Reports'!BD17</f>
        <v>43744250.312738337</v>
      </c>
      <c r="F20" s="9">
        <f>'Monthly Financial Reports'!BE17</f>
        <v>86157370.971239313</v>
      </c>
      <c r="G20" s="22"/>
      <c r="H20" s="9" t="str">
        <f>A23</f>
        <v>Expenses</v>
      </c>
      <c r="I20" s="46"/>
      <c r="J20" s="22"/>
      <c r="K20" s="22"/>
      <c r="L20" s="22"/>
      <c r="M20" s="22"/>
      <c r="N20" s="22"/>
      <c r="O20" s="22"/>
      <c r="P20" s="22"/>
      <c r="Q20" s="349"/>
      <c r="R20" s="22" t="str">
        <f t="shared" ref="R20:BB20" si="13">R7</f>
        <v>Cash</v>
      </c>
      <c r="S20" s="11">
        <f t="shared" si="13"/>
        <v>1337303.1200000001</v>
      </c>
      <c r="T20" s="11">
        <f t="shared" si="13"/>
        <v>1111183.3799999999</v>
      </c>
      <c r="U20" s="11">
        <f t="shared" si="13"/>
        <v>1210604.0741666665</v>
      </c>
      <c r="V20" s="11">
        <f t="shared" si="13"/>
        <v>615697.93041666644</v>
      </c>
      <c r="W20" s="11">
        <f t="shared" si="13"/>
        <v>985758.14249999973</v>
      </c>
      <c r="X20" s="11">
        <f t="shared" si="13"/>
        <v>994792.37458333315</v>
      </c>
      <c r="Y20" s="11">
        <f t="shared" si="13"/>
        <v>907889.66449808714</v>
      </c>
      <c r="Z20" s="11">
        <f t="shared" si="13"/>
        <v>1040575.3779627511</v>
      </c>
      <c r="AA20" s="11">
        <f t="shared" si="13"/>
        <v>1383801.4254294704</v>
      </c>
      <c r="AB20" s="11">
        <f t="shared" si="13"/>
        <v>1799322.2587628036</v>
      </c>
      <c r="AC20" s="11">
        <f t="shared" si="13"/>
        <v>2280989.6121854587</v>
      </c>
      <c r="AD20" s="11">
        <f t="shared" si="13"/>
        <v>2602593.568843523</v>
      </c>
      <c r="AE20" s="11">
        <f t="shared" si="13"/>
        <v>2731799.1136222663</v>
      </c>
      <c r="AF20" s="11">
        <f t="shared" si="13"/>
        <v>2681532.7506324728</v>
      </c>
      <c r="AG20" s="11">
        <f t="shared" si="13"/>
        <v>2551489.1909924438</v>
      </c>
      <c r="AH20" s="11">
        <f t="shared" si="13"/>
        <v>1093281.8213981355</v>
      </c>
      <c r="AI20" s="11">
        <f t="shared" si="13"/>
        <v>941770.26760992152</v>
      </c>
      <c r="AJ20" s="11">
        <f t="shared" si="13"/>
        <v>979700.45042585232</v>
      </c>
      <c r="AK20" s="11">
        <f t="shared" si="13"/>
        <v>1629081.4550844317</v>
      </c>
      <c r="AL20" s="11">
        <f t="shared" si="13"/>
        <v>2692093.2502581351</v>
      </c>
      <c r="AM20" s="11">
        <f t="shared" si="13"/>
        <v>3814639.3019021759</v>
      </c>
      <c r="AN20" s="11">
        <f t="shared" si="13"/>
        <v>5851482.8733825609</v>
      </c>
      <c r="AO20" s="11">
        <f t="shared" si="13"/>
        <v>8489562.9049472157</v>
      </c>
      <c r="AP20" s="11">
        <f t="shared" si="13"/>
        <v>11389945.257901916</v>
      </c>
      <c r="AQ20" s="11">
        <f t="shared" si="13"/>
        <v>15190343.202686492</v>
      </c>
      <c r="AR20" s="11">
        <f t="shared" si="13"/>
        <v>19423004.681849401</v>
      </c>
      <c r="AS20" s="11">
        <f t="shared" si="13"/>
        <v>24432162.820696138</v>
      </c>
      <c r="AT20" s="11">
        <f t="shared" si="13"/>
        <v>21164612.986348581</v>
      </c>
      <c r="AU20" s="11">
        <f t="shared" si="13"/>
        <v>27514038.675587576</v>
      </c>
      <c r="AV20" s="11">
        <f t="shared" si="13"/>
        <v>34277634.530774914</v>
      </c>
      <c r="AW20" s="11">
        <f t="shared" si="13"/>
        <v>37988279.800423302</v>
      </c>
      <c r="AX20" s="11">
        <f t="shared" si="13"/>
        <v>42017996.264600612</v>
      </c>
      <c r="AY20" s="11">
        <f t="shared" si="13"/>
        <v>46797014.810661286</v>
      </c>
      <c r="AZ20" s="11">
        <f t="shared" si="13"/>
        <v>52089906.815788522</v>
      </c>
      <c r="BA20" s="11">
        <f t="shared" si="13"/>
        <v>57776986.962238692</v>
      </c>
      <c r="BB20" s="11">
        <f t="shared" si="13"/>
        <v>64205897.95310872</v>
      </c>
    </row>
    <row r="21" spans="1:54" ht="14.25" customHeight="1" x14ac:dyDescent="0.25">
      <c r="A21" s="348"/>
      <c r="B21" s="11" t="str">
        <f>'Monthly Financial Reports'!D18</f>
        <v>Gross Margin</v>
      </c>
      <c r="C21" s="131">
        <f>'Monthly Financial Reports'!BB18</f>
        <v>0.36375123302090401</v>
      </c>
      <c r="D21" s="131">
        <f>'Monthly Financial Reports'!BC18</f>
        <v>0.53938593332637119</v>
      </c>
      <c r="E21" s="131">
        <f>'Monthly Financial Reports'!BD18</f>
        <v>0.66045377782442349</v>
      </c>
      <c r="F21" s="131">
        <f>'Monthly Financial Reports'!BE18</f>
        <v>0.48371968779108815</v>
      </c>
      <c r="G21" s="22"/>
      <c r="H21" s="22"/>
      <c r="I21" s="11" t="str">
        <f t="shared" ref="I21:M21" si="14">B24</f>
        <v>Technology</v>
      </c>
      <c r="J21" s="11">
        <f t="shared" si="14"/>
        <v>171650</v>
      </c>
      <c r="K21" s="11">
        <f t="shared" si="14"/>
        <v>182487.04000000001</v>
      </c>
      <c r="L21" s="11">
        <f t="shared" si="14"/>
        <v>882042.70833333314</v>
      </c>
      <c r="M21" s="11">
        <f t="shared" si="14"/>
        <v>1066909.375</v>
      </c>
      <c r="N21" s="22"/>
      <c r="O21" s="22"/>
      <c r="P21" s="22"/>
      <c r="Q21" s="349"/>
      <c r="R21" s="22" t="str">
        <f t="shared" ref="R21:BB21" si="15">R13</f>
        <v>Net Receivables</v>
      </c>
      <c r="S21" s="11">
        <f t="shared" si="15"/>
        <v>0</v>
      </c>
      <c r="T21" s="11">
        <f t="shared" si="15"/>
        <v>0</v>
      </c>
      <c r="U21" s="11">
        <f t="shared" si="15"/>
        <v>0</v>
      </c>
      <c r="V21" s="11">
        <f t="shared" si="15"/>
        <v>12010</v>
      </c>
      <c r="W21" s="11">
        <f t="shared" si="15"/>
        <v>70315</v>
      </c>
      <c r="X21" s="11">
        <f t="shared" si="15"/>
        <v>221000</v>
      </c>
      <c r="Y21" s="11">
        <f t="shared" si="15"/>
        <v>1163431.9609313833</v>
      </c>
      <c r="Z21" s="11">
        <f t="shared" si="15"/>
        <v>1521398.6391333863</v>
      </c>
      <c r="AA21" s="11">
        <f t="shared" si="15"/>
        <v>1969543</v>
      </c>
      <c r="AB21" s="11">
        <f t="shared" si="15"/>
        <v>2369994.7999999998</v>
      </c>
      <c r="AC21" s="11">
        <f t="shared" si="15"/>
        <v>2951327.8</v>
      </c>
      <c r="AD21" s="11">
        <f t="shared" si="15"/>
        <v>3819608.5999999996</v>
      </c>
      <c r="AE21" s="11">
        <f t="shared" si="15"/>
        <v>4843851.9333333336</v>
      </c>
      <c r="AF21" s="11">
        <f t="shared" si="15"/>
        <v>6110947.8000000007</v>
      </c>
      <c r="AG21" s="11">
        <f t="shared" si="15"/>
        <v>7542546.4666666668</v>
      </c>
      <c r="AH21" s="11">
        <f t="shared" si="15"/>
        <v>9194340.7333333343</v>
      </c>
      <c r="AI21" s="11">
        <f t="shared" si="15"/>
        <v>11156128.6</v>
      </c>
      <c r="AJ21" s="11">
        <f t="shared" si="15"/>
        <v>13243313.866666665</v>
      </c>
      <c r="AK21" s="11">
        <f t="shared" si="15"/>
        <v>15448896.93333333</v>
      </c>
      <c r="AL21" s="11">
        <f t="shared" si="15"/>
        <v>17804579.399999999</v>
      </c>
      <c r="AM21" s="11">
        <f t="shared" si="15"/>
        <v>20155559.866666671</v>
      </c>
      <c r="AN21" s="11">
        <f t="shared" si="15"/>
        <v>22525229.633333337</v>
      </c>
      <c r="AO21" s="11">
        <f t="shared" si="15"/>
        <v>24686401.600000001</v>
      </c>
      <c r="AP21" s="11">
        <f t="shared" si="15"/>
        <v>26742975.966666669</v>
      </c>
      <c r="AQ21" s="11">
        <f t="shared" si="15"/>
        <v>28811989.833333336</v>
      </c>
      <c r="AR21" s="11">
        <f t="shared" si="15"/>
        <v>30665616.100000001</v>
      </c>
      <c r="AS21" s="11">
        <f t="shared" si="15"/>
        <v>32523544.766666666</v>
      </c>
      <c r="AT21" s="11">
        <f t="shared" si="15"/>
        <v>34175375.233333334</v>
      </c>
      <c r="AU21" s="11">
        <f t="shared" si="15"/>
        <v>35841507.700000003</v>
      </c>
      <c r="AV21" s="11">
        <f t="shared" si="15"/>
        <v>37308942.166666664</v>
      </c>
      <c r="AW21" s="11">
        <f t="shared" si="15"/>
        <v>38699378.433333337</v>
      </c>
      <c r="AX21" s="11">
        <f t="shared" si="15"/>
        <v>40495433.800000004</v>
      </c>
      <c r="AY21" s="11">
        <f t="shared" si="15"/>
        <v>41853390.566666663</v>
      </c>
      <c r="AZ21" s="11">
        <f t="shared" si="15"/>
        <v>43031649.133333333</v>
      </c>
      <c r="BA21" s="11">
        <f t="shared" si="15"/>
        <v>44142909.100000009</v>
      </c>
      <c r="BB21" s="11">
        <f t="shared" si="15"/>
        <v>45669370.066666663</v>
      </c>
    </row>
    <row r="22" spans="1:54" ht="14.25" customHeight="1" x14ac:dyDescent="0.25">
      <c r="A22" s="348"/>
      <c r="B22" s="11"/>
      <c r="C22" s="11">
        <f>'Monthly Financial Reports'!BB19</f>
        <v>0</v>
      </c>
      <c r="D22" s="11">
        <f>'Monthly Financial Reports'!BC19</f>
        <v>0</v>
      </c>
      <c r="E22" s="11">
        <f>'Monthly Financial Reports'!BD19</f>
        <v>0</v>
      </c>
      <c r="F22" s="11">
        <f>'Monthly Financial Reports'!BE19</f>
        <v>0</v>
      </c>
      <c r="G22" s="22"/>
      <c r="H22" s="22"/>
      <c r="I22" s="11" t="str">
        <f t="shared" ref="I22:M22" si="16">B25</f>
        <v>Marketing &amp; Development</v>
      </c>
      <c r="J22" s="11">
        <f t="shared" si="16"/>
        <v>534189</v>
      </c>
      <c r="K22" s="11">
        <f t="shared" si="16"/>
        <v>346185.61500000005</v>
      </c>
      <c r="L22" s="11">
        <f t="shared" si="16"/>
        <v>3995196.541666667</v>
      </c>
      <c r="M22" s="11">
        <f t="shared" si="16"/>
        <v>4223961.541666666</v>
      </c>
      <c r="N22" s="22"/>
      <c r="O22" s="22"/>
      <c r="P22" s="22"/>
      <c r="Q22" s="349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</row>
    <row r="23" spans="1:54" ht="14.25" customHeight="1" x14ac:dyDescent="0.25">
      <c r="A23" s="106" t="str">
        <f>'Monthly Financial Reports'!C20</f>
        <v>Expenses</v>
      </c>
      <c r="B23" s="9"/>
      <c r="C23" s="9">
        <f>'Monthly Financial Reports'!BB20</f>
        <v>1630675</v>
      </c>
      <c r="D23" s="9">
        <f>'Monthly Financial Reports'!BC20</f>
        <v>2394328.748333334</v>
      </c>
      <c r="E23" s="9">
        <f>'Monthly Financial Reports'!BD20</f>
        <v>10536978.333333332</v>
      </c>
      <c r="F23" s="9">
        <f>'Monthly Financial Reports'!BE20</f>
        <v>11217839.583333332</v>
      </c>
      <c r="G23" s="22"/>
      <c r="H23" s="22"/>
      <c r="I23" s="11" t="str">
        <f t="shared" ref="I23:M23" si="17">B26</f>
        <v>Clinical Operations</v>
      </c>
      <c r="J23" s="11">
        <f t="shared" si="17"/>
        <v>229668</v>
      </c>
      <c r="K23" s="11">
        <f t="shared" si="17"/>
        <v>349120.43</v>
      </c>
      <c r="L23" s="11">
        <f t="shared" si="17"/>
        <v>2264444.4583333335</v>
      </c>
      <c r="M23" s="11">
        <f t="shared" si="17"/>
        <v>1886865.7083333335</v>
      </c>
      <c r="N23" s="22"/>
      <c r="O23" s="22"/>
      <c r="P23" s="22"/>
      <c r="Q23" s="349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</row>
    <row r="24" spans="1:54" ht="14.25" customHeight="1" x14ac:dyDescent="0.25">
      <c r="A24" s="348"/>
      <c r="B24" s="11" t="str">
        <f>'Monthly Financial Reports'!D21</f>
        <v>Technology</v>
      </c>
      <c r="C24" s="11">
        <f>'Monthly Financial Reports'!BB21</f>
        <v>171650</v>
      </c>
      <c r="D24" s="11">
        <f>'Monthly Financial Reports'!BC21</f>
        <v>182487.04000000001</v>
      </c>
      <c r="E24" s="11">
        <f>'Monthly Financial Reports'!BD21</f>
        <v>882042.70833333314</v>
      </c>
      <c r="F24" s="11">
        <f>'Monthly Financial Reports'!BE21</f>
        <v>1066909.375</v>
      </c>
      <c r="G24" s="22"/>
      <c r="H24" s="22"/>
      <c r="I24" s="11" t="str">
        <f t="shared" ref="I24:M24" si="18">B27</f>
        <v>General Administrative</v>
      </c>
      <c r="J24" s="11">
        <f t="shared" si="18"/>
        <v>695168</v>
      </c>
      <c r="K24" s="11">
        <f t="shared" si="18"/>
        <v>1516535.6633333336</v>
      </c>
      <c r="L24" s="11">
        <f t="shared" si="18"/>
        <v>3395294.6249999986</v>
      </c>
      <c r="M24" s="11">
        <f t="shared" si="18"/>
        <v>4040102.958333333</v>
      </c>
      <c r="N24" s="22"/>
      <c r="O24" s="22"/>
      <c r="P24" s="22"/>
      <c r="Q24" s="349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</row>
    <row r="25" spans="1:54" ht="14.25" customHeight="1" x14ac:dyDescent="0.25">
      <c r="A25" s="348"/>
      <c r="B25" s="11" t="str">
        <f>'Monthly Financial Reports'!D22</f>
        <v>Marketing &amp; Development</v>
      </c>
      <c r="C25" s="11">
        <f>'Monthly Financial Reports'!BB22</f>
        <v>534189</v>
      </c>
      <c r="D25" s="11">
        <f>'Monthly Financial Reports'!BC22</f>
        <v>346185.61500000005</v>
      </c>
      <c r="E25" s="11">
        <f>'Monthly Financial Reports'!BD22</f>
        <v>3995196.541666667</v>
      </c>
      <c r="F25" s="11">
        <f>'Monthly Financial Reports'!BE22</f>
        <v>4223961.541666666</v>
      </c>
      <c r="G25" s="22"/>
      <c r="H25" s="22"/>
      <c r="I25" s="46" t="s">
        <v>583</v>
      </c>
      <c r="J25" s="51">
        <f t="shared" ref="J25:M25" si="19">C23</f>
        <v>1630675</v>
      </c>
      <c r="K25" s="51">
        <f t="shared" si="19"/>
        <v>2394328.748333334</v>
      </c>
      <c r="L25" s="51">
        <f t="shared" si="19"/>
        <v>10536978.333333332</v>
      </c>
      <c r="M25" s="51">
        <f t="shared" si="19"/>
        <v>11217839.583333332</v>
      </c>
      <c r="N25" s="22"/>
      <c r="O25" s="22"/>
      <c r="P25" s="22"/>
      <c r="Q25" s="349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</row>
    <row r="26" spans="1:54" ht="14.25" customHeight="1" x14ac:dyDescent="0.25">
      <c r="A26" s="348"/>
      <c r="B26" s="11" t="str">
        <f>'Monthly Financial Reports'!D23</f>
        <v>Clinical Operations</v>
      </c>
      <c r="C26" s="11">
        <f>'Monthly Financial Reports'!BB23</f>
        <v>229668</v>
      </c>
      <c r="D26" s="11">
        <f>'Monthly Financial Reports'!BC23</f>
        <v>349120.43</v>
      </c>
      <c r="E26" s="11">
        <f>'Monthly Financial Reports'!BD23</f>
        <v>2264444.4583333335</v>
      </c>
      <c r="F26" s="11">
        <f>'Monthly Financial Reports'!BE23</f>
        <v>1886865.7083333335</v>
      </c>
      <c r="G26" s="22"/>
      <c r="H26" s="9" t="str">
        <f>A29</f>
        <v>EBITDA</v>
      </c>
      <c r="I26" s="46"/>
      <c r="J26" s="9">
        <f t="shared" ref="J26:M26" si="20">C29</f>
        <v>944241.0700000003</v>
      </c>
      <c r="K26" s="9">
        <f t="shared" si="20"/>
        <v>5519534.653414051</v>
      </c>
      <c r="L26" s="9">
        <f t="shared" si="20"/>
        <v>33207271.979405005</v>
      </c>
      <c r="M26" s="9">
        <f t="shared" si="20"/>
        <v>74939531.387905985</v>
      </c>
      <c r="N26" s="22"/>
      <c r="O26" s="22"/>
      <c r="P26" s="22"/>
      <c r="Q26" s="349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</row>
    <row r="27" spans="1:54" ht="14.25" customHeight="1" x14ac:dyDescent="0.25">
      <c r="A27" s="348"/>
      <c r="B27" s="11" t="str">
        <f>'Monthly Financial Reports'!D24</f>
        <v>General Administrative</v>
      </c>
      <c r="C27" s="11">
        <f>'Monthly Financial Reports'!BB24</f>
        <v>695168</v>
      </c>
      <c r="D27" s="11">
        <f>'Monthly Financial Reports'!BC24</f>
        <v>1516535.6633333336</v>
      </c>
      <c r="E27" s="11">
        <f>'Monthly Financial Reports'!BD24</f>
        <v>3395294.6249999986</v>
      </c>
      <c r="F27" s="11">
        <f>'Monthly Financial Reports'!BE24</f>
        <v>4040102.958333333</v>
      </c>
      <c r="G27" s="22"/>
      <c r="H27" s="22"/>
      <c r="I27" s="43" t="s">
        <v>584</v>
      </c>
      <c r="J27" s="167">
        <f t="shared" ref="J27:M27" si="21">C30</f>
        <v>0.13339031026416243</v>
      </c>
      <c r="K27" s="167">
        <f t="shared" si="21"/>
        <v>0.37619544329026811</v>
      </c>
      <c r="L27" s="167">
        <f t="shared" si="21"/>
        <v>0.50136573545654273</v>
      </c>
      <c r="M27" s="167">
        <f t="shared" si="21"/>
        <v>0.42073854294218266</v>
      </c>
      <c r="N27" s="22"/>
      <c r="O27" s="22"/>
      <c r="P27" s="22"/>
      <c r="Q27" s="349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</row>
    <row r="28" spans="1:54" ht="14.25" customHeight="1" x14ac:dyDescent="0.25">
      <c r="A28" s="348"/>
      <c r="B28" s="11"/>
      <c r="C28" s="11">
        <f>'Monthly Financial Reports'!BB25</f>
        <v>0</v>
      </c>
      <c r="D28" s="11">
        <f>'Monthly Financial Reports'!BC25</f>
        <v>0</v>
      </c>
      <c r="E28" s="11">
        <f>'Monthly Financial Reports'!BD25</f>
        <v>0</v>
      </c>
      <c r="F28" s="11">
        <f>'Monthly Financial Reports'!BE25</f>
        <v>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349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</row>
    <row r="29" spans="1:54" ht="14.25" customHeight="1" x14ac:dyDescent="0.25">
      <c r="A29" s="106" t="str">
        <f>'Monthly Financial Reports'!C26</f>
        <v>EBITDA</v>
      </c>
      <c r="B29" s="9"/>
      <c r="C29" s="9">
        <f>'Monthly Financial Reports'!BB26</f>
        <v>944241.0700000003</v>
      </c>
      <c r="D29" s="9">
        <f>'Monthly Financial Reports'!BC26</f>
        <v>5519534.653414051</v>
      </c>
      <c r="E29" s="9">
        <f>'Monthly Financial Reports'!BD26</f>
        <v>33207271.979405005</v>
      </c>
      <c r="F29" s="9">
        <f>'Monthly Financial Reports'!BE26</f>
        <v>74939531.387905985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349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</row>
    <row r="30" spans="1:54" ht="14.25" customHeight="1" x14ac:dyDescent="0.25">
      <c r="A30" s="348"/>
      <c r="B30" s="11" t="str">
        <f>'Monthly Financial Reports'!D27</f>
        <v>EBIT Margin</v>
      </c>
      <c r="C30" s="131">
        <f>'Monthly Financial Reports'!BB27</f>
        <v>0.13339031026416243</v>
      </c>
      <c r="D30" s="131">
        <f>'Monthly Financial Reports'!BC27</f>
        <v>0.37619544329026811</v>
      </c>
      <c r="E30" s="131">
        <f>'Monthly Financial Reports'!BD27</f>
        <v>0.50136573545654273</v>
      </c>
      <c r="F30" s="131">
        <f>'Monthly Financial Reports'!BE27</f>
        <v>0.42073854294218266</v>
      </c>
      <c r="G30" s="22"/>
      <c r="H30" s="22"/>
      <c r="I30" s="22"/>
      <c r="J30" s="81">
        <v>2024</v>
      </c>
      <c r="K30" s="81">
        <v>2025</v>
      </c>
      <c r="L30" s="81">
        <v>2026</v>
      </c>
      <c r="M30" s="81">
        <v>2027</v>
      </c>
      <c r="N30" s="22"/>
      <c r="O30" s="22"/>
      <c r="P30" s="22"/>
      <c r="Q30" s="349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</row>
    <row r="31" spans="1:54" ht="14.25" customHeight="1" x14ac:dyDescent="0.25">
      <c r="A31" s="348"/>
      <c r="B31" s="11"/>
      <c r="C31" s="11">
        <f>'Monthly Financial Reports'!BB28</f>
        <v>0</v>
      </c>
      <c r="D31" s="11">
        <f>'Monthly Financial Reports'!BC28</f>
        <v>0</v>
      </c>
      <c r="E31" s="11">
        <f>'Monthly Financial Reports'!BD28</f>
        <v>0</v>
      </c>
      <c r="F31" s="11">
        <f>'Monthly Financial Reports'!BE28</f>
        <v>0</v>
      </c>
      <c r="G31" s="22"/>
      <c r="H31" s="46"/>
      <c r="I31" s="46"/>
      <c r="J31" s="46"/>
      <c r="K31" s="46"/>
      <c r="L31" s="46"/>
      <c r="M31" s="46"/>
      <c r="N31" s="22"/>
      <c r="O31" s="22"/>
      <c r="P31" s="22"/>
      <c r="Q31" s="349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</row>
    <row r="32" spans="1:54" ht="14.25" customHeight="1" x14ac:dyDescent="0.25">
      <c r="A32" s="348"/>
      <c r="B32" s="11" t="str">
        <f>'Monthly Financial Reports'!D29</f>
        <v>Interest Expense</v>
      </c>
      <c r="C32" s="11">
        <f>'Monthly Financial Reports'!BB29</f>
        <v>11108</v>
      </c>
      <c r="D32" s="11">
        <f>'Monthly Financial Reports'!BC29</f>
        <v>8970</v>
      </c>
      <c r="E32" s="11">
        <f>'Monthly Financial Reports'!BD29</f>
        <v>8724</v>
      </c>
      <c r="F32" s="11">
        <f>'Monthly Financial Reports'!BE29</f>
        <v>8436</v>
      </c>
      <c r="G32" s="22"/>
      <c r="H32" s="7" t="str">
        <f>A67</f>
        <v>ASSETS</v>
      </c>
      <c r="I32" s="7"/>
      <c r="J32" s="7">
        <f t="shared" ref="J32:M32" si="22">C67</f>
        <v>1258371</v>
      </c>
      <c r="K32" s="7">
        <f t="shared" si="22"/>
        <v>7514289.1688435227</v>
      </c>
      <c r="L32" s="7">
        <f t="shared" si="22"/>
        <v>42780908.224568583</v>
      </c>
      <c r="M32" s="7">
        <f t="shared" si="22"/>
        <v>123790595.01977539</v>
      </c>
      <c r="N32" s="22"/>
      <c r="O32" s="22"/>
      <c r="P32" s="22"/>
      <c r="Q32" s="349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</row>
    <row r="33" spans="1:54" ht="14.25" customHeight="1" x14ac:dyDescent="0.25">
      <c r="A33" s="348"/>
      <c r="B33" s="11" t="str">
        <f>'Monthly Financial Reports'!D30</f>
        <v>Income Tax</v>
      </c>
      <c r="C33" s="11">
        <f>'Monthly Financial Reports'!BB30</f>
        <v>0</v>
      </c>
      <c r="D33" s="11">
        <f>'Monthly Financial Reports'!BC30</f>
        <v>1296454.6458942394</v>
      </c>
      <c r="E33" s="11">
        <f>'Monthly Financial Reports'!BD30</f>
        <v>8600683.4426658936</v>
      </c>
      <c r="F33" s="11">
        <f>'Monthly Financial Reports'!BE30</f>
        <v>19409338.629467648</v>
      </c>
      <c r="G33" s="22"/>
      <c r="H33" s="9"/>
      <c r="I33" s="11" t="s">
        <v>52</v>
      </c>
      <c r="J33" s="11">
        <f t="shared" ref="J33:M33" si="23">C69</f>
        <v>1257232</v>
      </c>
      <c r="K33" s="11">
        <f t="shared" si="23"/>
        <v>2602593.568843523</v>
      </c>
      <c r="L33" s="11">
        <f t="shared" si="23"/>
        <v>11389945.257901916</v>
      </c>
      <c r="M33" s="11">
        <f t="shared" si="23"/>
        <v>64205897.95310872</v>
      </c>
      <c r="N33" s="22"/>
      <c r="O33" s="22"/>
      <c r="P33" s="22"/>
      <c r="Q33" s="349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</row>
    <row r="34" spans="1:54" ht="14.25" customHeight="1" x14ac:dyDescent="0.25">
      <c r="A34" s="348"/>
      <c r="B34" s="11" t="str">
        <f>'Monthly Financial Reports'!D31</f>
        <v>Depreciation</v>
      </c>
      <c r="C34" s="11">
        <f>'Monthly Financial Reports'!BB31</f>
        <v>1200</v>
      </c>
      <c r="D34" s="11">
        <f>'Monthly Financial Reports'!BC31</f>
        <v>1200</v>
      </c>
      <c r="E34" s="11">
        <f>'Monthly Financial Reports'!BD31</f>
        <v>1200</v>
      </c>
      <c r="F34" s="11">
        <f>'Monthly Financial Reports'!BE31</f>
        <v>1200</v>
      </c>
      <c r="G34" s="22"/>
      <c r="H34" s="9"/>
      <c r="I34" s="11" t="str">
        <f t="shared" ref="I34:M34" si="24">B70</f>
        <v>Accounts Receivable</v>
      </c>
      <c r="J34" s="11">
        <f t="shared" si="24"/>
        <v>0</v>
      </c>
      <c r="K34" s="11">
        <f t="shared" si="24"/>
        <v>4907723.5999999996</v>
      </c>
      <c r="L34" s="11">
        <f t="shared" si="24"/>
        <v>31388190.966666669</v>
      </c>
      <c r="M34" s="11">
        <f t="shared" si="24"/>
        <v>59583125.066666663</v>
      </c>
      <c r="N34" s="22"/>
      <c r="O34" s="22"/>
      <c r="P34" s="22"/>
      <c r="Q34" s="349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</row>
    <row r="35" spans="1:54" ht="14.25" customHeight="1" x14ac:dyDescent="0.25">
      <c r="A35" s="348"/>
      <c r="B35" s="11" t="str">
        <f>'Monthly Financial Reports'!D32</f>
        <v>Amortization</v>
      </c>
      <c r="C35" s="11">
        <f>'Monthly Financial Reports'!BB32</f>
        <v>9000</v>
      </c>
      <c r="D35" s="11">
        <f>'Monthly Financial Reports'!BC32</f>
        <v>9030</v>
      </c>
      <c r="E35" s="11">
        <f>'Monthly Financial Reports'!BD32</f>
        <v>9276</v>
      </c>
      <c r="F35" s="11">
        <f>'Monthly Financial Reports'!BE32</f>
        <v>9564</v>
      </c>
      <c r="G35" s="22"/>
      <c r="H35" s="46"/>
      <c r="I35" s="11" t="str">
        <f>A71</f>
        <v>Fixed Assets</v>
      </c>
      <c r="J35" s="11">
        <f t="shared" ref="J35:M35" si="25">C71</f>
        <v>1139</v>
      </c>
      <c r="K35" s="11">
        <f t="shared" si="25"/>
        <v>3972</v>
      </c>
      <c r="L35" s="11">
        <f t="shared" si="25"/>
        <v>2772</v>
      </c>
      <c r="M35" s="11">
        <f t="shared" si="25"/>
        <v>1572</v>
      </c>
      <c r="N35" s="22"/>
      <c r="O35" s="22"/>
      <c r="P35" s="22"/>
      <c r="Q35" s="349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</row>
    <row r="36" spans="1:54" ht="14.25" customHeight="1" x14ac:dyDescent="0.25">
      <c r="A36" s="348"/>
      <c r="B36" s="11"/>
      <c r="C36" s="11">
        <f>'Monthly Financial Reports'!BB33</f>
        <v>0</v>
      </c>
      <c r="D36" s="11">
        <f>'Monthly Financial Reports'!BC33</f>
        <v>0</v>
      </c>
      <c r="E36" s="11">
        <f>'Monthly Financial Reports'!BD33</f>
        <v>0</v>
      </c>
      <c r="F36" s="11">
        <f>'Monthly Financial Reports'!BE33</f>
        <v>0</v>
      </c>
      <c r="G36" s="22"/>
      <c r="H36" s="7" t="str">
        <f>A73</f>
        <v>LIABILITIES</v>
      </c>
      <c r="I36" s="30"/>
      <c r="J36" s="7">
        <f t="shared" ref="J36:M36" si="26">C73</f>
        <v>198133</v>
      </c>
      <c r="K36" s="7">
        <f t="shared" si="26"/>
        <v>2492984.6458942397</v>
      </c>
      <c r="L36" s="7">
        <f t="shared" si="26"/>
        <v>13345037.442665894</v>
      </c>
      <c r="M36" s="7">
        <f t="shared" si="26"/>
        <v>33412668.629467648</v>
      </c>
      <c r="N36" s="22"/>
      <c r="O36" s="22"/>
      <c r="P36" s="22"/>
      <c r="Q36" s="349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</row>
    <row r="37" spans="1:54" ht="14.25" customHeight="1" x14ac:dyDescent="0.25">
      <c r="A37" s="106" t="str">
        <f>'Monthly Financial Reports'!C34</f>
        <v>Net Income</v>
      </c>
      <c r="B37" s="9"/>
      <c r="C37" s="9">
        <f>'Monthly Financial Reports'!BB34</f>
        <v>922933.0700000003</v>
      </c>
      <c r="D37" s="9">
        <f>'Monthly Financial Reports'!BC34</f>
        <v>4203880.0075198114</v>
      </c>
      <c r="E37" s="9">
        <f>'Monthly Financial Reports'!BD34</f>
        <v>24587388.536739111</v>
      </c>
      <c r="F37" s="9">
        <f>'Monthly Financial Reports'!BE34</f>
        <v>55510992.758438334</v>
      </c>
      <c r="G37" s="46"/>
      <c r="H37" s="46"/>
      <c r="I37" s="11" t="str">
        <f>A74</f>
        <v>Current Liabilities</v>
      </c>
      <c r="J37" s="11">
        <f t="shared" ref="J37:M37" si="27">C74</f>
        <v>82446</v>
      </c>
      <c r="K37" s="11">
        <f t="shared" si="27"/>
        <v>2446827.6458942397</v>
      </c>
      <c r="L37" s="11">
        <f t="shared" si="27"/>
        <v>13308156.442665894</v>
      </c>
      <c r="M37" s="11">
        <f t="shared" si="27"/>
        <v>33385351.629467648</v>
      </c>
      <c r="N37" s="46"/>
      <c r="O37" s="46"/>
      <c r="P37" s="46"/>
      <c r="Q37" s="153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</row>
    <row r="38" spans="1:54" ht="14.25" customHeight="1" x14ac:dyDescent="0.25">
      <c r="A38" s="348"/>
      <c r="B38" s="11" t="str">
        <f>'Monthly Financial Reports'!D35</f>
        <v>Net Margin</v>
      </c>
      <c r="C38" s="131">
        <f>'Monthly Financial Reports'!BB35</f>
        <v>0.1303801883563018</v>
      </c>
      <c r="D38" s="131">
        <f>'Monthly Financial Reports'!BC35</f>
        <v>0.28652424566078277</v>
      </c>
      <c r="E38" s="131">
        <f>'Monthly Financial Reports'!BD35</f>
        <v>0.37122212701854251</v>
      </c>
      <c r="F38" s="131">
        <f>'Monthly Financial Reports'!BE35</f>
        <v>0.31165946434285569</v>
      </c>
      <c r="G38" s="22"/>
      <c r="H38" s="22"/>
      <c r="I38" s="11" t="str">
        <f>A78</f>
        <v>Long-Term Liabilities</v>
      </c>
      <c r="J38" s="11">
        <f t="shared" ref="J38:M38" si="28">C78</f>
        <v>115687</v>
      </c>
      <c r="K38" s="11">
        <f t="shared" si="28"/>
        <v>46157</v>
      </c>
      <c r="L38" s="11">
        <f t="shared" si="28"/>
        <v>36881</v>
      </c>
      <c r="M38" s="11">
        <f t="shared" si="28"/>
        <v>27317</v>
      </c>
      <c r="N38" s="22"/>
      <c r="O38" s="22"/>
      <c r="P38" s="22"/>
      <c r="Q38" s="349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</row>
    <row r="39" spans="1:54" ht="14.25" customHeight="1" x14ac:dyDescent="0.25">
      <c r="A39" s="348"/>
      <c r="B39" s="11"/>
      <c r="C39" s="11">
        <f>'Monthly Financial Reports'!BB36</f>
        <v>0</v>
      </c>
      <c r="D39" s="11">
        <f>'Monthly Financial Reports'!BC36</f>
        <v>0</v>
      </c>
      <c r="E39" s="11">
        <f>'Monthly Financial Reports'!BD36</f>
        <v>0</v>
      </c>
      <c r="F39" s="11">
        <f>'Monthly Financial Reports'!BE36</f>
        <v>0</v>
      </c>
      <c r="G39" s="22"/>
      <c r="H39" s="7" t="str">
        <f>A80</f>
        <v>EQUITY</v>
      </c>
      <c r="I39" s="30"/>
      <c r="J39" s="7">
        <f t="shared" ref="J39:M39" si="29">C80</f>
        <v>1060238</v>
      </c>
      <c r="K39" s="7">
        <f t="shared" si="29"/>
        <v>5021304.522949283</v>
      </c>
      <c r="L39" s="7">
        <f t="shared" si="29"/>
        <v>29435870.781902689</v>
      </c>
      <c r="M39" s="7">
        <f t="shared" si="29"/>
        <v>90377926.390307739</v>
      </c>
      <c r="N39" s="22"/>
      <c r="O39" s="22"/>
      <c r="P39" s="22"/>
      <c r="Q39" s="349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</row>
    <row r="40" spans="1:54" ht="14.25" customHeight="1" x14ac:dyDescent="0.25">
      <c r="A40" s="348"/>
      <c r="B40" s="11"/>
      <c r="C40" s="11">
        <f>'Monthly Financial Reports'!BB37</f>
        <v>0</v>
      </c>
      <c r="D40" s="11">
        <f>'Monthly Financial Reports'!BC37</f>
        <v>0</v>
      </c>
      <c r="E40" s="11">
        <f>'Monthly Financial Reports'!BD37</f>
        <v>0</v>
      </c>
      <c r="F40" s="11">
        <f>'Monthly Financial Reports'!BE37</f>
        <v>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349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</row>
    <row r="41" spans="1:54" ht="14.25" customHeight="1" x14ac:dyDescent="0.25">
      <c r="A41" s="348"/>
      <c r="B41" s="11"/>
      <c r="C41" s="11">
        <f>'Monthly Financial Reports'!BB38</f>
        <v>0</v>
      </c>
      <c r="D41" s="11">
        <f>'Monthly Financial Reports'!BC38</f>
        <v>0</v>
      </c>
      <c r="E41" s="11">
        <f>'Monthly Financial Reports'!BD38</f>
        <v>0</v>
      </c>
      <c r="F41" s="11">
        <f>'Monthly Financial Reports'!BE38</f>
        <v>0</v>
      </c>
      <c r="G41" s="22"/>
      <c r="H41" s="7" t="str">
        <f>A88</f>
        <v>LIABILITIES AND EQUITY</v>
      </c>
      <c r="I41" s="7"/>
      <c r="J41" s="7">
        <f t="shared" ref="J41:M41" si="30">C88</f>
        <v>1258371</v>
      </c>
      <c r="K41" s="7">
        <f t="shared" si="30"/>
        <v>7514289.1688435227</v>
      </c>
      <c r="L41" s="7">
        <f t="shared" si="30"/>
        <v>42780908.224568583</v>
      </c>
      <c r="M41" s="7">
        <f t="shared" si="30"/>
        <v>123790595.01977539</v>
      </c>
      <c r="N41" s="22"/>
      <c r="O41" s="22"/>
      <c r="P41" s="22"/>
      <c r="Q41" s="349"/>
      <c r="R41" s="22"/>
      <c r="S41" s="214">
        <f t="shared" ref="S41:BB41" si="31">S19</f>
        <v>45658</v>
      </c>
      <c r="T41" s="214">
        <f t="shared" si="31"/>
        <v>45689</v>
      </c>
      <c r="U41" s="214">
        <f t="shared" si="31"/>
        <v>45717</v>
      </c>
      <c r="V41" s="214">
        <f t="shared" si="31"/>
        <v>45748</v>
      </c>
      <c r="W41" s="214">
        <f t="shared" si="31"/>
        <v>45778</v>
      </c>
      <c r="X41" s="214">
        <f t="shared" si="31"/>
        <v>45809</v>
      </c>
      <c r="Y41" s="214">
        <f t="shared" si="31"/>
        <v>45839</v>
      </c>
      <c r="Z41" s="214">
        <f t="shared" si="31"/>
        <v>45870</v>
      </c>
      <c r="AA41" s="214">
        <f t="shared" si="31"/>
        <v>45901</v>
      </c>
      <c r="AB41" s="214">
        <f t="shared" si="31"/>
        <v>45931</v>
      </c>
      <c r="AC41" s="214">
        <f t="shared" si="31"/>
        <v>45962</v>
      </c>
      <c r="AD41" s="214">
        <f t="shared" si="31"/>
        <v>45992</v>
      </c>
      <c r="AE41" s="214">
        <f t="shared" si="31"/>
        <v>46023</v>
      </c>
      <c r="AF41" s="214">
        <f t="shared" si="31"/>
        <v>46054</v>
      </c>
      <c r="AG41" s="214">
        <f t="shared" si="31"/>
        <v>46082</v>
      </c>
      <c r="AH41" s="214">
        <f t="shared" si="31"/>
        <v>46113</v>
      </c>
      <c r="AI41" s="214">
        <f t="shared" si="31"/>
        <v>46143</v>
      </c>
      <c r="AJ41" s="214">
        <f t="shared" si="31"/>
        <v>46174</v>
      </c>
      <c r="AK41" s="214">
        <f t="shared" si="31"/>
        <v>46204</v>
      </c>
      <c r="AL41" s="214">
        <f t="shared" si="31"/>
        <v>46235</v>
      </c>
      <c r="AM41" s="214">
        <f t="shared" si="31"/>
        <v>46266</v>
      </c>
      <c r="AN41" s="214">
        <f t="shared" si="31"/>
        <v>46296</v>
      </c>
      <c r="AO41" s="214">
        <f t="shared" si="31"/>
        <v>46327</v>
      </c>
      <c r="AP41" s="214">
        <f t="shared" si="31"/>
        <v>46357</v>
      </c>
      <c r="AQ41" s="214">
        <f t="shared" si="31"/>
        <v>46388</v>
      </c>
      <c r="AR41" s="214">
        <f t="shared" si="31"/>
        <v>46419</v>
      </c>
      <c r="AS41" s="214">
        <f t="shared" si="31"/>
        <v>46447</v>
      </c>
      <c r="AT41" s="214">
        <f t="shared" si="31"/>
        <v>46478</v>
      </c>
      <c r="AU41" s="214">
        <f t="shared" si="31"/>
        <v>46508</v>
      </c>
      <c r="AV41" s="214">
        <f t="shared" si="31"/>
        <v>46539</v>
      </c>
      <c r="AW41" s="214">
        <f t="shared" si="31"/>
        <v>46569</v>
      </c>
      <c r="AX41" s="214">
        <f t="shared" si="31"/>
        <v>46600</v>
      </c>
      <c r="AY41" s="214">
        <f t="shared" si="31"/>
        <v>46631</v>
      </c>
      <c r="AZ41" s="214">
        <f t="shared" si="31"/>
        <v>46661</v>
      </c>
      <c r="BA41" s="214">
        <f t="shared" si="31"/>
        <v>46692</v>
      </c>
      <c r="BB41" s="214">
        <f t="shared" si="31"/>
        <v>46722</v>
      </c>
    </row>
    <row r="42" spans="1:54" ht="14.25" customHeight="1" x14ac:dyDescent="0.25">
      <c r="A42" s="348"/>
      <c r="B42" s="11"/>
      <c r="C42" s="22">
        <f>'Monthly Financial Reports'!BB39</f>
        <v>2024</v>
      </c>
      <c r="D42" s="22">
        <f>'Monthly Financial Reports'!BC39</f>
        <v>2025</v>
      </c>
      <c r="E42" s="22">
        <f>'Monthly Financial Reports'!BD39</f>
        <v>2026</v>
      </c>
      <c r="F42" s="22">
        <f>'Monthly Financial Reports'!BE39</f>
        <v>2027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349"/>
      <c r="R42" s="22" t="str">
        <f t="shared" ref="R42:BB42" si="32">R20</f>
        <v>Cash</v>
      </c>
      <c r="S42" s="11">
        <f t="shared" si="32"/>
        <v>1337303.1200000001</v>
      </c>
      <c r="T42" s="11">
        <f t="shared" si="32"/>
        <v>1111183.3799999999</v>
      </c>
      <c r="U42" s="11">
        <f t="shared" si="32"/>
        <v>1210604.0741666665</v>
      </c>
      <c r="V42" s="11">
        <f t="shared" si="32"/>
        <v>615697.93041666644</v>
      </c>
      <c r="W42" s="11">
        <f t="shared" si="32"/>
        <v>985758.14249999973</v>
      </c>
      <c r="X42" s="11">
        <f t="shared" si="32"/>
        <v>994792.37458333315</v>
      </c>
      <c r="Y42" s="11">
        <f t="shared" si="32"/>
        <v>907889.66449808714</v>
      </c>
      <c r="Z42" s="11">
        <f t="shared" si="32"/>
        <v>1040575.3779627511</v>
      </c>
      <c r="AA42" s="11">
        <f t="shared" si="32"/>
        <v>1383801.4254294704</v>
      </c>
      <c r="AB42" s="11">
        <f t="shared" si="32"/>
        <v>1799322.2587628036</v>
      </c>
      <c r="AC42" s="11">
        <f t="shared" si="32"/>
        <v>2280989.6121854587</v>
      </c>
      <c r="AD42" s="11">
        <f t="shared" si="32"/>
        <v>2602593.568843523</v>
      </c>
      <c r="AE42" s="11">
        <f t="shared" si="32"/>
        <v>2731799.1136222663</v>
      </c>
      <c r="AF42" s="11">
        <f t="shared" si="32"/>
        <v>2681532.7506324728</v>
      </c>
      <c r="AG42" s="11">
        <f t="shared" si="32"/>
        <v>2551489.1909924438</v>
      </c>
      <c r="AH42" s="11">
        <f t="shared" si="32"/>
        <v>1093281.8213981355</v>
      </c>
      <c r="AI42" s="11">
        <f t="shared" si="32"/>
        <v>941770.26760992152</v>
      </c>
      <c r="AJ42" s="11">
        <f t="shared" si="32"/>
        <v>979700.45042585232</v>
      </c>
      <c r="AK42" s="11">
        <f t="shared" si="32"/>
        <v>1629081.4550844317</v>
      </c>
      <c r="AL42" s="11">
        <f t="shared" si="32"/>
        <v>2692093.2502581351</v>
      </c>
      <c r="AM42" s="11">
        <f t="shared" si="32"/>
        <v>3814639.3019021759</v>
      </c>
      <c r="AN42" s="11">
        <f t="shared" si="32"/>
        <v>5851482.8733825609</v>
      </c>
      <c r="AO42" s="11">
        <f t="shared" si="32"/>
        <v>8489562.9049472157</v>
      </c>
      <c r="AP42" s="11">
        <f t="shared" si="32"/>
        <v>11389945.257901916</v>
      </c>
      <c r="AQ42" s="11">
        <f t="shared" si="32"/>
        <v>15190343.202686492</v>
      </c>
      <c r="AR42" s="11">
        <f t="shared" si="32"/>
        <v>19423004.681849401</v>
      </c>
      <c r="AS42" s="11">
        <f t="shared" si="32"/>
        <v>24432162.820696138</v>
      </c>
      <c r="AT42" s="11">
        <f t="shared" si="32"/>
        <v>21164612.986348581</v>
      </c>
      <c r="AU42" s="11">
        <f t="shared" si="32"/>
        <v>27514038.675587576</v>
      </c>
      <c r="AV42" s="11">
        <f t="shared" si="32"/>
        <v>34277634.530774914</v>
      </c>
      <c r="AW42" s="11">
        <f t="shared" si="32"/>
        <v>37988279.800423302</v>
      </c>
      <c r="AX42" s="11">
        <f t="shared" si="32"/>
        <v>42017996.264600612</v>
      </c>
      <c r="AY42" s="11">
        <f t="shared" si="32"/>
        <v>46797014.810661286</v>
      </c>
      <c r="AZ42" s="11">
        <f t="shared" si="32"/>
        <v>52089906.815788522</v>
      </c>
      <c r="BA42" s="11">
        <f t="shared" si="32"/>
        <v>57776986.962238692</v>
      </c>
      <c r="BB42" s="11">
        <f t="shared" si="32"/>
        <v>64205897.95310872</v>
      </c>
    </row>
    <row r="43" spans="1:54" ht="14.25" customHeight="1" x14ac:dyDescent="0.25">
      <c r="A43" s="348"/>
      <c r="B43" s="11"/>
      <c r="C43" s="11">
        <f>'Monthly Financial Reports'!BB40</f>
        <v>0</v>
      </c>
      <c r="D43" s="11">
        <f>'Monthly Financial Reports'!BC40</f>
        <v>0</v>
      </c>
      <c r="E43" s="11">
        <f>'Monthly Financial Reports'!BD40</f>
        <v>0</v>
      </c>
      <c r="F43" s="11">
        <f>'Monthly Financial Reports'!BE40</f>
        <v>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349"/>
      <c r="R43" s="22" t="str">
        <f t="shared" ref="R43:BB43" si="33">R11</f>
        <v>EBITDA</v>
      </c>
      <c r="S43" s="11">
        <f t="shared" si="33"/>
        <v>98401.12</v>
      </c>
      <c r="T43" s="11">
        <f t="shared" si="33"/>
        <v>-237693.74000000011</v>
      </c>
      <c r="U43" s="11">
        <f t="shared" si="33"/>
        <v>96525.339999999909</v>
      </c>
      <c r="V43" s="11">
        <f t="shared" si="33"/>
        <v>-65535.800000000047</v>
      </c>
      <c r="W43" s="11">
        <f t="shared" si="33"/>
        <v>454588.15999999992</v>
      </c>
      <c r="X43" s="11">
        <f t="shared" si="33"/>
        <v>167633.17999999993</v>
      </c>
      <c r="Y43" s="11">
        <f t="shared" si="33"/>
        <v>360965.43333333329</v>
      </c>
      <c r="Z43" s="11">
        <f t="shared" si="33"/>
        <v>592199.10000000009</v>
      </c>
      <c r="AA43" s="11">
        <f t="shared" si="33"/>
        <v>840340.7</v>
      </c>
      <c r="AB43" s="11">
        <f t="shared" si="33"/>
        <v>863805.46666666679</v>
      </c>
      <c r="AC43" s="11">
        <f t="shared" si="33"/>
        <v>1109462.6450893213</v>
      </c>
      <c r="AD43" s="11">
        <f t="shared" si="33"/>
        <v>1238843.0483247305</v>
      </c>
      <c r="AE43" s="11">
        <f t="shared" si="33"/>
        <v>1146715.8989454098</v>
      </c>
      <c r="AF43" s="11">
        <f t="shared" si="33"/>
        <v>1271156.4620102071</v>
      </c>
      <c r="AG43" s="11">
        <f t="shared" si="33"/>
        <v>1338961.5549433045</v>
      </c>
      <c r="AH43" s="11">
        <f t="shared" si="33"/>
        <v>1514312.1679665972</v>
      </c>
      <c r="AI43" s="11">
        <f t="shared" si="33"/>
        <v>1944205.6462117862</v>
      </c>
      <c r="AJ43" s="11">
        <f t="shared" si="33"/>
        <v>2199806.3557325974</v>
      </c>
      <c r="AK43" s="11">
        <f t="shared" si="33"/>
        <v>2988253.975491913</v>
      </c>
      <c r="AL43" s="11">
        <f t="shared" si="33"/>
        <v>3333445.7086737039</v>
      </c>
      <c r="AM43" s="11">
        <f t="shared" si="33"/>
        <v>3473994.3061140394</v>
      </c>
      <c r="AN43" s="11">
        <f t="shared" si="33"/>
        <v>4377569.8946496192</v>
      </c>
      <c r="AO43" s="11">
        <f t="shared" si="33"/>
        <v>4755942.7754596435</v>
      </c>
      <c r="AP43" s="11">
        <f t="shared" si="33"/>
        <v>4862907.2332061715</v>
      </c>
      <c r="AQ43" s="11">
        <f t="shared" si="33"/>
        <v>5748827.2095215414</v>
      </c>
      <c r="AR43" s="11">
        <f t="shared" si="33"/>
        <v>5897772.7280605854</v>
      </c>
      <c r="AS43" s="11">
        <f t="shared" si="33"/>
        <v>6646486.3208963582</v>
      </c>
      <c r="AT43" s="11">
        <f t="shared" si="33"/>
        <v>6620684.0377556905</v>
      </c>
      <c r="AU43" s="11">
        <f t="shared" si="33"/>
        <v>7772777.448791204</v>
      </c>
      <c r="AV43" s="11">
        <f t="shared" si="33"/>
        <v>7810627.7880541449</v>
      </c>
      <c r="AW43" s="11">
        <f t="shared" si="33"/>
        <v>4677211.4502567695</v>
      </c>
      <c r="AX43" s="11">
        <f t="shared" si="33"/>
        <v>5284848.3961749068</v>
      </c>
      <c r="AY43" s="11">
        <f t="shared" si="33"/>
        <v>5550269.4027895657</v>
      </c>
      <c r="AZ43" s="11">
        <f t="shared" si="33"/>
        <v>5781782.739605777</v>
      </c>
      <c r="BA43" s="11">
        <f t="shared" si="33"/>
        <v>6052017.1254528295</v>
      </c>
      <c r="BB43" s="11">
        <f t="shared" si="33"/>
        <v>7096226.740546599</v>
      </c>
    </row>
    <row r="44" spans="1:54" ht="14.25" customHeight="1" x14ac:dyDescent="0.25">
      <c r="A44" s="106" t="str">
        <f>'Monthly Financial Reports'!C41</f>
        <v>Starting Cash</v>
      </c>
      <c r="B44" s="9"/>
      <c r="C44" s="9">
        <f>'Monthly Financial Reports'!BB41</f>
        <v>299151</v>
      </c>
      <c r="D44" s="9">
        <f>'Monthly Financial Reports'!BC41</f>
        <v>1257232.0700000003</v>
      </c>
      <c r="E44" s="9">
        <f>'Monthly Financial Reports'!BD41</f>
        <v>2602593.568843523</v>
      </c>
      <c r="F44" s="9">
        <f>'Monthly Financial Reports'!BE41</f>
        <v>11389945.257901916</v>
      </c>
      <c r="G44" s="46"/>
      <c r="H44" s="46"/>
      <c r="I44" s="22" t="s">
        <v>585</v>
      </c>
      <c r="J44" s="46"/>
      <c r="K44" s="46"/>
      <c r="L44" s="46"/>
      <c r="M44" s="46"/>
      <c r="N44" s="46"/>
      <c r="O44" s="46"/>
      <c r="P44" s="46"/>
      <c r="Q44" s="153"/>
      <c r="R44" s="22" t="str">
        <f t="shared" ref="R44:BB44" si="34">R13</f>
        <v>Net Receivables</v>
      </c>
      <c r="S44" s="11">
        <f t="shared" si="34"/>
        <v>0</v>
      </c>
      <c r="T44" s="11">
        <f t="shared" si="34"/>
        <v>0</v>
      </c>
      <c r="U44" s="11">
        <f t="shared" si="34"/>
        <v>0</v>
      </c>
      <c r="V44" s="11">
        <f t="shared" si="34"/>
        <v>12010</v>
      </c>
      <c r="W44" s="11">
        <f t="shared" si="34"/>
        <v>70315</v>
      </c>
      <c r="X44" s="11">
        <f t="shared" si="34"/>
        <v>221000</v>
      </c>
      <c r="Y44" s="11">
        <f t="shared" si="34"/>
        <v>1163431.9609313833</v>
      </c>
      <c r="Z44" s="11">
        <f t="shared" si="34"/>
        <v>1521398.6391333863</v>
      </c>
      <c r="AA44" s="11">
        <f t="shared" si="34"/>
        <v>1969543</v>
      </c>
      <c r="AB44" s="11">
        <f t="shared" si="34"/>
        <v>2369994.7999999998</v>
      </c>
      <c r="AC44" s="11">
        <f t="shared" si="34"/>
        <v>2951327.8</v>
      </c>
      <c r="AD44" s="11">
        <f t="shared" si="34"/>
        <v>3819608.5999999996</v>
      </c>
      <c r="AE44" s="11">
        <f t="shared" si="34"/>
        <v>4843851.9333333336</v>
      </c>
      <c r="AF44" s="11">
        <f t="shared" si="34"/>
        <v>6110947.8000000007</v>
      </c>
      <c r="AG44" s="11">
        <f t="shared" si="34"/>
        <v>7542546.4666666668</v>
      </c>
      <c r="AH44" s="11">
        <f t="shared" si="34"/>
        <v>9194340.7333333343</v>
      </c>
      <c r="AI44" s="11">
        <f t="shared" si="34"/>
        <v>11156128.6</v>
      </c>
      <c r="AJ44" s="11">
        <f t="shared" si="34"/>
        <v>13243313.866666665</v>
      </c>
      <c r="AK44" s="11">
        <f t="shared" si="34"/>
        <v>15448896.93333333</v>
      </c>
      <c r="AL44" s="11">
        <f t="shared" si="34"/>
        <v>17804579.399999999</v>
      </c>
      <c r="AM44" s="11">
        <f t="shared" si="34"/>
        <v>20155559.866666671</v>
      </c>
      <c r="AN44" s="11">
        <f t="shared" si="34"/>
        <v>22525229.633333337</v>
      </c>
      <c r="AO44" s="11">
        <f t="shared" si="34"/>
        <v>24686401.600000001</v>
      </c>
      <c r="AP44" s="11">
        <f t="shared" si="34"/>
        <v>26742975.966666669</v>
      </c>
      <c r="AQ44" s="11">
        <f t="shared" si="34"/>
        <v>28811989.833333336</v>
      </c>
      <c r="AR44" s="11">
        <f t="shared" si="34"/>
        <v>30665616.100000001</v>
      </c>
      <c r="AS44" s="11">
        <f t="shared" si="34"/>
        <v>32523544.766666666</v>
      </c>
      <c r="AT44" s="11">
        <f t="shared" si="34"/>
        <v>34175375.233333334</v>
      </c>
      <c r="AU44" s="11">
        <f t="shared" si="34"/>
        <v>35841507.700000003</v>
      </c>
      <c r="AV44" s="11">
        <f t="shared" si="34"/>
        <v>37308942.166666664</v>
      </c>
      <c r="AW44" s="11">
        <f t="shared" si="34"/>
        <v>38699378.433333337</v>
      </c>
      <c r="AX44" s="11">
        <f t="shared" si="34"/>
        <v>40495433.800000004</v>
      </c>
      <c r="AY44" s="11">
        <f t="shared" si="34"/>
        <v>41853390.566666663</v>
      </c>
      <c r="AZ44" s="11">
        <f t="shared" si="34"/>
        <v>43031649.133333333</v>
      </c>
      <c r="BA44" s="11">
        <f t="shared" si="34"/>
        <v>44142909.100000009</v>
      </c>
      <c r="BB44" s="11">
        <f t="shared" si="34"/>
        <v>45669370.066666663</v>
      </c>
    </row>
    <row r="45" spans="1:54" ht="14.25" customHeight="1" x14ac:dyDescent="0.25">
      <c r="A45" s="348"/>
      <c r="B45" s="11"/>
      <c r="C45" s="11">
        <f>'Monthly Financial Reports'!BB42</f>
        <v>0</v>
      </c>
      <c r="D45" s="11">
        <f>'Monthly Financial Reports'!BC42</f>
        <v>0</v>
      </c>
      <c r="E45" s="11">
        <f>'Monthly Financial Reports'!BD42</f>
        <v>0</v>
      </c>
      <c r="F45" s="11">
        <f>'Monthly Financial Reports'!BE42</f>
        <v>0</v>
      </c>
      <c r="G45" s="22"/>
      <c r="H45" s="22"/>
      <c r="I45" s="22"/>
      <c r="J45" s="81">
        <v>2024</v>
      </c>
      <c r="K45" s="81" t="s">
        <v>3</v>
      </c>
      <c r="L45" s="81" t="s">
        <v>4</v>
      </c>
      <c r="M45" s="81" t="s">
        <v>5</v>
      </c>
      <c r="N45" s="22"/>
      <c r="O45" s="22"/>
      <c r="P45" s="22"/>
      <c r="Q45" s="349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</row>
    <row r="46" spans="1:54" ht="14.25" customHeight="1" x14ac:dyDescent="0.25">
      <c r="A46" s="348"/>
      <c r="B46" s="11" t="str">
        <f>'Monthly Financial Reports'!D43</f>
        <v>Net Income</v>
      </c>
      <c r="C46" s="11">
        <f>'Monthly Financial Reports'!BB43</f>
        <v>922933.0700000003</v>
      </c>
      <c r="D46" s="11">
        <f>'Monthly Financial Reports'!BC43</f>
        <v>4203880.0075198123</v>
      </c>
      <c r="E46" s="11">
        <f>'Monthly Financial Reports'!BD43</f>
        <v>24587388.5367391</v>
      </c>
      <c r="F46" s="11">
        <f>'Monthly Financial Reports'!BE43</f>
        <v>55510992.758438326</v>
      </c>
      <c r="G46" s="22"/>
      <c r="H46" s="22"/>
      <c r="I46" s="11" t="str">
        <f>H8</f>
        <v>Revenue</v>
      </c>
      <c r="J46" s="11">
        <f t="shared" ref="J46:M46" si="35">J16</f>
        <v>7078783.0700000003</v>
      </c>
      <c r="K46" s="11">
        <f t="shared" si="35"/>
        <v>14671987</v>
      </c>
      <c r="L46" s="11">
        <f t="shared" si="35"/>
        <v>66233628.728470087</v>
      </c>
      <c r="M46" s="11">
        <f t="shared" si="35"/>
        <v>178114253.24587882</v>
      </c>
      <c r="N46" s="22"/>
      <c r="O46" s="22"/>
      <c r="P46" s="22"/>
      <c r="Q46" s="349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</row>
    <row r="47" spans="1:54" ht="14.25" customHeight="1" x14ac:dyDescent="0.25">
      <c r="A47" s="348"/>
      <c r="B47" s="11" t="str">
        <f>'Monthly Financial Reports'!D44</f>
        <v>Recievables</v>
      </c>
      <c r="C47" s="11">
        <f>'Monthly Financial Reports'!BB44</f>
        <v>0</v>
      </c>
      <c r="D47" s="11">
        <f>'Monthly Financial Reports'!BC44</f>
        <v>-9836481.6782667711</v>
      </c>
      <c r="E47" s="11">
        <f>'Monthly Financial Reports'!BD44</f>
        <v>-65108209.600000009</v>
      </c>
      <c r="F47" s="11">
        <f>'Monthly Financial Reports'!BE44</f>
        <v>-168600053.5</v>
      </c>
      <c r="G47" s="22"/>
      <c r="H47" s="22"/>
      <c r="I47" s="11" t="str">
        <f>H26</f>
        <v>EBITDA</v>
      </c>
      <c r="J47" s="11">
        <f t="shared" ref="J47:M47" si="36">J26</f>
        <v>944241.0700000003</v>
      </c>
      <c r="K47" s="11">
        <f t="shared" si="36"/>
        <v>5519534.653414051</v>
      </c>
      <c r="L47" s="11">
        <f t="shared" si="36"/>
        <v>33207271.979405005</v>
      </c>
      <c r="M47" s="11">
        <f t="shared" si="36"/>
        <v>74939531.387905985</v>
      </c>
      <c r="N47" s="22"/>
      <c r="O47" s="22"/>
      <c r="P47" s="22"/>
      <c r="Q47" s="349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</row>
    <row r="48" spans="1:54" ht="14.25" customHeight="1" x14ac:dyDescent="0.25">
      <c r="A48" s="348"/>
      <c r="B48" s="11" t="str">
        <f>'Monthly Financial Reports'!D45</f>
        <v>Payables - COGS</v>
      </c>
      <c r="C48" s="11">
        <f>'Monthly Financial Reports'!BB45</f>
        <v>24948</v>
      </c>
      <c r="D48" s="11">
        <f>'Monthly Financial Reports'!BC45</f>
        <v>4785505.738474803</v>
      </c>
      <c r="E48" s="11">
        <f>'Monthly Financial Reports'!BD45</f>
        <v>33945930</v>
      </c>
      <c r="F48" s="11">
        <f>'Monthly Financial Reports'!BE45</f>
        <v>105563495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349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</row>
    <row r="49" spans="1:54" ht="14.25" customHeight="1" x14ac:dyDescent="0.25">
      <c r="A49" s="348"/>
      <c r="B49" s="11" t="str">
        <f>'Monthly Financial Reports'!D46</f>
        <v xml:space="preserve">Net Contribution Cash </v>
      </c>
      <c r="C49" s="11">
        <f>'Monthly Financial Reports'!BB46</f>
        <v>0</v>
      </c>
      <c r="D49" s="11">
        <f>'Monthly Financial Reports'!BC46</f>
        <v>1369219.4489714396</v>
      </c>
      <c r="E49" s="11">
        <f>'Monthly Financial Reports'!BD46</f>
        <v>8083933.9555476364</v>
      </c>
      <c r="F49" s="11">
        <f>'Monthly Financial Reports'!BE46</f>
        <v>49657860.041633412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49"/>
      <c r="R49" s="22" t="s">
        <v>92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</row>
    <row r="50" spans="1:54" ht="14.25" customHeight="1" x14ac:dyDescent="0.25">
      <c r="A50" s="348"/>
      <c r="B50" s="11" t="str">
        <f>'Monthly Financial Reports'!D47</f>
        <v xml:space="preserve">Net Expense Cash </v>
      </c>
      <c r="C50" s="11">
        <f>'Monthly Financial Reports'!BB47</f>
        <v>0</v>
      </c>
      <c r="D50" s="11">
        <f>'Monthly Financial Reports'!BC47</f>
        <v>52085.406250000007</v>
      </c>
      <c r="E50" s="11">
        <f>'Monthly Financial Reports'!BD47</f>
        <v>152327.99999999994</v>
      </c>
      <c r="F50" s="11">
        <f>'Monthly Financial Reports'!BE47</f>
        <v>52675.208333333256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49"/>
      <c r="R50" s="46" t="str">
        <f>Worksheet!B9</f>
        <v>VA - Mental Health</v>
      </c>
      <c r="S50" s="350">
        <f>Worksheet!C9</f>
        <v>45292</v>
      </c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</row>
    <row r="51" spans="1:54" ht="14.25" customHeight="1" x14ac:dyDescent="0.25">
      <c r="A51" s="348"/>
      <c r="B51" s="11" t="str">
        <f>'Monthly Financial Reports'!D48</f>
        <v>Income Tax</v>
      </c>
      <c r="C51" s="11">
        <f>'Monthly Financial Reports'!BB48</f>
        <v>0</v>
      </c>
      <c r="D51" s="11">
        <f>'Monthly Financial Reports'!BC48</f>
        <v>1296454.6458942394</v>
      </c>
      <c r="E51" s="11">
        <f>'Monthly Financial Reports'!BD48</f>
        <v>8600683.4426658936</v>
      </c>
      <c r="F51" s="11">
        <f>'Monthly Financial Reports'!BE48</f>
        <v>19409338.629467648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49"/>
      <c r="R51" s="46" t="str">
        <f>Worksheet!B10</f>
        <v>VA - Medical Evaluations</v>
      </c>
      <c r="S51" s="351">
        <f>Worksheet!C10</f>
        <v>45658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</row>
    <row r="52" spans="1:54" ht="14.25" customHeight="1" x14ac:dyDescent="0.25">
      <c r="A52" s="348"/>
      <c r="B52" s="11" t="str">
        <f>'Monthly Financial Reports'!D49</f>
        <v>Taxes Paid</v>
      </c>
      <c r="C52" s="11">
        <f>'Monthly Financial Reports'!BB49</f>
        <v>0</v>
      </c>
      <c r="D52" s="11">
        <f>'Monthly Financial Reports'!BC49</f>
        <v>0</v>
      </c>
      <c r="E52" s="11">
        <f>'Monthly Financial Reports'!BD49</f>
        <v>-1296454.6458942394</v>
      </c>
      <c r="F52" s="11">
        <f>'Monthly Financial Reports'!BE49</f>
        <v>-8600683.4426658936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49"/>
      <c r="R52" s="46" t="str">
        <f>Worksheet!B11</f>
        <v>Personal Injury</v>
      </c>
      <c r="S52" s="352">
        <f>Worksheet!C11</f>
        <v>45778</v>
      </c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</row>
    <row r="53" spans="1:54" ht="14.25" customHeight="1" x14ac:dyDescent="0.25">
      <c r="A53" s="348"/>
      <c r="B53" s="11" t="str">
        <f>'Monthly Financial Reports'!D50</f>
        <v>Interest Expense</v>
      </c>
      <c r="C53" s="11">
        <f>'Monthly Financial Reports'!BB50</f>
        <v>0</v>
      </c>
      <c r="D53" s="11">
        <f>'Monthly Financial Reports'!BC50</f>
        <v>-8970</v>
      </c>
      <c r="E53" s="11">
        <f>'Monthly Financial Reports'!BD50</f>
        <v>-8724</v>
      </c>
      <c r="F53" s="11">
        <f>'Monthly Financial Reports'!BE50</f>
        <v>-8436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49"/>
      <c r="R53" s="46" t="str">
        <f>Worksheet!B12</f>
        <v>Workers Comp</v>
      </c>
      <c r="S53" s="353">
        <f>Worksheet!C12</f>
        <v>45931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</row>
    <row r="54" spans="1:54" ht="14.25" customHeight="1" x14ac:dyDescent="0.25">
      <c r="A54" s="348"/>
      <c r="B54" s="11" t="str">
        <f>'Monthly Financial Reports'!D51</f>
        <v>Depreciation</v>
      </c>
      <c r="C54" s="11">
        <f>'Monthly Financial Reports'!BB51</f>
        <v>1200</v>
      </c>
      <c r="D54" s="11">
        <f>'Monthly Financial Reports'!BC51</f>
        <v>1200</v>
      </c>
      <c r="E54" s="11">
        <f>'Monthly Financial Reports'!BD51</f>
        <v>1200</v>
      </c>
      <c r="F54" s="11">
        <f>'Monthly Financial Reports'!BE51</f>
        <v>1200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49"/>
      <c r="R54" s="46" t="str">
        <f>Worksheet!B13</f>
        <v>SaaS</v>
      </c>
      <c r="S54" s="354">
        <f>Worksheet!C13</f>
        <v>46174</v>
      </c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</row>
    <row r="55" spans="1:54" ht="14.25" customHeight="1" x14ac:dyDescent="0.25">
      <c r="A55" s="348"/>
      <c r="B55" s="11" t="str">
        <f>'Monthly Financial Reports'!D52</f>
        <v>Amortization</v>
      </c>
      <c r="C55" s="11">
        <f>'Monthly Financial Reports'!BB52</f>
        <v>9000</v>
      </c>
      <c r="D55" s="11">
        <f>'Monthly Financial Reports'!BC52</f>
        <v>9030</v>
      </c>
      <c r="E55" s="11">
        <f>'Monthly Financial Reports'!BD52</f>
        <v>9276</v>
      </c>
      <c r="F55" s="11">
        <f>'Monthly Financial Reports'!BE52</f>
        <v>9564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49"/>
      <c r="R55" s="46" t="str">
        <f>Worksheet!B14</f>
        <v>Corrections</v>
      </c>
      <c r="S55" s="355">
        <f>Worksheet!C14</f>
        <v>46204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</row>
    <row r="56" spans="1:54" ht="14.25" customHeight="1" x14ac:dyDescent="0.25">
      <c r="A56" s="348"/>
      <c r="B56" s="11" t="str">
        <f>'Monthly Financial Reports'!D53</f>
        <v>Net Credit Card</v>
      </c>
      <c r="C56" s="11">
        <f>'Monthly Financial Reports'!BB53</f>
        <v>0</v>
      </c>
      <c r="D56" s="11">
        <f>'Monthly Financial Reports'!BC53</f>
        <v>-3337</v>
      </c>
      <c r="E56" s="11">
        <f>'Monthly Financial Reports'!BD53</f>
        <v>0</v>
      </c>
      <c r="F56" s="11">
        <f>'Monthly Financial Reports'!BE53</f>
        <v>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49"/>
      <c r="R56" s="46" t="str">
        <f>Worksheet!B15</f>
        <v>Healthcare Compliance</v>
      </c>
      <c r="S56" s="356">
        <f>Worksheet!C15</f>
        <v>46296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</row>
    <row r="57" spans="1:54" ht="14.25" customHeight="1" x14ac:dyDescent="0.25">
      <c r="A57" s="348"/>
      <c r="B57" s="11" t="str">
        <f>'Monthly Financial Reports'!D54</f>
        <v>Owner's Draw</v>
      </c>
      <c r="C57" s="11">
        <f>'Monthly Financial Reports'!BB54</f>
        <v>0</v>
      </c>
      <c r="D57" s="11">
        <f>'Monthly Financial Reports'!BC54</f>
        <v>-493225</v>
      </c>
      <c r="E57" s="11">
        <f>'Monthly Financial Reports'!BD54</f>
        <v>-180000</v>
      </c>
      <c r="F57" s="11">
        <f>'Monthly Financial Reports'!BE54</f>
        <v>-180000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49"/>
      <c r="R57" s="46" t="str">
        <f>Worksheet!B16</f>
        <v>Employee Wellness</v>
      </c>
      <c r="S57" s="357">
        <f>Worksheet!C16</f>
        <v>46753</v>
      </c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 ht="14.25" customHeight="1" x14ac:dyDescent="0.25">
      <c r="A58" s="348"/>
      <c r="B58" s="11" t="str">
        <f>'Monthly Financial Reports'!D55</f>
        <v>Capital Raise</v>
      </c>
      <c r="C58" s="11">
        <f>'Monthly Financial Reports'!BB55</f>
        <v>0</v>
      </c>
      <c r="D58" s="11">
        <f>'Monthly Financial Reports'!BC55</f>
        <v>0</v>
      </c>
      <c r="E58" s="11">
        <f>'Monthly Financial Reports'!BD55</f>
        <v>0</v>
      </c>
      <c r="F58" s="11">
        <f>'Monthly Financial Reports'!BE55</f>
        <v>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49"/>
      <c r="R58" s="46" t="str">
        <f>Worksheet!B17</f>
        <v>Data Analytics</v>
      </c>
      <c r="S58" s="358">
        <f>Worksheet!C17</f>
        <v>46753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</row>
    <row r="59" spans="1:54" x14ac:dyDescent="0.25">
      <c r="A59" s="348"/>
      <c r="B59" s="11" t="str">
        <f>'Monthly Financial Reports'!D56</f>
        <v>Loan Principal</v>
      </c>
      <c r="C59" s="11">
        <f>'Monthly Financial Reports'!BB56</f>
        <v>0</v>
      </c>
      <c r="D59" s="11">
        <f>'Monthly Financial Reports'!BC56</f>
        <v>-30000</v>
      </c>
      <c r="E59" s="11">
        <f>'Monthly Financial Reports'!BD56</f>
        <v>0</v>
      </c>
      <c r="F59" s="11">
        <f>'Monthly Financial Reports'!BE56</f>
        <v>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49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</row>
    <row r="60" spans="1:54" x14ac:dyDescent="0.25">
      <c r="A60" s="348"/>
      <c r="B60" s="11"/>
      <c r="C60" s="11">
        <f>'Monthly Financial Reports'!BB57</f>
        <v>0</v>
      </c>
      <c r="D60" s="11">
        <f>'Monthly Financial Reports'!BC57</f>
        <v>0</v>
      </c>
      <c r="E60" s="11">
        <f>'Monthly Financial Reports'!BD57</f>
        <v>0</v>
      </c>
      <c r="F60" s="11">
        <f>'Monthly Financial Reports'!BE57</f>
        <v>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49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</row>
    <row r="61" spans="1:54" x14ac:dyDescent="0.25">
      <c r="A61" s="106" t="str">
        <f>'Monthly Financial Reports'!C58</f>
        <v>Ending Cash</v>
      </c>
      <c r="B61" s="9"/>
      <c r="C61" s="9">
        <f>'Monthly Financial Reports'!BB58</f>
        <v>1257232.0700000003</v>
      </c>
      <c r="D61" s="9">
        <f>'Monthly Financial Reports'!BC58</f>
        <v>2602593.6388435233</v>
      </c>
      <c r="E61" s="9">
        <f>'Monthly Financial Reports'!BD58</f>
        <v>11389945.257901907</v>
      </c>
      <c r="F61" s="9">
        <f>'Monthly Financial Reports'!BE58</f>
        <v>64205897.953108743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153"/>
      <c r="R61" s="22"/>
      <c r="S61" s="2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</row>
    <row r="62" spans="1:54" x14ac:dyDescent="0.25">
      <c r="A62" s="348"/>
      <c r="B62" s="11"/>
      <c r="C62" s="11"/>
      <c r="D62" s="11"/>
      <c r="E62" s="11"/>
      <c r="F62" s="1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49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</row>
    <row r="63" spans="1:54" x14ac:dyDescent="0.25">
      <c r="A63" s="348"/>
      <c r="B63" s="11"/>
      <c r="C63" s="11"/>
      <c r="D63" s="11"/>
      <c r="E63" s="11"/>
      <c r="F63" s="1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349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</row>
    <row r="64" spans="1:54" x14ac:dyDescent="0.25">
      <c r="A64" s="348"/>
      <c r="B64" s="11"/>
      <c r="C64" s="11"/>
      <c r="D64" s="11"/>
      <c r="E64" s="11"/>
      <c r="F64" s="1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349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</row>
    <row r="65" spans="1:54" ht="22.5" customHeight="1" x14ac:dyDescent="0.25">
      <c r="A65" s="348"/>
      <c r="B65" s="11"/>
      <c r="C65" s="22">
        <f>'Monthly Financial Reports'!BB62</f>
        <v>2024</v>
      </c>
      <c r="D65" s="22">
        <f>'Monthly Financial Reports'!BC62</f>
        <v>2025</v>
      </c>
      <c r="E65" s="22">
        <f>'Monthly Financial Reports'!BD62</f>
        <v>2026</v>
      </c>
      <c r="F65" s="22">
        <f>'Monthly Financial Reports'!BE62</f>
        <v>2027</v>
      </c>
      <c r="G65" s="22"/>
      <c r="H65" s="46"/>
      <c r="I65" s="359" t="s">
        <v>586</v>
      </c>
      <c r="J65" s="359" t="s">
        <v>587</v>
      </c>
      <c r="K65" s="359" t="s">
        <v>588</v>
      </c>
      <c r="L65" s="359" t="s">
        <v>589</v>
      </c>
      <c r="M65" s="359" t="s">
        <v>590</v>
      </c>
      <c r="N65" s="46"/>
      <c r="O65" s="22"/>
      <c r="P65" s="22"/>
      <c r="Q65" s="349"/>
      <c r="R65" s="22"/>
      <c r="S65" s="22"/>
      <c r="T65" s="22"/>
      <c r="U65" s="22"/>
      <c r="V65" s="22"/>
      <c r="W65" s="22"/>
      <c r="X65" s="22"/>
      <c r="Y65" s="214">
        <f t="shared" ref="Y65:BB65" si="37">Y50</f>
        <v>0</v>
      </c>
      <c r="Z65" s="214">
        <f t="shared" si="37"/>
        <v>0</v>
      </c>
      <c r="AA65" s="214">
        <f t="shared" si="37"/>
        <v>0</v>
      </c>
      <c r="AB65" s="214">
        <f t="shared" si="37"/>
        <v>0</v>
      </c>
      <c r="AC65" s="214">
        <f t="shared" si="37"/>
        <v>0</v>
      </c>
      <c r="AD65" s="214">
        <f t="shared" si="37"/>
        <v>0</v>
      </c>
      <c r="AE65" s="214">
        <f t="shared" si="37"/>
        <v>0</v>
      </c>
      <c r="AF65" s="214">
        <f t="shared" si="37"/>
        <v>0</v>
      </c>
      <c r="AG65" s="214">
        <f t="shared" si="37"/>
        <v>0</v>
      </c>
      <c r="AH65" s="214">
        <f t="shared" si="37"/>
        <v>0</v>
      </c>
      <c r="AI65" s="214">
        <f t="shared" si="37"/>
        <v>0</v>
      </c>
      <c r="AJ65" s="214">
        <f t="shared" si="37"/>
        <v>0</v>
      </c>
      <c r="AK65" s="214">
        <f t="shared" si="37"/>
        <v>0</v>
      </c>
      <c r="AL65" s="214">
        <f t="shared" si="37"/>
        <v>0</v>
      </c>
      <c r="AM65" s="214">
        <f t="shared" si="37"/>
        <v>0</v>
      </c>
      <c r="AN65" s="214">
        <f t="shared" si="37"/>
        <v>0</v>
      </c>
      <c r="AO65" s="214">
        <f t="shared" si="37"/>
        <v>0</v>
      </c>
      <c r="AP65" s="214">
        <f t="shared" si="37"/>
        <v>0</v>
      </c>
      <c r="AQ65" s="214">
        <f t="shared" si="37"/>
        <v>0</v>
      </c>
      <c r="AR65" s="214">
        <f t="shared" si="37"/>
        <v>0</v>
      </c>
      <c r="AS65" s="214">
        <f t="shared" si="37"/>
        <v>0</v>
      </c>
      <c r="AT65" s="214">
        <f t="shared" si="37"/>
        <v>0</v>
      </c>
      <c r="AU65" s="214">
        <f t="shared" si="37"/>
        <v>0</v>
      </c>
      <c r="AV65" s="214">
        <f t="shared" si="37"/>
        <v>0</v>
      </c>
      <c r="AW65" s="214">
        <f t="shared" si="37"/>
        <v>0</v>
      </c>
      <c r="AX65" s="214">
        <f t="shared" si="37"/>
        <v>0</v>
      </c>
      <c r="AY65" s="214">
        <f t="shared" si="37"/>
        <v>0</v>
      </c>
      <c r="AZ65" s="214">
        <f t="shared" si="37"/>
        <v>0</v>
      </c>
      <c r="BA65" s="214">
        <f t="shared" si="37"/>
        <v>0</v>
      </c>
      <c r="BB65" s="214">
        <f t="shared" si="37"/>
        <v>0</v>
      </c>
    </row>
    <row r="66" spans="1:54" ht="22.5" customHeight="1" x14ac:dyDescent="0.25">
      <c r="A66" s="348"/>
      <c r="B66" s="11"/>
      <c r="C66" s="11">
        <f>'Monthly Financial Reports'!BB63</f>
        <v>0</v>
      </c>
      <c r="D66" s="11">
        <f>'Monthly Financial Reports'!BC63</f>
        <v>0</v>
      </c>
      <c r="E66" s="11">
        <f>'Monthly Financial Reports'!BD63</f>
        <v>0</v>
      </c>
      <c r="F66" s="11">
        <f>'Monthly Financial Reports'!BE63</f>
        <v>0</v>
      </c>
      <c r="G66" s="22"/>
      <c r="H66" s="22"/>
      <c r="I66" s="360"/>
      <c r="J66" s="361"/>
      <c r="K66" s="362"/>
      <c r="L66" s="362"/>
      <c r="M66" s="362"/>
      <c r="N66" s="22"/>
      <c r="O66" s="22"/>
      <c r="P66" s="22"/>
      <c r="Q66" s="349"/>
      <c r="R66" s="22"/>
      <c r="S66" s="214">
        <f t="shared" ref="S66:AX66" si="38">Y19</f>
        <v>45839</v>
      </c>
      <c r="T66" s="214">
        <f t="shared" si="38"/>
        <v>45870</v>
      </c>
      <c r="U66" s="214">
        <f t="shared" si="38"/>
        <v>45901</v>
      </c>
      <c r="V66" s="214">
        <f t="shared" si="38"/>
        <v>45931</v>
      </c>
      <c r="W66" s="214">
        <f t="shared" si="38"/>
        <v>45962</v>
      </c>
      <c r="X66" s="214">
        <f t="shared" si="38"/>
        <v>45992</v>
      </c>
      <c r="Y66" s="214">
        <f t="shared" si="38"/>
        <v>46023</v>
      </c>
      <c r="Z66" s="214">
        <f t="shared" si="38"/>
        <v>46054</v>
      </c>
      <c r="AA66" s="214">
        <f t="shared" si="38"/>
        <v>46082</v>
      </c>
      <c r="AB66" s="214">
        <f t="shared" si="38"/>
        <v>46113</v>
      </c>
      <c r="AC66" s="214">
        <f t="shared" si="38"/>
        <v>46143</v>
      </c>
      <c r="AD66" s="214">
        <f t="shared" si="38"/>
        <v>46174</v>
      </c>
      <c r="AE66" s="214">
        <f t="shared" si="38"/>
        <v>46204</v>
      </c>
      <c r="AF66" s="214">
        <f t="shared" si="38"/>
        <v>46235</v>
      </c>
      <c r="AG66" s="214">
        <f t="shared" si="38"/>
        <v>46266</v>
      </c>
      <c r="AH66" s="214">
        <f t="shared" si="38"/>
        <v>46296</v>
      </c>
      <c r="AI66" s="214">
        <f t="shared" si="38"/>
        <v>46327</v>
      </c>
      <c r="AJ66" s="214">
        <f t="shared" si="38"/>
        <v>46357</v>
      </c>
      <c r="AK66" s="214">
        <f t="shared" si="38"/>
        <v>46388</v>
      </c>
      <c r="AL66" s="214">
        <f t="shared" si="38"/>
        <v>46419</v>
      </c>
      <c r="AM66" s="214">
        <f t="shared" si="38"/>
        <v>46447</v>
      </c>
      <c r="AN66" s="214">
        <f t="shared" si="38"/>
        <v>46478</v>
      </c>
      <c r="AO66" s="214">
        <f t="shared" si="38"/>
        <v>46508</v>
      </c>
      <c r="AP66" s="214">
        <f t="shared" si="38"/>
        <v>46539</v>
      </c>
      <c r="AQ66" s="214">
        <f t="shared" si="38"/>
        <v>46569</v>
      </c>
      <c r="AR66" s="214">
        <f t="shared" si="38"/>
        <v>46600</v>
      </c>
      <c r="AS66" s="214">
        <f t="shared" si="38"/>
        <v>46631</v>
      </c>
      <c r="AT66" s="214">
        <f t="shared" si="38"/>
        <v>46661</v>
      </c>
      <c r="AU66" s="214">
        <f t="shared" si="38"/>
        <v>46692</v>
      </c>
      <c r="AV66" s="214">
        <f t="shared" si="38"/>
        <v>46722</v>
      </c>
      <c r="AW66" s="22">
        <f t="shared" si="38"/>
        <v>0</v>
      </c>
      <c r="AX66" s="22">
        <f t="shared" si="38"/>
        <v>0</v>
      </c>
      <c r="AY66" s="22"/>
      <c r="AZ66" s="22"/>
      <c r="BA66" s="22"/>
      <c r="BB66" s="22"/>
    </row>
    <row r="67" spans="1:54" ht="22.5" customHeight="1" x14ac:dyDescent="0.25">
      <c r="A67" s="106" t="str">
        <f>'Monthly Financial Reports'!C64</f>
        <v>ASSETS</v>
      </c>
      <c r="B67" s="9"/>
      <c r="C67" s="9">
        <f>'Monthly Financial Reports'!BB64</f>
        <v>1258371</v>
      </c>
      <c r="D67" s="9">
        <f>'Monthly Financial Reports'!BC64</f>
        <v>7514289.1688435227</v>
      </c>
      <c r="E67" s="9">
        <f>'Monthly Financial Reports'!BD64</f>
        <v>42780908.224568583</v>
      </c>
      <c r="F67" s="9">
        <f>'Monthly Financial Reports'!BE64</f>
        <v>123790595.01977539</v>
      </c>
      <c r="G67" s="46"/>
      <c r="H67" s="46"/>
      <c r="I67" s="360"/>
      <c r="J67" s="363"/>
      <c r="K67" s="362"/>
      <c r="L67" s="362"/>
      <c r="M67" s="362"/>
      <c r="N67" s="46"/>
      <c r="O67" s="46"/>
      <c r="P67" s="46"/>
      <c r="Q67" s="153"/>
      <c r="R67" s="22" t="s">
        <v>591</v>
      </c>
      <c r="S67" s="116">
        <f>Worksheet!M293</f>
        <v>-121108.29166666666</v>
      </c>
      <c r="T67" s="116">
        <f>Worksheet!N293</f>
        <v>-141108.29166666666</v>
      </c>
      <c r="U67" s="116">
        <f>Worksheet!O293</f>
        <v>-118108.29166666666</v>
      </c>
      <c r="V67" s="116">
        <f>Worksheet!P293</f>
        <v>-171508.29166666666</v>
      </c>
      <c r="W67" s="116">
        <f>Worksheet!Q293</f>
        <v>-221908.29166666666</v>
      </c>
      <c r="X67" s="116">
        <f>Worksheet!R293</f>
        <v>-299708.29166666663</v>
      </c>
      <c r="Y67" s="116">
        <f>Worksheet!S293</f>
        <v>-338565.58333333331</v>
      </c>
      <c r="Z67" s="116">
        <f>Worksheet!T293</f>
        <v>-421737.875</v>
      </c>
      <c r="AA67" s="116">
        <f>Worksheet!U293</f>
        <v>-431846.27500000002</v>
      </c>
      <c r="AB67" s="116">
        <f>Worksheet!V293</f>
        <v>-510114.56666666677</v>
      </c>
      <c r="AC67" s="116">
        <f>Worksheet!W293</f>
        <v>-676513.56666666677</v>
      </c>
      <c r="AD67" s="116">
        <f>Worksheet!X293</f>
        <v>-663915.96666666656</v>
      </c>
      <c r="AE67" s="116">
        <f>Worksheet!Y293</f>
        <v>-659585.65833333344</v>
      </c>
      <c r="AF67" s="116">
        <f>Worksheet!Z293</f>
        <v>-579189.45833333349</v>
      </c>
      <c r="AG67" s="116">
        <f>Worksheet!AA293</f>
        <v>-574258.94999999995</v>
      </c>
      <c r="AH67" s="116">
        <f>Worksheet!AB293</f>
        <v>-377464.75</v>
      </c>
      <c r="AI67" s="116">
        <f>Worksheet!AC293</f>
        <v>-179470.54999999981</v>
      </c>
      <c r="AJ67" s="116">
        <f>Worksheet!AD293</f>
        <v>17923.850000000093</v>
      </c>
      <c r="AK67" s="116">
        <f>Worksheet!AE293</f>
        <v>194838.2416666667</v>
      </c>
      <c r="AL67" s="116">
        <f>Worksheet!AF293</f>
        <v>381432.84166666656</v>
      </c>
      <c r="AM67" s="116">
        <f>Worksheet!AG293</f>
        <v>562427.84166666633</v>
      </c>
      <c r="AN67" s="116">
        <f>Worksheet!AH293</f>
        <v>730823.2416666667</v>
      </c>
      <c r="AO67" s="116">
        <f>Worksheet!AI293</f>
        <v>885351.54999999981</v>
      </c>
      <c r="AP67" s="116">
        <f>Worksheet!AJ293</f>
        <v>1037947.3500000001</v>
      </c>
      <c r="AQ67" s="116">
        <f>Worksheet!AK293</f>
        <v>1173743.3500000001</v>
      </c>
      <c r="AR67" s="116">
        <f>Worksheet!AL293</f>
        <v>1302539.75</v>
      </c>
      <c r="AS67" s="116">
        <f>Worksheet!AM293</f>
        <v>1423536.5499999998</v>
      </c>
      <c r="AT67" s="116">
        <f>Worksheet!AN293</f>
        <v>1540733.1500000004</v>
      </c>
      <c r="AU67" s="116">
        <f>Worksheet!AO293</f>
        <v>1644462.8583333334</v>
      </c>
      <c r="AV67" s="116">
        <f>Worksheet!AP293</f>
        <v>1746860.2583333328</v>
      </c>
      <c r="AW67" s="46"/>
      <c r="AX67" s="46"/>
      <c r="AY67" s="46"/>
      <c r="AZ67" s="46"/>
      <c r="BA67" s="46"/>
      <c r="BB67" s="46"/>
    </row>
    <row r="68" spans="1:54" ht="22.5" customHeight="1" x14ac:dyDescent="0.25">
      <c r="A68" s="106" t="str">
        <f>'Monthly Financial Reports'!C65</f>
        <v>Current Assets</v>
      </c>
      <c r="B68" s="9"/>
      <c r="C68" s="9">
        <f>'Monthly Financial Reports'!BB65</f>
        <v>1257232</v>
      </c>
      <c r="D68" s="9">
        <f>'Monthly Financial Reports'!BC65</f>
        <v>7510317.1688435227</v>
      </c>
      <c r="E68" s="9">
        <f>'Monthly Financial Reports'!BD65</f>
        <v>42778136.224568583</v>
      </c>
      <c r="F68" s="9">
        <f>'Monthly Financial Reports'!BE65</f>
        <v>123789023.01977539</v>
      </c>
      <c r="G68" s="46"/>
      <c r="H68" s="22"/>
      <c r="I68" s="360"/>
      <c r="J68" s="361"/>
      <c r="K68" s="362"/>
      <c r="L68" s="362"/>
      <c r="M68" s="362"/>
      <c r="N68" s="22"/>
      <c r="O68" s="46"/>
      <c r="P68" s="46"/>
      <c r="Q68" s="153"/>
      <c r="R68" s="22" t="s">
        <v>22</v>
      </c>
      <c r="S68" s="116">
        <f>Worksheet!M288</f>
        <v>73887.308333333349</v>
      </c>
      <c r="T68" s="116">
        <f>Worksheet!N288</f>
        <v>43888.308333333349</v>
      </c>
      <c r="U68" s="116">
        <f>Worksheet!O288</f>
        <v>113485.90833333335</v>
      </c>
      <c r="V68" s="116">
        <f>Worksheet!P288</f>
        <v>179083.50833333339</v>
      </c>
      <c r="W68" s="116">
        <f>Worksheet!Q288</f>
        <v>280279.70833333337</v>
      </c>
      <c r="X68" s="116">
        <f>Worksheet!R288</f>
        <v>339077.50833333342</v>
      </c>
      <c r="Y68" s="116">
        <f>Worksheet!S288</f>
        <v>494604.41666666669</v>
      </c>
      <c r="Z68" s="116">
        <f>Worksheet!T288</f>
        <v>646131.32500000019</v>
      </c>
      <c r="AA68" s="116">
        <f>Worksheet!U288</f>
        <v>800525.72500000009</v>
      </c>
      <c r="AB68" s="116">
        <f>Worksheet!V288</f>
        <v>942453.03333333356</v>
      </c>
      <c r="AC68" s="116">
        <f>Worksheet!W288</f>
        <v>1086047.6333333333</v>
      </c>
      <c r="AD68" s="116">
        <f>Worksheet!X288</f>
        <v>1224042.6333333331</v>
      </c>
      <c r="AE68" s="116">
        <f>Worksheet!Y288</f>
        <v>1346770.7416666669</v>
      </c>
      <c r="AF68" s="116">
        <f>Worksheet!Z288</f>
        <v>1468366.3416666666</v>
      </c>
      <c r="AG68" s="116">
        <f>Worksheet!AA288</f>
        <v>1577494.85</v>
      </c>
      <c r="AH68" s="116">
        <f>Worksheet!AB288</f>
        <v>1681490.85</v>
      </c>
      <c r="AI68" s="116">
        <f>Worksheet!AC288</f>
        <v>1779887.25</v>
      </c>
      <c r="AJ68" s="116">
        <f>Worksheet!AD288</f>
        <v>1872684.0499999998</v>
      </c>
      <c r="AK68" s="116">
        <f>Worksheet!AE288</f>
        <v>1947400.4416666671</v>
      </c>
      <c r="AL68" s="116">
        <f>Worksheet!AF288</f>
        <v>2029397.4416666671</v>
      </c>
      <c r="AM68" s="116">
        <f>Worksheet!AG288</f>
        <v>2105794.8416666668</v>
      </c>
      <c r="AN68" s="116">
        <f>Worksheet!AH288</f>
        <v>2176992.041666667</v>
      </c>
      <c r="AO68" s="116">
        <f>Worksheet!AI288</f>
        <v>2236922.35</v>
      </c>
      <c r="AP68" s="116">
        <f>Worksheet!AJ288</f>
        <v>2299720.1500000004</v>
      </c>
      <c r="AQ68" s="116">
        <f>Worksheet!AK288</f>
        <v>2358517.9500000002</v>
      </c>
      <c r="AR68" s="116">
        <f>Worksheet!AL288</f>
        <v>2414515.9500000002</v>
      </c>
      <c r="AS68" s="116">
        <f>Worksheet!AM288</f>
        <v>2463714.1500000004</v>
      </c>
      <c r="AT68" s="116">
        <f>Worksheet!AN288</f>
        <v>2510112.5500000007</v>
      </c>
      <c r="AU68" s="116">
        <f>Worksheet!AO288</f>
        <v>2546843.6583333337</v>
      </c>
      <c r="AV68" s="116">
        <f>Worksheet!AP288</f>
        <v>2589242.0583333331</v>
      </c>
      <c r="AW68" s="46"/>
      <c r="AX68" s="46"/>
      <c r="AY68" s="46"/>
      <c r="AZ68" s="46"/>
      <c r="BA68" s="46"/>
      <c r="BB68" s="46"/>
    </row>
    <row r="69" spans="1:54" ht="22.5" customHeight="1" x14ac:dyDescent="0.25">
      <c r="A69" s="348"/>
      <c r="B69" s="11" t="str">
        <f>'Monthly Financial Reports'!D66</f>
        <v>Cash</v>
      </c>
      <c r="C69" s="11">
        <f>'Monthly Financial Reports'!BB66</f>
        <v>1257232</v>
      </c>
      <c r="D69" s="11">
        <f>'Monthly Financial Reports'!BC66</f>
        <v>2602593.568843523</v>
      </c>
      <c r="E69" s="11">
        <f>'Monthly Financial Reports'!BD66</f>
        <v>11389945.257901916</v>
      </c>
      <c r="F69" s="11">
        <f>'Monthly Financial Reports'!BE66</f>
        <v>64205897.95310872</v>
      </c>
      <c r="G69" s="22"/>
      <c r="H69" s="22"/>
      <c r="I69" s="360"/>
      <c r="J69" s="361"/>
      <c r="K69" s="362"/>
      <c r="L69" s="362"/>
      <c r="M69" s="362"/>
      <c r="N69" s="22"/>
      <c r="O69" s="22"/>
      <c r="P69" s="22"/>
      <c r="Q69" s="349"/>
      <c r="R69" s="22" t="s">
        <v>23</v>
      </c>
      <c r="S69" s="131">
        <f>Worksheet!M289</f>
        <v>0.34366893244947033</v>
      </c>
      <c r="T69" s="131">
        <f>Worksheet!N289</f>
        <v>0.27092116953894924</v>
      </c>
      <c r="U69" s="131">
        <f>Worksheet!O289</f>
        <v>0.39820427339690895</v>
      </c>
      <c r="V69" s="131">
        <f>Worksheet!P289</f>
        <v>0.4466014226059819</v>
      </c>
      <c r="W69" s="131">
        <f>Worksheet!Q289</f>
        <v>0.48325087473074163</v>
      </c>
      <c r="X69" s="131">
        <f>Worksheet!R289</f>
        <v>0.49573764299395306</v>
      </c>
      <c r="Y69" s="131">
        <f>Worksheet!S289</f>
        <v>0.5104382099389736</v>
      </c>
      <c r="Z69" s="131">
        <f>Worksheet!T289</f>
        <v>0.51815933721804353</v>
      </c>
      <c r="AA69" s="131">
        <f>Worksheet!U289</f>
        <v>0.52667254113012596</v>
      </c>
      <c r="AB69" s="131">
        <f>Worksheet!V289</f>
        <v>0.52918164358103159</v>
      </c>
      <c r="AC69" s="131">
        <f>Worksheet!W289</f>
        <v>0.53369540799977933</v>
      </c>
      <c r="AD69" s="131">
        <f>Worksheet!X289</f>
        <v>0.53710749662447299</v>
      </c>
      <c r="AE69" s="131">
        <f>Worksheet!Y289</f>
        <v>0.53742960116520633</v>
      </c>
      <c r="AF69" s="131">
        <f>Worksheet!Z289</f>
        <v>0.53965331502498015</v>
      </c>
      <c r="AG69" s="131">
        <f>Worksheet!AA289</f>
        <v>0.53951006717101824</v>
      </c>
      <c r="AH69" s="131">
        <f>Worksheet!AB289</f>
        <v>0.54103143256893738</v>
      </c>
      <c r="AI69" s="131">
        <f>Worksheet!AC289</f>
        <v>0.54232910675784873</v>
      </c>
      <c r="AJ69" s="131">
        <f>Worksheet!AD289</f>
        <v>0.5434482714790857</v>
      </c>
      <c r="AK69" s="131">
        <f>Worksheet!AE289</f>
        <v>0.54080555005851183</v>
      </c>
      <c r="AL69" s="131">
        <f>Worksheet!AF289</f>
        <v>0.54176174115797671</v>
      </c>
      <c r="AM69" s="131">
        <f>Worksheet!AG289</f>
        <v>0.54260199905874551</v>
      </c>
      <c r="AN69" s="131">
        <f>Worksheet!AH289</f>
        <v>0.54330849420306604</v>
      </c>
      <c r="AO69" s="131">
        <f>Worksheet!AI289</f>
        <v>0.54255849733099004</v>
      </c>
      <c r="AP69" s="131">
        <f>Worksheet!AJ289</f>
        <v>0.54316668195591389</v>
      </c>
      <c r="AQ69" s="131">
        <f>Worksheet!AK289</f>
        <v>0.5436991180684192</v>
      </c>
      <c r="AR69" s="131">
        <f>Worksheet!AL289</f>
        <v>0.54418884528645417</v>
      </c>
      <c r="AS69" s="131">
        <f>Worksheet!AM289</f>
        <v>0.54459883387507757</v>
      </c>
      <c r="AT69" s="131">
        <f>Worksheet!AN289</f>
        <v>0.54497708029050018</v>
      </c>
      <c r="AU69" s="131">
        <f>Worksheet!AO289</f>
        <v>0.54409235771706055</v>
      </c>
      <c r="AV69" s="131">
        <f>Worksheet!AP289</f>
        <v>0.54442717198634494</v>
      </c>
      <c r="AW69" s="46"/>
      <c r="AX69" s="22"/>
      <c r="AY69" s="22"/>
      <c r="AZ69" s="22"/>
      <c r="BA69" s="22"/>
      <c r="BB69" s="22"/>
    </row>
    <row r="70" spans="1:54" ht="22.5" customHeight="1" x14ac:dyDescent="0.25">
      <c r="A70" s="348"/>
      <c r="B70" s="11" t="str">
        <f>'Monthly Financial Reports'!D67</f>
        <v>Accounts Receivable</v>
      </c>
      <c r="C70" s="11">
        <f>'Monthly Financial Reports'!BB67</f>
        <v>0</v>
      </c>
      <c r="D70" s="11">
        <f>'Monthly Financial Reports'!BC67</f>
        <v>4907723.5999999996</v>
      </c>
      <c r="E70" s="11">
        <f>'Monthly Financial Reports'!BD67</f>
        <v>31388190.966666669</v>
      </c>
      <c r="F70" s="11">
        <f>'Monthly Financial Reports'!BE67</f>
        <v>59583125.066666663</v>
      </c>
      <c r="G70" s="22"/>
      <c r="H70" s="22"/>
      <c r="I70" s="360"/>
      <c r="J70" s="361"/>
      <c r="K70" s="362"/>
      <c r="L70" s="362"/>
      <c r="M70" s="362"/>
      <c r="N70" s="22"/>
      <c r="O70" s="22"/>
      <c r="P70" s="22"/>
      <c r="Q70" s="349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46"/>
      <c r="AX70" s="22"/>
      <c r="AY70" s="22"/>
      <c r="AZ70" s="22"/>
      <c r="BA70" s="22"/>
      <c r="BB70" s="22"/>
    </row>
    <row r="71" spans="1:54" ht="22.5" customHeight="1" x14ac:dyDescent="0.25">
      <c r="A71" s="106" t="str">
        <f>'Monthly Financial Reports'!C68</f>
        <v>Fixed Assets</v>
      </c>
      <c r="B71" s="9"/>
      <c r="C71" s="9">
        <f>'Monthly Financial Reports'!BB68</f>
        <v>1139</v>
      </c>
      <c r="D71" s="9">
        <f>'Monthly Financial Reports'!BC68</f>
        <v>3972</v>
      </c>
      <c r="E71" s="9">
        <f>'Monthly Financial Reports'!BD68</f>
        <v>2772</v>
      </c>
      <c r="F71" s="9">
        <f>'Monthly Financial Reports'!BE68</f>
        <v>1572</v>
      </c>
      <c r="G71" s="46"/>
      <c r="H71" s="22"/>
      <c r="I71" s="360"/>
      <c r="J71" s="361"/>
      <c r="K71" s="362"/>
      <c r="L71" s="362"/>
      <c r="M71" s="362"/>
      <c r="N71" s="22"/>
      <c r="O71" s="46"/>
      <c r="P71" s="46"/>
      <c r="Q71" s="153"/>
      <c r="R71" s="22"/>
      <c r="S71" s="22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</row>
    <row r="72" spans="1:54" ht="22.5" customHeight="1" x14ac:dyDescent="0.25">
      <c r="A72" s="348"/>
      <c r="B72" s="11"/>
      <c r="C72" s="11">
        <f>'Monthly Financial Reports'!BB69</f>
        <v>0</v>
      </c>
      <c r="D72" s="11">
        <f>'Monthly Financial Reports'!BC69</f>
        <v>0</v>
      </c>
      <c r="E72" s="11">
        <f>'Monthly Financial Reports'!BD69</f>
        <v>0</v>
      </c>
      <c r="F72" s="11">
        <f>'Monthly Financial Reports'!BE69</f>
        <v>0</v>
      </c>
      <c r="G72" s="22"/>
      <c r="H72" s="22"/>
      <c r="I72" s="360"/>
      <c r="J72" s="361"/>
      <c r="K72" s="362"/>
      <c r="L72" s="362"/>
      <c r="M72" s="362"/>
      <c r="N72" s="22"/>
      <c r="O72" s="22"/>
      <c r="P72" s="22"/>
      <c r="Q72" s="349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46"/>
      <c r="AX72" s="22"/>
      <c r="AY72" s="22"/>
      <c r="AZ72" s="22"/>
      <c r="BA72" s="22"/>
      <c r="BB72" s="22"/>
    </row>
    <row r="73" spans="1:54" ht="22.5" customHeight="1" x14ac:dyDescent="0.25">
      <c r="A73" s="106" t="str">
        <f>'Monthly Financial Reports'!C70</f>
        <v>LIABILITIES</v>
      </c>
      <c r="B73" s="9"/>
      <c r="C73" s="9">
        <f>'Monthly Financial Reports'!BB70</f>
        <v>198133</v>
      </c>
      <c r="D73" s="9">
        <f>'Monthly Financial Reports'!BC70</f>
        <v>2492984.6458942397</v>
      </c>
      <c r="E73" s="9">
        <f>'Monthly Financial Reports'!BD70</f>
        <v>13345037.442665894</v>
      </c>
      <c r="F73" s="9">
        <f>'Monthly Financial Reports'!BE70</f>
        <v>33412668.629467648</v>
      </c>
      <c r="G73" s="46"/>
      <c r="H73" s="22"/>
      <c r="I73" s="360"/>
      <c r="J73" s="361"/>
      <c r="K73" s="362"/>
      <c r="L73" s="362"/>
      <c r="M73" s="362"/>
      <c r="N73" s="22"/>
      <c r="O73" s="46"/>
      <c r="P73" s="46"/>
      <c r="Q73" s="153"/>
      <c r="R73" s="22"/>
      <c r="S73" s="22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</row>
    <row r="74" spans="1:54" ht="22.5" customHeight="1" x14ac:dyDescent="0.25">
      <c r="A74" s="106" t="str">
        <f>'Monthly Financial Reports'!C71</f>
        <v>Current Liabilities</v>
      </c>
      <c r="B74" s="9"/>
      <c r="C74" s="9">
        <f>'Monthly Financial Reports'!BB71</f>
        <v>82446</v>
      </c>
      <c r="D74" s="9">
        <f>'Monthly Financial Reports'!BC71</f>
        <v>2446827.6458942397</v>
      </c>
      <c r="E74" s="9">
        <f>'Monthly Financial Reports'!BD71</f>
        <v>13308156.442665894</v>
      </c>
      <c r="F74" s="9">
        <f>'Monthly Financial Reports'!BE71</f>
        <v>33385351.629467648</v>
      </c>
      <c r="G74" s="46"/>
      <c r="H74" s="22"/>
      <c r="I74" s="360"/>
      <c r="J74" s="361"/>
      <c r="K74" s="362"/>
      <c r="L74" s="362"/>
      <c r="M74" s="362"/>
      <c r="N74" s="22"/>
      <c r="O74" s="46"/>
      <c r="P74" s="46"/>
      <c r="Q74" s="153"/>
      <c r="R74" s="22"/>
      <c r="S74" s="2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</row>
    <row r="75" spans="1:54" x14ac:dyDescent="0.25">
      <c r="A75" s="348"/>
      <c r="B75" s="11" t="str">
        <f>'Monthly Financial Reports'!D72</f>
        <v>Total Credit Cards</v>
      </c>
      <c r="C75" s="11">
        <f>'Monthly Financial Reports'!BB72</f>
        <v>82446</v>
      </c>
      <c r="D75" s="11">
        <f>'Monthly Financial Reports'!BC72</f>
        <v>62258</v>
      </c>
      <c r="E75" s="11">
        <f>'Monthly Financial Reports'!BD72</f>
        <v>62258</v>
      </c>
      <c r="F75" s="11">
        <f>'Monthly Financial Reports'!BE72</f>
        <v>62258</v>
      </c>
      <c r="G75" s="22"/>
      <c r="H75" s="46"/>
      <c r="I75" s="46"/>
      <c r="J75" s="46"/>
      <c r="K75" s="46"/>
      <c r="L75" s="46"/>
      <c r="M75" s="46"/>
      <c r="N75" s="46"/>
      <c r="O75" s="22"/>
      <c r="P75" s="22"/>
      <c r="Q75" s="349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</row>
    <row r="76" spans="1:54" x14ac:dyDescent="0.25">
      <c r="A76" s="348"/>
      <c r="B76" s="11" t="str">
        <f>'Monthly Financial Reports'!D73</f>
        <v>Accounts Payable</v>
      </c>
      <c r="C76" s="11">
        <f>'Monthly Financial Reports'!BB73</f>
        <v>0</v>
      </c>
      <c r="D76" s="11">
        <f>'Monthly Financial Reports'!BC73</f>
        <v>1088115</v>
      </c>
      <c r="E76" s="11">
        <f>'Monthly Financial Reports'!BD73</f>
        <v>4645215</v>
      </c>
      <c r="F76" s="11">
        <f>'Monthly Financial Reports'!BE73</f>
        <v>13913755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349"/>
      <c r="R76" s="46"/>
      <c r="S76" s="46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</row>
    <row r="77" spans="1:54" x14ac:dyDescent="0.25">
      <c r="A77" s="348"/>
      <c r="B77" s="11" t="str">
        <f>'Monthly Financial Reports'!D74</f>
        <v>Taxes Payable</v>
      </c>
      <c r="C77" s="11">
        <f>'Monthly Financial Reports'!BB74</f>
        <v>0</v>
      </c>
      <c r="D77" s="11">
        <f>'Monthly Financial Reports'!BC74</f>
        <v>1296454.6458942394</v>
      </c>
      <c r="E77" s="11">
        <f>'Monthly Financial Reports'!BD74</f>
        <v>8600683.4426658936</v>
      </c>
      <c r="F77" s="11">
        <f>'Monthly Financial Reports'!BE74</f>
        <v>19409338.629467648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349"/>
      <c r="R77" s="46"/>
      <c r="S77" s="46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</row>
    <row r="78" spans="1:54" x14ac:dyDescent="0.25">
      <c r="A78" s="106" t="str">
        <f>'Monthly Financial Reports'!C75</f>
        <v>Long-Term Liabilities</v>
      </c>
      <c r="B78" s="9"/>
      <c r="C78" s="9">
        <f>'Monthly Financial Reports'!BB75</f>
        <v>115687</v>
      </c>
      <c r="D78" s="9">
        <f>'Monthly Financial Reports'!BC75</f>
        <v>46157</v>
      </c>
      <c r="E78" s="9">
        <f>'Monthly Financial Reports'!BD75</f>
        <v>36881</v>
      </c>
      <c r="F78" s="9">
        <f>'Monthly Financial Reports'!BE75</f>
        <v>27317</v>
      </c>
      <c r="G78" s="46"/>
      <c r="H78" s="22"/>
      <c r="I78" s="22"/>
      <c r="J78" s="22"/>
      <c r="K78" s="22"/>
      <c r="L78" s="22"/>
      <c r="M78" s="22"/>
      <c r="N78" s="22"/>
      <c r="O78" s="46"/>
      <c r="P78" s="46"/>
      <c r="Q78" s="153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</row>
    <row r="79" spans="1:54" x14ac:dyDescent="0.25">
      <c r="A79" s="348"/>
      <c r="B79" s="11"/>
      <c r="C79" s="11">
        <f>'Monthly Financial Reports'!BB76</f>
        <v>0</v>
      </c>
      <c r="D79" s="11">
        <f>'Monthly Financial Reports'!BC76</f>
        <v>0</v>
      </c>
      <c r="E79" s="11">
        <f>'Monthly Financial Reports'!BD76</f>
        <v>0</v>
      </c>
      <c r="F79" s="11">
        <f>'Monthly Financial Reports'!BE76</f>
        <v>0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49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</row>
    <row r="80" spans="1:54" x14ac:dyDescent="0.25">
      <c r="A80" s="106" t="str">
        <f>'Monthly Financial Reports'!C77</f>
        <v>EQUITY</v>
      </c>
      <c r="B80" s="9"/>
      <c r="C80" s="9">
        <f>'Monthly Financial Reports'!BB77</f>
        <v>1060238</v>
      </c>
      <c r="D80" s="9">
        <f>'Monthly Financial Reports'!BC77</f>
        <v>5021304.522949283</v>
      </c>
      <c r="E80" s="9">
        <f>'Monthly Financial Reports'!BD77</f>
        <v>29435870.781902689</v>
      </c>
      <c r="F80" s="9">
        <f>'Monthly Financial Reports'!BE77</f>
        <v>90377926.390307739</v>
      </c>
      <c r="G80" s="46"/>
      <c r="H80" s="22"/>
      <c r="I80" s="22"/>
      <c r="J80" s="22"/>
      <c r="K80" s="22"/>
      <c r="L80" s="22"/>
      <c r="M80" s="22"/>
      <c r="N80" s="22"/>
      <c r="O80" s="46"/>
      <c r="P80" s="46"/>
      <c r="Q80" s="153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</row>
    <row r="81" spans="1:54" x14ac:dyDescent="0.25">
      <c r="A81" s="348"/>
      <c r="B81" s="11" t="str">
        <f>'Monthly Financial Reports'!D78</f>
        <v>Opening Balance Equity</v>
      </c>
      <c r="C81" s="11">
        <f>'Monthly Financial Reports'!BB78</f>
        <v>82500</v>
      </c>
      <c r="D81" s="11">
        <f>'Monthly Financial Reports'!BC78</f>
        <v>82500</v>
      </c>
      <c r="E81" s="11">
        <f>'Monthly Financial Reports'!BD78</f>
        <v>82500</v>
      </c>
      <c r="F81" s="11">
        <f>'Monthly Financial Reports'!BE78</f>
        <v>82500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349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</row>
    <row r="82" spans="1:54" x14ac:dyDescent="0.25">
      <c r="A82" s="348"/>
      <c r="B82" s="11" t="str">
        <f>'Monthly Financial Reports'!D79</f>
        <v>Investment By Others</v>
      </c>
      <c r="C82" s="11">
        <f>'Monthly Financial Reports'!BB79</f>
        <v>0</v>
      </c>
      <c r="D82" s="11">
        <f>'Monthly Financial Reports'!BC79</f>
        <v>0</v>
      </c>
      <c r="E82" s="11">
        <f>'Monthly Financial Reports'!BD79</f>
        <v>0</v>
      </c>
      <c r="F82" s="11">
        <f>'Monthly Financial Reports'!BE79</f>
        <v>0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349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</row>
    <row r="83" spans="1:54" x14ac:dyDescent="0.25">
      <c r="A83" s="348"/>
      <c r="B83" s="11" t="str">
        <f>'Monthly Financial Reports'!D80</f>
        <v>Cumulative Owners Draw</v>
      </c>
      <c r="C83" s="11">
        <f>'Monthly Financial Reports'!BB80</f>
        <v>219741</v>
      </c>
      <c r="D83" s="11">
        <f>'Monthly Financial Reports'!BC80</f>
        <v>540881</v>
      </c>
      <c r="E83" s="11">
        <f>'Monthly Financial Reports'!BD80</f>
        <v>720881</v>
      </c>
      <c r="F83" s="11">
        <f>'Monthly Financial Reports'!BE80</f>
        <v>900881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349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</row>
    <row r="84" spans="1:54" x14ac:dyDescent="0.25">
      <c r="A84" s="348"/>
      <c r="B84" s="11" t="str">
        <f>'Monthly Financial Reports'!D81</f>
        <v xml:space="preserve">Balancing  </v>
      </c>
      <c r="C84" s="11">
        <f>'Monthly Financial Reports'!BB81</f>
        <v>-336158</v>
      </c>
      <c r="D84" s="11">
        <f>'Monthly Financial Reports'!BC81</f>
        <v>0</v>
      </c>
      <c r="E84" s="11">
        <f>'Monthly Financial Reports'!BD81</f>
        <v>-955399.68235622346</v>
      </c>
      <c r="F84" s="11">
        <f>'Monthly Financial Reports'!BE81</f>
        <v>4295663.1676105112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349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</row>
    <row r="85" spans="1:54" x14ac:dyDescent="0.25">
      <c r="A85" s="348"/>
      <c r="B85" s="11" t="str">
        <f>'Monthly Financial Reports'!D82</f>
        <v>Retained Earnings</v>
      </c>
      <c r="C85" s="11">
        <f>'Monthly Financial Reports'!BB82</f>
        <v>171158</v>
      </c>
      <c r="D85" s="11">
        <f>'Monthly Financial Reports'!BC82</f>
        <v>796620.92000000039</v>
      </c>
      <c r="E85" s="11">
        <f>'Monthly Financial Reports'!BD82</f>
        <v>25986075.20445314</v>
      </c>
      <c r="F85" s="11">
        <f>'Monthly Financial Reports'!BE82</f>
        <v>79842178.207952201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349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</row>
    <row r="86" spans="1:54" x14ac:dyDescent="0.25">
      <c r="A86" s="348"/>
      <c r="B86" s="11" t="str">
        <f>'Monthly Financial Reports'!D83</f>
        <v>Net Income</v>
      </c>
      <c r="C86" s="11">
        <f>'Monthly Financial Reports'!BB83</f>
        <v>922997</v>
      </c>
      <c r="D86" s="11">
        <f>'Monthly Financial Reports'!BC83</f>
        <v>4203880.0075198114</v>
      </c>
      <c r="E86" s="11">
        <f>'Monthly Financial Reports'!BD83</f>
        <v>3601814.2598057734</v>
      </c>
      <c r="F86" s="11">
        <f>'Monthly Financial Reports'!BE83</f>
        <v>5256704.0147450296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349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</row>
    <row r="87" spans="1:54" x14ac:dyDescent="0.25">
      <c r="A87" s="348"/>
      <c r="B87" s="11"/>
      <c r="C87" s="11">
        <f>'Monthly Financial Reports'!BB84</f>
        <v>0</v>
      </c>
      <c r="D87" s="11">
        <f>'Monthly Financial Reports'!BC84</f>
        <v>0</v>
      </c>
      <c r="E87" s="11">
        <f>'Monthly Financial Reports'!BD84</f>
        <v>0</v>
      </c>
      <c r="F87" s="11">
        <f>'Monthly Financial Reports'!BE84</f>
        <v>0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349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</row>
    <row r="88" spans="1:54" x14ac:dyDescent="0.25">
      <c r="A88" s="106" t="str">
        <f>'Monthly Financial Reports'!C85</f>
        <v>LIABILITIES AND EQUITY</v>
      </c>
      <c r="B88" s="9"/>
      <c r="C88" s="9">
        <f>'Monthly Financial Reports'!BB85</f>
        <v>1258371</v>
      </c>
      <c r="D88" s="9">
        <f>'Monthly Financial Reports'!BC85</f>
        <v>7514289.1688435227</v>
      </c>
      <c r="E88" s="9">
        <f>'Monthly Financial Reports'!BD85</f>
        <v>42780908.224568583</v>
      </c>
      <c r="F88" s="9">
        <f>'Monthly Financial Reports'!BE85</f>
        <v>123790595.01977539</v>
      </c>
      <c r="G88" s="46"/>
      <c r="H88" s="22"/>
      <c r="I88" s="22"/>
      <c r="J88" s="22"/>
      <c r="K88" s="22"/>
      <c r="L88" s="22"/>
      <c r="M88" s="22"/>
      <c r="N88" s="22"/>
      <c r="O88" s="46"/>
      <c r="P88" s="46"/>
      <c r="Q88" s="153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</row>
    <row r="89" spans="1:54" x14ac:dyDescent="0.25">
      <c r="A89" s="348"/>
      <c r="B89" s="11"/>
      <c r="C89" s="11"/>
      <c r="D89" s="11"/>
      <c r="E89" s="11"/>
      <c r="F89" s="1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349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</row>
    <row r="90" spans="1:54" x14ac:dyDescent="0.25">
      <c r="A90" s="348"/>
      <c r="B90" s="11"/>
      <c r="C90" s="11"/>
      <c r="D90" s="11"/>
      <c r="E90" s="11"/>
      <c r="F90" s="1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349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</row>
    <row r="91" spans="1:54" x14ac:dyDescent="0.25">
      <c r="A91" s="348"/>
      <c r="B91" s="11"/>
      <c r="C91" s="11"/>
      <c r="D91" s="11"/>
      <c r="E91" s="11"/>
      <c r="F91" s="1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349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</row>
    <row r="92" spans="1:54" x14ac:dyDescent="0.25">
      <c r="A92" s="348"/>
      <c r="B92" s="11"/>
      <c r="C92" s="11"/>
      <c r="D92" s="11"/>
      <c r="E92" s="11"/>
      <c r="F92" s="11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349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</row>
    <row r="93" spans="1:54" x14ac:dyDescent="0.25">
      <c r="A93" s="348"/>
      <c r="B93" s="11"/>
      <c r="C93" s="11"/>
      <c r="D93" s="11"/>
      <c r="E93" s="11"/>
      <c r="F93" s="11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349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</row>
    <row r="94" spans="1:54" x14ac:dyDescent="0.25">
      <c r="A94" s="348"/>
      <c r="B94" s="11"/>
      <c r="C94" s="11"/>
      <c r="D94" s="11"/>
      <c r="E94" s="11"/>
      <c r="F94" s="1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349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</row>
    <row r="95" spans="1:54" x14ac:dyDescent="0.25">
      <c r="A95" s="348"/>
      <c r="B95" s="11"/>
      <c r="C95" s="11"/>
      <c r="D95" s="11"/>
      <c r="E95" s="11"/>
      <c r="F95" s="11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49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</row>
    <row r="96" spans="1:54" x14ac:dyDescent="0.25">
      <c r="A96" s="348"/>
      <c r="B96" s="11"/>
      <c r="C96" s="11"/>
      <c r="D96" s="11"/>
      <c r="E96" s="11"/>
      <c r="F96" s="1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349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</row>
    <row r="97" spans="1:54" x14ac:dyDescent="0.25">
      <c r="A97" s="348"/>
      <c r="B97" s="11"/>
      <c r="C97" s="11"/>
      <c r="D97" s="11"/>
      <c r="E97" s="11"/>
      <c r="F97" s="1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349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</row>
    <row r="98" spans="1:54" x14ac:dyDescent="0.25">
      <c r="A98" s="348"/>
      <c r="B98" s="11"/>
      <c r="C98" s="11"/>
      <c r="D98" s="11"/>
      <c r="E98" s="11"/>
      <c r="F98" s="1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349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</row>
    <row r="99" spans="1:54" x14ac:dyDescent="0.25">
      <c r="A99" s="348"/>
      <c r="B99" s="11"/>
      <c r="C99" s="11"/>
      <c r="D99" s="11"/>
      <c r="E99" s="11"/>
      <c r="F99" s="11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349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</row>
    <row r="100" spans="1:54" x14ac:dyDescent="0.25">
      <c r="A100" s="348"/>
      <c r="B100" s="1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349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</row>
    <row r="101" spans="1:54" x14ac:dyDescent="0.25">
      <c r="A101" s="348"/>
      <c r="B101" s="1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349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</row>
    <row r="102" spans="1:54" x14ac:dyDescent="0.25">
      <c r="A102" s="348"/>
      <c r="B102" s="1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349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</row>
    <row r="103" spans="1:54" x14ac:dyDescent="0.25">
      <c r="A103" s="348"/>
      <c r="B103" s="1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349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</row>
    <row r="104" spans="1:54" x14ac:dyDescent="0.25">
      <c r="A104" s="348"/>
      <c r="B104" s="1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349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</row>
    <row r="105" spans="1:54" x14ac:dyDescent="0.25">
      <c r="A105" s="348"/>
      <c r="B105" s="1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349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</row>
    <row r="106" spans="1:54" x14ac:dyDescent="0.25">
      <c r="A106" s="348"/>
      <c r="B106" s="1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349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</row>
    <row r="107" spans="1:54" x14ac:dyDescent="0.25">
      <c r="A107" s="348"/>
      <c r="B107" s="1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349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</row>
    <row r="108" spans="1:54" x14ac:dyDescent="0.25">
      <c r="A108" s="348"/>
      <c r="B108" s="1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349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</row>
    <row r="109" spans="1:54" x14ac:dyDescent="0.25">
      <c r="A109" s="348"/>
      <c r="B109" s="1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349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</row>
    <row r="110" spans="1:54" x14ac:dyDescent="0.25">
      <c r="A110" s="348"/>
      <c r="B110" s="1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349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</row>
    <row r="111" spans="1:54" x14ac:dyDescent="0.25">
      <c r="A111" s="348"/>
      <c r="B111" s="1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349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</row>
    <row r="112" spans="1:54" x14ac:dyDescent="0.25">
      <c r="A112" s="348"/>
      <c r="B112" s="1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349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</row>
    <row r="113" spans="1:54" ht="14.25" customHeight="1" x14ac:dyDescent="0.25">
      <c r="A113" s="348"/>
      <c r="B113" s="1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349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</row>
    <row r="114" spans="1:54" ht="14.25" customHeight="1" x14ac:dyDescent="0.25">
      <c r="A114" s="348"/>
      <c r="B114" s="1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349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</row>
    <row r="115" spans="1:54" ht="14.25" customHeight="1" x14ac:dyDescent="0.25">
      <c r="A115" s="348"/>
      <c r="B115" s="1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349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</row>
    <row r="116" spans="1:54" ht="14.25" customHeight="1" x14ac:dyDescent="0.25">
      <c r="A116" s="348"/>
      <c r="B116" s="1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349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</row>
    <row r="117" spans="1:54" ht="14.25" customHeight="1" x14ac:dyDescent="0.25">
      <c r="A117" s="348"/>
      <c r="B117" s="1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349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</row>
    <row r="118" spans="1:54" ht="14.25" customHeight="1" x14ac:dyDescent="0.25">
      <c r="A118" s="348"/>
      <c r="B118" s="1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349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</row>
    <row r="119" spans="1:54" ht="14.25" customHeight="1" x14ac:dyDescent="0.25">
      <c r="A119" s="348"/>
      <c r="B119" s="1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349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</row>
    <row r="120" spans="1:54" ht="14.25" customHeight="1" x14ac:dyDescent="0.25">
      <c r="A120" s="348"/>
      <c r="B120" s="1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349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</row>
    <row r="121" spans="1:54" ht="14.25" customHeight="1" x14ac:dyDescent="0.25">
      <c r="A121" s="348"/>
      <c r="B121" s="1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349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</row>
    <row r="122" spans="1:54" ht="14.25" customHeight="1" x14ac:dyDescent="0.25">
      <c r="A122" s="348"/>
      <c r="B122" s="1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349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</row>
    <row r="123" spans="1:54" ht="14.25" customHeight="1" x14ac:dyDescent="0.25">
      <c r="A123" s="348"/>
      <c r="B123" s="1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349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</row>
    <row r="124" spans="1:54" ht="14.25" customHeight="1" x14ac:dyDescent="0.25">
      <c r="A124" s="348"/>
      <c r="B124" s="1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349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</row>
    <row r="125" spans="1:54" ht="14.25" customHeight="1" x14ac:dyDescent="0.25">
      <c r="A125" s="348"/>
      <c r="B125" s="1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349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</row>
    <row r="126" spans="1:54" ht="14.25" customHeight="1" x14ac:dyDescent="0.25">
      <c r="A126" s="348"/>
      <c r="B126" s="1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349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</row>
    <row r="127" spans="1:54" ht="14.25" customHeight="1" x14ac:dyDescent="0.25">
      <c r="A127" s="348"/>
      <c r="B127" s="1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349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</row>
    <row r="128" spans="1:54" ht="14.25" customHeight="1" x14ac:dyDescent="0.25">
      <c r="A128" s="348"/>
      <c r="B128" s="1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349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</row>
    <row r="129" spans="1:54" ht="14.25" customHeight="1" x14ac:dyDescent="0.25">
      <c r="A129" s="348"/>
      <c r="B129" s="1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349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</row>
    <row r="130" spans="1:54" ht="14.25" customHeight="1" x14ac:dyDescent="0.25">
      <c r="A130" s="348"/>
      <c r="B130" s="1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349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</row>
    <row r="131" spans="1:54" ht="14.25" customHeight="1" x14ac:dyDescent="0.25">
      <c r="A131" s="348"/>
      <c r="B131" s="1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349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</row>
    <row r="132" spans="1:54" ht="14.25" customHeight="1" x14ac:dyDescent="0.25">
      <c r="A132" s="348"/>
      <c r="B132" s="1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349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</row>
    <row r="133" spans="1:54" ht="14.25" customHeight="1" x14ac:dyDescent="0.25">
      <c r="A133" s="348"/>
      <c r="B133" s="1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349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</row>
    <row r="134" spans="1:54" ht="14.25" customHeight="1" x14ac:dyDescent="0.25">
      <c r="A134" s="348"/>
      <c r="B134" s="1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349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</row>
    <row r="135" spans="1:54" ht="14.25" customHeight="1" x14ac:dyDescent="0.25">
      <c r="A135" s="348"/>
      <c r="B135" s="1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349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</row>
    <row r="136" spans="1:54" ht="14.25" customHeight="1" x14ac:dyDescent="0.25">
      <c r="A136" s="348"/>
      <c r="B136" s="1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349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</row>
    <row r="137" spans="1:54" ht="14.25" customHeight="1" x14ac:dyDescent="0.25">
      <c r="A137" s="348"/>
      <c r="B137" s="1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349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</row>
    <row r="138" spans="1:54" ht="14.25" customHeight="1" x14ac:dyDescent="0.25">
      <c r="A138" s="348"/>
      <c r="B138" s="1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349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</row>
    <row r="139" spans="1:54" ht="14.25" customHeight="1" x14ac:dyDescent="0.25">
      <c r="A139" s="348"/>
      <c r="B139" s="1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349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</row>
    <row r="140" spans="1:54" ht="14.25" customHeight="1" x14ac:dyDescent="0.25">
      <c r="A140" s="348"/>
      <c r="B140" s="1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349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</row>
    <row r="141" spans="1:54" ht="14.25" customHeight="1" x14ac:dyDescent="0.25">
      <c r="A141" s="348"/>
      <c r="B141" s="1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349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</row>
    <row r="142" spans="1:54" ht="14.25" customHeight="1" x14ac:dyDescent="0.25">
      <c r="A142" s="348"/>
      <c r="B142" s="1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349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</row>
    <row r="143" spans="1:54" ht="14.25" customHeight="1" x14ac:dyDescent="0.25">
      <c r="A143" s="348"/>
      <c r="B143" s="1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349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</row>
    <row r="144" spans="1:54" ht="14.25" customHeight="1" x14ac:dyDescent="0.25">
      <c r="A144" s="348"/>
      <c r="B144" s="1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349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</row>
    <row r="145" spans="1:54" ht="14.25" customHeight="1" x14ac:dyDescent="0.25">
      <c r="A145" s="348"/>
      <c r="B145" s="1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349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</row>
    <row r="146" spans="1:54" ht="14.25" customHeight="1" x14ac:dyDescent="0.25">
      <c r="A146" s="348"/>
      <c r="B146" s="1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349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</row>
    <row r="147" spans="1:54" ht="14.25" customHeight="1" x14ac:dyDescent="0.25">
      <c r="A147" s="348"/>
      <c r="B147" s="1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349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</row>
    <row r="148" spans="1:54" ht="14.25" customHeight="1" x14ac:dyDescent="0.25">
      <c r="A148" s="348"/>
      <c r="B148" s="1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349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</row>
    <row r="149" spans="1:54" ht="14.25" customHeight="1" x14ac:dyDescent="0.25">
      <c r="A149" s="348"/>
      <c r="B149" s="1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349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</row>
    <row r="150" spans="1:54" ht="14.25" customHeight="1" x14ac:dyDescent="0.25">
      <c r="A150" s="348"/>
      <c r="B150" s="1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349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</row>
    <row r="151" spans="1:54" ht="14.25" customHeight="1" x14ac:dyDescent="0.25">
      <c r="A151" s="348"/>
      <c r="B151" s="1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349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</row>
    <row r="152" spans="1:54" ht="14.25" customHeight="1" x14ac:dyDescent="0.25">
      <c r="A152" s="348"/>
      <c r="B152" s="1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349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</row>
    <row r="153" spans="1:54" ht="14.25" customHeight="1" x14ac:dyDescent="0.25">
      <c r="A153" s="348"/>
      <c r="B153" s="1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349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</row>
    <row r="154" spans="1:54" ht="14.25" customHeight="1" x14ac:dyDescent="0.25">
      <c r="A154" s="348"/>
      <c r="B154" s="1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349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</row>
    <row r="155" spans="1:54" ht="14.25" customHeight="1" x14ac:dyDescent="0.25">
      <c r="A155" s="348"/>
      <c r="B155" s="1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349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</row>
    <row r="156" spans="1:54" ht="14.25" customHeight="1" x14ac:dyDescent="0.25">
      <c r="A156" s="348"/>
      <c r="B156" s="1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349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</row>
    <row r="157" spans="1:54" ht="14.25" customHeight="1" x14ac:dyDescent="0.25">
      <c r="A157" s="348"/>
      <c r="B157" s="1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349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</row>
    <row r="158" spans="1:54" ht="14.25" customHeight="1" x14ac:dyDescent="0.25">
      <c r="A158" s="348"/>
      <c r="B158" s="1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349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</row>
    <row r="159" spans="1:54" ht="14.25" customHeight="1" x14ac:dyDescent="0.25">
      <c r="A159" s="348"/>
      <c r="B159" s="1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349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</row>
    <row r="160" spans="1:54" ht="14.25" customHeight="1" x14ac:dyDescent="0.25">
      <c r="A160" s="348"/>
      <c r="B160" s="1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349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</row>
    <row r="161" spans="1:54" ht="14.25" customHeight="1" x14ac:dyDescent="0.25">
      <c r="A161" s="348"/>
      <c r="B161" s="1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349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</row>
    <row r="162" spans="1:54" ht="14.25" customHeight="1" x14ac:dyDescent="0.25">
      <c r="A162" s="348"/>
      <c r="B162" s="1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349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</row>
    <row r="163" spans="1:54" ht="14.25" customHeight="1" x14ac:dyDescent="0.25">
      <c r="A163" s="348"/>
      <c r="B163" s="1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349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</row>
    <row r="164" spans="1:54" ht="14.25" customHeight="1" x14ac:dyDescent="0.25">
      <c r="A164" s="348"/>
      <c r="B164" s="1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349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</row>
    <row r="165" spans="1:54" ht="14.25" customHeight="1" x14ac:dyDescent="0.25">
      <c r="A165" s="348"/>
      <c r="B165" s="1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349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</row>
    <row r="166" spans="1:54" ht="14.25" customHeight="1" x14ac:dyDescent="0.25">
      <c r="A166" s="348"/>
      <c r="B166" s="1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349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</row>
    <row r="167" spans="1:54" ht="14.25" customHeight="1" x14ac:dyDescent="0.25">
      <c r="A167" s="348"/>
      <c r="B167" s="1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349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</row>
    <row r="168" spans="1:54" ht="14.25" customHeight="1" x14ac:dyDescent="0.25">
      <c r="A168" s="348"/>
      <c r="B168" s="1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349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</row>
    <row r="169" spans="1:54" ht="14.25" customHeight="1" x14ac:dyDescent="0.25">
      <c r="A169" s="348"/>
      <c r="B169" s="1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349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</row>
    <row r="170" spans="1:54" ht="14.25" customHeight="1" x14ac:dyDescent="0.25">
      <c r="A170" s="348"/>
      <c r="B170" s="1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349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</row>
    <row r="171" spans="1:54" ht="14.25" customHeight="1" x14ac:dyDescent="0.25">
      <c r="A171" s="348"/>
      <c r="B171" s="1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349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</row>
    <row r="172" spans="1:54" ht="14.25" customHeight="1" x14ac:dyDescent="0.25">
      <c r="A172" s="348"/>
      <c r="B172" s="1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349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</row>
    <row r="173" spans="1:54" ht="14.25" customHeight="1" x14ac:dyDescent="0.25">
      <c r="A173" s="348"/>
      <c r="B173" s="1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349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</row>
    <row r="174" spans="1:54" ht="14.25" customHeight="1" x14ac:dyDescent="0.25">
      <c r="A174" s="348"/>
      <c r="B174" s="1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349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</row>
    <row r="175" spans="1:54" ht="14.25" customHeight="1" x14ac:dyDescent="0.25">
      <c r="A175" s="348"/>
      <c r="B175" s="1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349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</row>
    <row r="176" spans="1:54" ht="14.25" customHeight="1" x14ac:dyDescent="0.25">
      <c r="A176" s="348"/>
      <c r="B176" s="1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349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</row>
    <row r="177" spans="1:54" ht="14.25" customHeight="1" x14ac:dyDescent="0.25">
      <c r="A177" s="348"/>
      <c r="B177" s="1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349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</row>
    <row r="178" spans="1:54" ht="14.25" customHeight="1" x14ac:dyDescent="0.25">
      <c r="A178" s="348"/>
      <c r="B178" s="1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349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</row>
    <row r="179" spans="1:54" ht="14.25" customHeight="1" x14ac:dyDescent="0.25">
      <c r="A179" s="348"/>
      <c r="B179" s="1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349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</row>
    <row r="180" spans="1:54" ht="14.25" customHeight="1" x14ac:dyDescent="0.25">
      <c r="A180" s="348"/>
      <c r="B180" s="1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349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</row>
    <row r="181" spans="1:54" ht="14.25" customHeight="1" x14ac:dyDescent="0.25">
      <c r="A181" s="348"/>
      <c r="B181" s="1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349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</row>
    <row r="182" spans="1:54" ht="14.25" customHeight="1" x14ac:dyDescent="0.25">
      <c r="A182" s="348"/>
      <c r="B182" s="1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349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</row>
    <row r="183" spans="1:54" ht="14.25" customHeight="1" x14ac:dyDescent="0.25">
      <c r="A183" s="348"/>
      <c r="B183" s="1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349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</row>
    <row r="184" spans="1:54" ht="14.25" customHeight="1" x14ac:dyDescent="0.25">
      <c r="A184" s="348"/>
      <c r="B184" s="1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349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</row>
    <row r="185" spans="1:54" ht="14.25" customHeight="1" x14ac:dyDescent="0.25">
      <c r="A185" s="348"/>
      <c r="B185" s="1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349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</row>
    <row r="186" spans="1:54" ht="14.25" customHeight="1" x14ac:dyDescent="0.25">
      <c r="A186" s="348"/>
      <c r="B186" s="1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349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</row>
    <row r="187" spans="1:54" ht="14.25" customHeight="1" x14ac:dyDescent="0.25">
      <c r="A187" s="348"/>
      <c r="B187" s="1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349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</row>
    <row r="188" spans="1:54" ht="14.25" customHeight="1" x14ac:dyDescent="0.25">
      <c r="A188" s="348"/>
      <c r="B188" s="1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349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</row>
    <row r="189" spans="1:54" ht="14.25" customHeight="1" x14ac:dyDescent="0.25">
      <c r="A189" s="348"/>
      <c r="B189" s="11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349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</row>
    <row r="190" spans="1:54" ht="14.25" customHeight="1" x14ac:dyDescent="0.25">
      <c r="A190" s="348"/>
      <c r="B190" s="11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349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</row>
    <row r="191" spans="1:54" ht="14.25" customHeight="1" x14ac:dyDescent="0.25">
      <c r="A191" s="348"/>
      <c r="B191" s="11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349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</row>
    <row r="192" spans="1:54" ht="14.25" customHeight="1" x14ac:dyDescent="0.25">
      <c r="A192" s="348"/>
      <c r="B192" s="11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349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</row>
    <row r="193" spans="1:54" ht="14.25" customHeight="1" x14ac:dyDescent="0.25">
      <c r="A193" s="348"/>
      <c r="B193" s="11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349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</row>
    <row r="194" spans="1:54" ht="14.25" customHeight="1" x14ac:dyDescent="0.25">
      <c r="A194" s="348"/>
      <c r="B194" s="11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349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</row>
    <row r="195" spans="1:54" ht="14.25" customHeight="1" x14ac:dyDescent="0.25">
      <c r="A195" s="348"/>
      <c r="B195" s="11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349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</row>
    <row r="196" spans="1:54" ht="14.25" customHeight="1" x14ac:dyDescent="0.25">
      <c r="A196" s="348"/>
      <c r="B196" s="11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349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</row>
    <row r="197" spans="1:54" ht="14.25" customHeight="1" x14ac:dyDescent="0.25">
      <c r="A197" s="348"/>
      <c r="B197" s="11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349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</row>
    <row r="198" spans="1:54" ht="14.25" customHeight="1" x14ac:dyDescent="0.25">
      <c r="A198" s="348"/>
      <c r="B198" s="11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349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</row>
    <row r="199" spans="1:54" ht="14.25" customHeight="1" x14ac:dyDescent="0.25">
      <c r="A199" s="348"/>
      <c r="B199" s="11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349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</row>
    <row r="200" spans="1:54" ht="14.25" customHeight="1" x14ac:dyDescent="0.25">
      <c r="A200" s="348"/>
      <c r="B200" s="11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349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</row>
    <row r="201" spans="1:54" ht="14.25" customHeight="1" x14ac:dyDescent="0.25">
      <c r="A201" s="348"/>
      <c r="B201" s="11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349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</row>
    <row r="202" spans="1:54" ht="14.25" customHeight="1" x14ac:dyDescent="0.25">
      <c r="A202" s="348"/>
      <c r="B202" s="1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349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</row>
    <row r="203" spans="1:54" ht="14.25" customHeight="1" x14ac:dyDescent="0.25">
      <c r="A203" s="348"/>
      <c r="B203" s="11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349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</row>
    <row r="204" spans="1:54" ht="14.25" customHeight="1" x14ac:dyDescent="0.25">
      <c r="A204" s="348"/>
      <c r="B204" s="11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349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</row>
    <row r="205" spans="1:54" ht="14.25" customHeight="1" x14ac:dyDescent="0.25">
      <c r="A205" s="348"/>
      <c r="B205" s="11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349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</row>
    <row r="206" spans="1:54" ht="14.25" customHeight="1" x14ac:dyDescent="0.25">
      <c r="A206" s="348"/>
      <c r="B206" s="11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349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</row>
    <row r="207" spans="1:54" ht="14.25" customHeight="1" x14ac:dyDescent="0.25">
      <c r="A207" s="348"/>
      <c r="B207" s="11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349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</row>
    <row r="208" spans="1:54" ht="14.25" customHeight="1" x14ac:dyDescent="0.25">
      <c r="A208" s="348"/>
      <c r="B208" s="11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349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</row>
    <row r="209" spans="1:54" ht="14.25" customHeight="1" x14ac:dyDescent="0.25">
      <c r="A209" s="348"/>
      <c r="B209" s="11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349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</row>
    <row r="210" spans="1:54" ht="14.25" customHeight="1" x14ac:dyDescent="0.25">
      <c r="A210" s="348"/>
      <c r="B210" s="11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349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</row>
    <row r="211" spans="1:54" ht="14.25" customHeight="1" x14ac:dyDescent="0.25">
      <c r="A211" s="348"/>
      <c r="B211" s="11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349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</row>
    <row r="212" spans="1:54" ht="14.25" customHeight="1" x14ac:dyDescent="0.25">
      <c r="A212" s="348"/>
      <c r="B212" s="11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349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</row>
    <row r="213" spans="1:54" ht="14.25" customHeight="1" x14ac:dyDescent="0.25">
      <c r="A213" s="348"/>
      <c r="B213" s="11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349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</row>
    <row r="214" spans="1:54" ht="14.25" customHeight="1" x14ac:dyDescent="0.25">
      <c r="A214" s="348"/>
      <c r="B214" s="11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349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</row>
    <row r="215" spans="1:54" ht="14.25" customHeight="1" x14ac:dyDescent="0.25">
      <c r="A215" s="348"/>
      <c r="B215" s="11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349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</row>
    <row r="216" spans="1:54" ht="14.25" customHeight="1" x14ac:dyDescent="0.25">
      <c r="A216" s="348"/>
      <c r="B216" s="11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349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</row>
    <row r="217" spans="1:54" ht="14.25" customHeight="1" x14ac:dyDescent="0.25">
      <c r="A217" s="348"/>
      <c r="B217" s="11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349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</row>
    <row r="218" spans="1:54" ht="14.25" customHeight="1" x14ac:dyDescent="0.25">
      <c r="A218" s="348"/>
      <c r="B218" s="11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349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</row>
    <row r="219" spans="1:54" ht="14.25" customHeight="1" x14ac:dyDescent="0.25">
      <c r="A219" s="348"/>
      <c r="B219" s="11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349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</row>
    <row r="220" spans="1:54" ht="14.25" customHeight="1" x14ac:dyDescent="0.25">
      <c r="A220" s="348"/>
      <c r="B220" s="11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349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</row>
    <row r="221" spans="1:54" ht="14.25" customHeight="1" x14ac:dyDescent="0.25">
      <c r="A221" s="348"/>
      <c r="B221" s="11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349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</row>
    <row r="222" spans="1:54" ht="14.25" customHeight="1" x14ac:dyDescent="0.25">
      <c r="A222" s="348"/>
      <c r="B222" s="11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349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</row>
    <row r="223" spans="1:54" ht="14.25" customHeight="1" x14ac:dyDescent="0.25">
      <c r="A223" s="348"/>
      <c r="B223" s="11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349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</row>
    <row r="224" spans="1:54" ht="14.25" customHeight="1" x14ac:dyDescent="0.25">
      <c r="A224" s="348"/>
      <c r="B224" s="11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349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</row>
    <row r="225" spans="1:54" ht="14.25" customHeight="1" x14ac:dyDescent="0.25">
      <c r="A225" s="348"/>
      <c r="B225" s="11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349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</row>
    <row r="226" spans="1:54" ht="14.25" customHeight="1" x14ac:dyDescent="0.25">
      <c r="A226" s="348"/>
      <c r="B226" s="1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349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</row>
    <row r="227" spans="1:54" ht="14.25" customHeight="1" x14ac:dyDescent="0.25">
      <c r="A227" s="348"/>
      <c r="B227" s="1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349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</row>
    <row r="228" spans="1:54" ht="14.25" customHeight="1" x14ac:dyDescent="0.25">
      <c r="A228" s="348"/>
      <c r="B228" s="11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349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</row>
    <row r="229" spans="1:54" ht="14.25" customHeight="1" x14ac:dyDescent="0.25">
      <c r="A229" s="348"/>
      <c r="B229" s="11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349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</row>
    <row r="230" spans="1:54" ht="14.25" customHeight="1" x14ac:dyDescent="0.25">
      <c r="A230" s="348"/>
      <c r="B230" s="11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349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</row>
    <row r="231" spans="1:54" ht="14.25" customHeight="1" x14ac:dyDescent="0.25">
      <c r="A231" s="348"/>
      <c r="B231" s="11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349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</row>
    <row r="232" spans="1:54" ht="14.25" customHeight="1" x14ac:dyDescent="0.25">
      <c r="A232" s="348"/>
      <c r="B232" s="11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349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</row>
    <row r="233" spans="1:54" ht="14.25" customHeight="1" x14ac:dyDescent="0.25">
      <c r="A233" s="348"/>
      <c r="B233" s="11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349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</row>
    <row r="234" spans="1:54" ht="14.25" customHeight="1" x14ac:dyDescent="0.25">
      <c r="A234" s="348"/>
      <c r="B234" s="11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349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</row>
    <row r="235" spans="1:54" ht="14.25" customHeight="1" x14ac:dyDescent="0.25">
      <c r="A235" s="348"/>
      <c r="B235" s="1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349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</row>
    <row r="236" spans="1:54" ht="14.25" customHeight="1" x14ac:dyDescent="0.25">
      <c r="A236" s="348"/>
      <c r="B236" s="11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349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</row>
    <row r="237" spans="1:54" ht="14.25" customHeight="1" x14ac:dyDescent="0.25">
      <c r="A237" s="348"/>
      <c r="B237" s="11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349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</row>
    <row r="238" spans="1:54" ht="14.25" customHeight="1" x14ac:dyDescent="0.25">
      <c r="A238" s="348"/>
      <c r="B238" s="11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349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</row>
    <row r="239" spans="1:54" ht="14.25" customHeight="1" x14ac:dyDescent="0.25">
      <c r="A239" s="348"/>
      <c r="B239" s="11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349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</row>
    <row r="240" spans="1:54" ht="14.25" customHeight="1" x14ac:dyDescent="0.25">
      <c r="A240" s="348"/>
      <c r="B240" s="11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349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</row>
    <row r="241" spans="1:54" ht="14.25" customHeight="1" x14ac:dyDescent="0.25">
      <c r="A241" s="348"/>
      <c r="B241" s="11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349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</row>
    <row r="242" spans="1:54" ht="14.25" customHeight="1" x14ac:dyDescent="0.25">
      <c r="A242" s="348"/>
      <c r="B242" s="11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349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</row>
    <row r="243" spans="1:54" ht="14.25" customHeight="1" x14ac:dyDescent="0.25">
      <c r="A243" s="348"/>
      <c r="B243" s="11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349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</row>
    <row r="244" spans="1:54" ht="14.25" customHeight="1" x14ac:dyDescent="0.25">
      <c r="A244" s="348"/>
      <c r="B244" s="11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349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</row>
    <row r="245" spans="1:54" ht="14.25" customHeight="1" x14ac:dyDescent="0.25">
      <c r="A245" s="348"/>
      <c r="B245" s="11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349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</row>
    <row r="246" spans="1:54" ht="14.25" customHeight="1" x14ac:dyDescent="0.25">
      <c r="A246" s="348"/>
      <c r="B246" s="11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349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</row>
    <row r="247" spans="1:54" ht="14.25" customHeight="1" x14ac:dyDescent="0.25">
      <c r="A247" s="348"/>
      <c r="B247" s="11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349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</row>
    <row r="248" spans="1:54" ht="14.25" customHeight="1" x14ac:dyDescent="0.25">
      <c r="A248" s="348"/>
      <c r="B248" s="11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349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</row>
    <row r="249" spans="1:54" ht="14.25" customHeight="1" x14ac:dyDescent="0.25">
      <c r="A249" s="348"/>
      <c r="B249" s="11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349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</row>
    <row r="250" spans="1:54" ht="14.25" customHeight="1" x14ac:dyDescent="0.25">
      <c r="A250" s="348"/>
      <c r="B250" s="11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349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</row>
    <row r="251" spans="1:54" ht="14.25" customHeight="1" x14ac:dyDescent="0.25">
      <c r="A251" s="348"/>
      <c r="B251" s="11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349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</row>
    <row r="252" spans="1:54" ht="14.25" customHeight="1" x14ac:dyDescent="0.25">
      <c r="A252" s="348"/>
      <c r="B252" s="11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349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</row>
    <row r="253" spans="1:54" ht="14.25" customHeight="1" x14ac:dyDescent="0.25">
      <c r="A253" s="348"/>
      <c r="B253" s="11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349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</row>
    <row r="254" spans="1:54" ht="14.25" customHeight="1" x14ac:dyDescent="0.25">
      <c r="A254" s="348"/>
      <c r="B254" s="11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349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</row>
    <row r="255" spans="1:54" ht="14.25" customHeight="1" x14ac:dyDescent="0.25">
      <c r="A255" s="348"/>
      <c r="B255" s="11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349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</row>
    <row r="256" spans="1:54" ht="14.25" customHeight="1" x14ac:dyDescent="0.25">
      <c r="A256" s="348"/>
      <c r="B256" s="11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349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</row>
    <row r="257" spans="1:54" ht="14.25" customHeight="1" x14ac:dyDescent="0.25">
      <c r="A257" s="348"/>
      <c r="B257" s="11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349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 spans="1:54" ht="14.25" customHeight="1" x14ac:dyDescent="0.25">
      <c r="A258" s="348"/>
      <c r="B258" s="11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349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</row>
    <row r="259" spans="1:54" ht="14.25" customHeight="1" x14ac:dyDescent="0.25">
      <c r="A259" s="348"/>
      <c r="B259" s="11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349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</row>
    <row r="260" spans="1:54" ht="14.25" customHeight="1" x14ac:dyDescent="0.25">
      <c r="A260" s="348"/>
      <c r="B260" s="11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349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</row>
    <row r="261" spans="1:54" ht="14.25" customHeight="1" x14ac:dyDescent="0.25">
      <c r="A261" s="348"/>
      <c r="B261" s="11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349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</row>
    <row r="262" spans="1:54" ht="14.25" customHeight="1" x14ac:dyDescent="0.25">
      <c r="A262" s="348"/>
      <c r="B262" s="11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349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</row>
    <row r="263" spans="1:54" ht="14.25" customHeight="1" x14ac:dyDescent="0.25">
      <c r="A263" s="348"/>
      <c r="B263" s="11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349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</row>
    <row r="264" spans="1:54" ht="14.25" customHeight="1" x14ac:dyDescent="0.25">
      <c r="A264" s="348"/>
      <c r="B264" s="11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349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</row>
    <row r="265" spans="1:54" ht="14.25" customHeight="1" x14ac:dyDescent="0.25">
      <c r="A265" s="348"/>
      <c r="B265" s="11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349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</row>
    <row r="266" spans="1:54" ht="14.25" customHeight="1" x14ac:dyDescent="0.25">
      <c r="A266" s="348"/>
      <c r="B266" s="11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349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</row>
    <row r="267" spans="1:54" ht="14.25" customHeight="1" x14ac:dyDescent="0.25">
      <c r="A267" s="348"/>
      <c r="B267" s="11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349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</row>
    <row r="268" spans="1:54" ht="14.25" customHeight="1" x14ac:dyDescent="0.25">
      <c r="A268" s="348"/>
      <c r="B268" s="11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349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</row>
    <row r="269" spans="1:54" ht="14.25" customHeight="1" x14ac:dyDescent="0.25">
      <c r="A269" s="348"/>
      <c r="B269" s="11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349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</row>
    <row r="270" spans="1:54" ht="14.25" customHeight="1" x14ac:dyDescent="0.25">
      <c r="A270" s="348"/>
      <c r="B270" s="11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349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</row>
    <row r="271" spans="1:54" ht="14.25" customHeight="1" x14ac:dyDescent="0.25">
      <c r="A271" s="348"/>
      <c r="B271" s="11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349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</row>
    <row r="272" spans="1:54" ht="14.25" customHeight="1" x14ac:dyDescent="0.25">
      <c r="A272" s="348"/>
      <c r="B272" s="11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349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</row>
    <row r="273" spans="1:54" ht="14.25" customHeight="1" x14ac:dyDescent="0.25">
      <c r="A273" s="348"/>
      <c r="B273" s="11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349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</row>
    <row r="274" spans="1:54" ht="14.25" customHeight="1" x14ac:dyDescent="0.25">
      <c r="A274" s="348"/>
      <c r="B274" s="11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349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</row>
    <row r="275" spans="1:54" ht="14.25" customHeight="1" x14ac:dyDescent="0.25">
      <c r="A275" s="348"/>
      <c r="B275" s="11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349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</row>
    <row r="276" spans="1:54" ht="14.25" customHeight="1" x14ac:dyDescent="0.25">
      <c r="A276" s="348"/>
      <c r="B276" s="11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349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</row>
    <row r="277" spans="1:54" ht="14.25" customHeight="1" x14ac:dyDescent="0.25">
      <c r="A277" s="348"/>
      <c r="B277" s="11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349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</row>
    <row r="278" spans="1:54" ht="14.25" customHeight="1" x14ac:dyDescent="0.25">
      <c r="A278" s="348"/>
      <c r="B278" s="11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349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</row>
    <row r="279" spans="1:54" ht="14.25" customHeight="1" x14ac:dyDescent="0.25">
      <c r="A279" s="348"/>
      <c r="B279" s="11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349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</row>
    <row r="280" spans="1:54" ht="14.25" customHeight="1" x14ac:dyDescent="0.25">
      <c r="A280" s="348"/>
      <c r="B280" s="11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349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</row>
    <row r="281" spans="1:54" ht="14.25" customHeight="1" x14ac:dyDescent="0.25">
      <c r="A281" s="348"/>
      <c r="B281" s="11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349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</row>
    <row r="282" spans="1:54" ht="14.25" customHeight="1" x14ac:dyDescent="0.25">
      <c r="A282" s="348"/>
      <c r="B282" s="11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349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</row>
    <row r="283" spans="1:54" ht="14.25" customHeight="1" x14ac:dyDescent="0.25">
      <c r="A283" s="348"/>
      <c r="B283" s="11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349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</row>
    <row r="284" spans="1:54" ht="14.25" customHeight="1" x14ac:dyDescent="0.25">
      <c r="A284" s="348"/>
      <c r="B284" s="11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349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</row>
    <row r="285" spans="1:54" ht="14.25" customHeight="1" x14ac:dyDescent="0.25">
      <c r="A285" s="348"/>
      <c r="B285" s="11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349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 spans="1:54" ht="14.25" customHeight="1" x14ac:dyDescent="0.25">
      <c r="A286" s="348"/>
      <c r="B286" s="11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349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</row>
    <row r="287" spans="1:54" ht="14.25" customHeight="1" x14ac:dyDescent="0.25">
      <c r="A287" s="348"/>
      <c r="B287" s="11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349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</row>
    <row r="288" spans="1:54" ht="14.25" customHeight="1" x14ac:dyDescent="0.25">
      <c r="A288" s="348"/>
      <c r="B288" s="11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349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</row>
    <row r="289" spans="1:54" ht="14.25" customHeight="1" x14ac:dyDescent="0.25">
      <c r="A289" s="348"/>
      <c r="B289" s="11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349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</row>
    <row r="290" spans="1:54" ht="14.25" customHeight="1" x14ac:dyDescent="0.25">
      <c r="A290" s="348"/>
      <c r="B290" s="11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349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</row>
    <row r="291" spans="1:54" ht="14.25" customHeight="1" x14ac:dyDescent="0.25">
      <c r="A291" s="348"/>
      <c r="B291" s="11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349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</row>
    <row r="292" spans="1:54" ht="14.25" customHeight="1" x14ac:dyDescent="0.25">
      <c r="A292" s="348"/>
      <c r="B292" s="11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349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</row>
    <row r="293" spans="1:54" ht="14.25" customHeight="1" x14ac:dyDescent="0.25">
      <c r="A293" s="348"/>
      <c r="B293" s="11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349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</row>
    <row r="294" spans="1:54" ht="14.25" customHeight="1" x14ac:dyDescent="0.25">
      <c r="A294" s="348"/>
      <c r="B294" s="11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349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</row>
    <row r="295" spans="1:54" ht="14.25" customHeight="1" x14ac:dyDescent="0.25">
      <c r="A295" s="348"/>
      <c r="B295" s="11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349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</row>
    <row r="296" spans="1:54" ht="14.25" customHeight="1" x14ac:dyDescent="0.25">
      <c r="A296" s="348"/>
      <c r="B296" s="11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349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</row>
    <row r="297" spans="1:54" ht="14.25" customHeight="1" x14ac:dyDescent="0.25">
      <c r="A297" s="348"/>
      <c r="B297" s="11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349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</row>
    <row r="298" spans="1:54" ht="14.25" customHeight="1" x14ac:dyDescent="0.25">
      <c r="A298" s="348"/>
      <c r="B298" s="11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349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</row>
    <row r="299" spans="1:54" ht="14.25" customHeight="1" x14ac:dyDescent="0.25">
      <c r="A299" s="348"/>
      <c r="B299" s="11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349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</row>
    <row r="300" spans="1:54" ht="14.25" customHeight="1" x14ac:dyDescent="0.25">
      <c r="A300" s="348"/>
      <c r="B300" s="11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349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</row>
    <row r="301" spans="1:54" ht="14.25" customHeight="1" x14ac:dyDescent="0.25">
      <c r="A301" s="348"/>
      <c r="B301" s="11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349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</row>
    <row r="302" spans="1:54" ht="14.25" customHeight="1" x14ac:dyDescent="0.25">
      <c r="A302" s="348"/>
      <c r="B302" s="11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349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</row>
    <row r="303" spans="1:54" ht="14.25" customHeight="1" x14ac:dyDescent="0.25">
      <c r="A303" s="348"/>
      <c r="B303" s="11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349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</row>
    <row r="304" spans="1:54" ht="14.25" customHeight="1" x14ac:dyDescent="0.25">
      <c r="A304" s="348"/>
      <c r="B304" s="11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349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</row>
    <row r="305" spans="1:54" ht="14.25" customHeight="1" x14ac:dyDescent="0.25">
      <c r="A305" s="348"/>
      <c r="B305" s="11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349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</row>
    <row r="306" spans="1:54" ht="14.25" customHeight="1" x14ac:dyDescent="0.25">
      <c r="A306" s="348"/>
      <c r="B306" s="11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349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</row>
    <row r="307" spans="1:54" ht="14.25" customHeight="1" x14ac:dyDescent="0.25">
      <c r="A307" s="348"/>
      <c r="B307" s="11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349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</row>
    <row r="308" spans="1:54" ht="14.25" customHeight="1" x14ac:dyDescent="0.25">
      <c r="A308" s="348"/>
      <c r="B308" s="11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349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</row>
    <row r="309" spans="1:54" ht="14.25" customHeight="1" x14ac:dyDescent="0.25">
      <c r="A309" s="348"/>
      <c r="B309" s="11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349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</row>
    <row r="310" spans="1:54" ht="14.25" customHeight="1" x14ac:dyDescent="0.25">
      <c r="A310" s="348"/>
      <c r="B310" s="11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349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</row>
    <row r="311" spans="1:54" ht="14.25" customHeight="1" x14ac:dyDescent="0.25">
      <c r="A311" s="348"/>
      <c r="B311" s="11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349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</row>
    <row r="312" spans="1:54" ht="14.25" customHeight="1" x14ac:dyDescent="0.25">
      <c r="A312" s="348"/>
      <c r="B312" s="11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349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</row>
    <row r="313" spans="1:54" ht="14.25" customHeight="1" x14ac:dyDescent="0.25">
      <c r="A313" s="348"/>
      <c r="B313" s="11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349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</row>
    <row r="314" spans="1:54" ht="14.25" customHeight="1" x14ac:dyDescent="0.25">
      <c r="A314" s="348"/>
      <c r="B314" s="11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349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</row>
    <row r="315" spans="1:54" ht="14.25" customHeight="1" x14ac:dyDescent="0.25">
      <c r="A315" s="348"/>
      <c r="B315" s="11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349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</row>
    <row r="316" spans="1:54" ht="14.25" customHeight="1" x14ac:dyDescent="0.25">
      <c r="A316" s="348"/>
      <c r="B316" s="11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349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</row>
    <row r="317" spans="1:54" ht="14.25" customHeight="1" x14ac:dyDescent="0.25">
      <c r="A317" s="348"/>
      <c r="B317" s="11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349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</row>
    <row r="318" spans="1:54" ht="14.25" customHeight="1" x14ac:dyDescent="0.25">
      <c r="A318" s="348"/>
      <c r="B318" s="11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349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</row>
    <row r="319" spans="1:54" ht="14.25" customHeight="1" x14ac:dyDescent="0.25">
      <c r="A319" s="348"/>
      <c r="B319" s="11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349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</row>
    <row r="320" spans="1:54" ht="14.25" customHeight="1" x14ac:dyDescent="0.25">
      <c r="A320" s="348"/>
      <c r="B320" s="11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349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</row>
    <row r="321" spans="1:54" ht="14.25" customHeight="1" x14ac:dyDescent="0.25">
      <c r="A321" s="348"/>
      <c r="B321" s="11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349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</row>
    <row r="322" spans="1:54" ht="14.25" customHeight="1" x14ac:dyDescent="0.25">
      <c r="A322" s="348"/>
      <c r="B322" s="11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349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</row>
    <row r="323" spans="1:54" ht="14.25" customHeight="1" x14ac:dyDescent="0.25">
      <c r="A323" s="348"/>
      <c r="B323" s="11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349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</row>
    <row r="324" spans="1:54" ht="14.25" customHeight="1" x14ac:dyDescent="0.25">
      <c r="A324" s="348"/>
      <c r="B324" s="11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349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</row>
    <row r="325" spans="1:54" ht="14.25" customHeight="1" x14ac:dyDescent="0.25">
      <c r="A325" s="348"/>
      <c r="B325" s="11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349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</row>
    <row r="326" spans="1:54" ht="14.25" customHeight="1" x14ac:dyDescent="0.25">
      <c r="A326" s="348"/>
      <c r="B326" s="11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349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</row>
    <row r="327" spans="1:54" ht="14.25" customHeight="1" x14ac:dyDescent="0.25">
      <c r="A327" s="348"/>
      <c r="B327" s="11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349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</row>
    <row r="328" spans="1:54" ht="14.25" customHeight="1" x14ac:dyDescent="0.25">
      <c r="A328" s="348"/>
      <c r="B328" s="11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349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</row>
    <row r="329" spans="1:54" ht="14.25" customHeight="1" x14ac:dyDescent="0.25">
      <c r="A329" s="348"/>
      <c r="B329" s="11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349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</row>
    <row r="330" spans="1:54" ht="14.25" customHeight="1" x14ac:dyDescent="0.25">
      <c r="A330" s="348"/>
      <c r="B330" s="11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349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</row>
    <row r="331" spans="1:54" ht="14.25" customHeight="1" x14ac:dyDescent="0.25">
      <c r="A331" s="348"/>
      <c r="B331" s="11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349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</row>
    <row r="332" spans="1:54" ht="14.25" customHeight="1" x14ac:dyDescent="0.25">
      <c r="A332" s="348"/>
      <c r="B332" s="11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349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</row>
    <row r="333" spans="1:54" ht="14.25" customHeight="1" x14ac:dyDescent="0.25">
      <c r="A333" s="348"/>
      <c r="B333" s="11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349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</row>
    <row r="334" spans="1:54" ht="14.25" customHeight="1" x14ac:dyDescent="0.25">
      <c r="A334" s="348"/>
      <c r="B334" s="11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349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</row>
    <row r="335" spans="1:54" ht="14.25" customHeight="1" x14ac:dyDescent="0.25">
      <c r="A335" s="348"/>
      <c r="B335" s="11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349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</row>
    <row r="336" spans="1:54" ht="14.25" customHeight="1" x14ac:dyDescent="0.25">
      <c r="A336" s="348"/>
      <c r="B336" s="11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349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</row>
    <row r="337" spans="1:54" ht="14.25" customHeight="1" x14ac:dyDescent="0.25">
      <c r="A337" s="348"/>
      <c r="B337" s="11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349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</row>
    <row r="338" spans="1:54" ht="14.25" customHeight="1" x14ac:dyDescent="0.25">
      <c r="A338" s="348"/>
      <c r="B338" s="11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349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</row>
    <row r="339" spans="1:54" ht="14.25" customHeight="1" x14ac:dyDescent="0.25">
      <c r="A339" s="348"/>
      <c r="B339" s="11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349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</row>
    <row r="340" spans="1:54" ht="14.25" customHeight="1" x14ac:dyDescent="0.25">
      <c r="A340" s="348"/>
      <c r="B340" s="11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349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</row>
    <row r="341" spans="1:54" ht="14.25" customHeight="1" x14ac:dyDescent="0.25">
      <c r="A341" s="348"/>
      <c r="B341" s="11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349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</row>
    <row r="342" spans="1:54" ht="14.25" customHeight="1" x14ac:dyDescent="0.25">
      <c r="A342" s="348"/>
      <c r="B342" s="11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349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</row>
    <row r="343" spans="1:54" ht="14.25" customHeight="1" x14ac:dyDescent="0.25">
      <c r="A343" s="348"/>
      <c r="B343" s="11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349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</row>
    <row r="344" spans="1:54" ht="14.25" customHeight="1" x14ac:dyDescent="0.25">
      <c r="A344" s="348"/>
      <c r="B344" s="11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349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</row>
    <row r="345" spans="1:54" ht="14.25" customHeight="1" x14ac:dyDescent="0.25">
      <c r="A345" s="348"/>
      <c r="B345" s="11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349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</row>
    <row r="346" spans="1:54" ht="14.25" customHeight="1" x14ac:dyDescent="0.25">
      <c r="A346" s="348"/>
      <c r="B346" s="11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349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</row>
    <row r="347" spans="1:54" ht="14.25" customHeight="1" x14ac:dyDescent="0.25">
      <c r="A347" s="348"/>
      <c r="B347" s="11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349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</row>
    <row r="348" spans="1:54" ht="14.25" customHeight="1" x14ac:dyDescent="0.25">
      <c r="A348" s="348"/>
      <c r="B348" s="11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349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</row>
    <row r="349" spans="1:54" ht="14.25" customHeight="1" x14ac:dyDescent="0.25">
      <c r="A349" s="348"/>
      <c r="B349" s="11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349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</row>
    <row r="350" spans="1:54" ht="14.25" customHeight="1" x14ac:dyDescent="0.25">
      <c r="A350" s="348"/>
      <c r="B350" s="11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349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</row>
    <row r="351" spans="1:54" ht="14.25" customHeight="1" x14ac:dyDescent="0.25">
      <c r="A351" s="348"/>
      <c r="B351" s="11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349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</row>
    <row r="352" spans="1:54" ht="14.25" customHeight="1" x14ac:dyDescent="0.25">
      <c r="A352" s="348"/>
      <c r="B352" s="11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349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</row>
    <row r="353" spans="1:54" ht="14.25" customHeight="1" x14ac:dyDescent="0.25">
      <c r="A353" s="348"/>
      <c r="B353" s="11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349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</row>
    <row r="354" spans="1:54" ht="14.25" customHeight="1" x14ac:dyDescent="0.25">
      <c r="A354" s="348"/>
      <c r="B354" s="11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349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</row>
    <row r="355" spans="1:54" ht="14.25" customHeight="1" x14ac:dyDescent="0.25">
      <c r="A355" s="348"/>
      <c r="B355" s="11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349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</row>
    <row r="356" spans="1:54" ht="14.25" customHeight="1" x14ac:dyDescent="0.25">
      <c r="A356" s="348"/>
      <c r="B356" s="11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349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</row>
    <row r="357" spans="1:54" ht="14.25" customHeight="1" x14ac:dyDescent="0.25">
      <c r="A357" s="348"/>
      <c r="B357" s="11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349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</row>
    <row r="358" spans="1:54" ht="14.25" customHeight="1" x14ac:dyDescent="0.25">
      <c r="A358" s="348"/>
      <c r="B358" s="11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349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</row>
    <row r="359" spans="1:54" ht="14.25" customHeight="1" x14ac:dyDescent="0.25">
      <c r="A359" s="348"/>
      <c r="B359" s="11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349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</row>
    <row r="360" spans="1:54" ht="14.25" customHeight="1" x14ac:dyDescent="0.25">
      <c r="A360" s="348"/>
      <c r="B360" s="11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349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</row>
    <row r="361" spans="1:54" ht="14.25" customHeight="1" x14ac:dyDescent="0.25">
      <c r="A361" s="348"/>
      <c r="B361" s="11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349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</row>
    <row r="362" spans="1:54" ht="14.25" customHeight="1" x14ac:dyDescent="0.25">
      <c r="A362" s="348"/>
      <c r="B362" s="11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349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</row>
    <row r="363" spans="1:54" ht="14.25" customHeight="1" x14ac:dyDescent="0.25">
      <c r="A363" s="348"/>
      <c r="B363" s="11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349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</row>
    <row r="364" spans="1:54" ht="14.25" customHeight="1" x14ac:dyDescent="0.25">
      <c r="A364" s="348"/>
      <c r="B364" s="11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349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</row>
    <row r="365" spans="1:54" ht="14.25" customHeight="1" x14ac:dyDescent="0.25">
      <c r="A365" s="348"/>
      <c r="B365" s="11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349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</row>
    <row r="366" spans="1:54" ht="14.25" customHeight="1" x14ac:dyDescent="0.25">
      <c r="A366" s="348"/>
      <c r="B366" s="11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349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</row>
    <row r="367" spans="1:54" ht="14.25" customHeight="1" x14ac:dyDescent="0.25">
      <c r="A367" s="348"/>
      <c r="B367" s="11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349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</row>
    <row r="368" spans="1:54" ht="14.25" customHeight="1" x14ac:dyDescent="0.25">
      <c r="A368" s="348"/>
      <c r="B368" s="11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349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</row>
    <row r="369" spans="1:54" ht="14.25" customHeight="1" x14ac:dyDescent="0.25">
      <c r="A369" s="348"/>
      <c r="B369" s="11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349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</row>
    <row r="370" spans="1:54" ht="14.25" customHeight="1" x14ac:dyDescent="0.25">
      <c r="A370" s="348"/>
      <c r="B370" s="11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349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</row>
    <row r="371" spans="1:54" ht="14.25" customHeight="1" x14ac:dyDescent="0.25">
      <c r="A371" s="348"/>
      <c r="B371" s="11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349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</row>
    <row r="372" spans="1:54" ht="14.25" customHeight="1" x14ac:dyDescent="0.25">
      <c r="A372" s="348"/>
      <c r="B372" s="11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349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</row>
    <row r="373" spans="1:54" ht="14.25" customHeight="1" x14ac:dyDescent="0.25">
      <c r="A373" s="348"/>
      <c r="B373" s="11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349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</row>
    <row r="374" spans="1:54" ht="14.25" customHeight="1" x14ac:dyDescent="0.25">
      <c r="A374" s="348"/>
      <c r="B374" s="11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349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</row>
    <row r="375" spans="1:54" ht="14.25" customHeight="1" x14ac:dyDescent="0.25">
      <c r="A375" s="348"/>
      <c r="B375" s="11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349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</row>
    <row r="376" spans="1:54" ht="14.25" customHeight="1" x14ac:dyDescent="0.25">
      <c r="A376" s="348"/>
      <c r="B376" s="11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349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</row>
    <row r="377" spans="1:54" ht="14.25" customHeight="1" x14ac:dyDescent="0.25">
      <c r="A377" s="348"/>
      <c r="B377" s="11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349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</row>
    <row r="378" spans="1:54" ht="14.25" customHeight="1" x14ac:dyDescent="0.25">
      <c r="A378" s="348"/>
      <c r="B378" s="11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349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</row>
    <row r="379" spans="1:54" ht="14.25" customHeight="1" x14ac:dyDescent="0.25">
      <c r="A379" s="348"/>
      <c r="B379" s="11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349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</row>
    <row r="380" spans="1:54" ht="14.25" customHeight="1" x14ac:dyDescent="0.25">
      <c r="A380" s="348"/>
      <c r="B380" s="11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349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</row>
    <row r="381" spans="1:54" ht="14.25" customHeight="1" x14ac:dyDescent="0.25">
      <c r="A381" s="348"/>
      <c r="B381" s="11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349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</row>
    <row r="382" spans="1:54" ht="14.25" customHeight="1" x14ac:dyDescent="0.25">
      <c r="A382" s="348"/>
      <c r="B382" s="11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349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</row>
    <row r="383" spans="1:54" ht="14.25" customHeight="1" x14ac:dyDescent="0.25">
      <c r="A383" s="348"/>
      <c r="B383" s="11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349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</row>
    <row r="384" spans="1:54" ht="14.25" customHeight="1" x14ac:dyDescent="0.25">
      <c r="A384" s="348"/>
      <c r="B384" s="11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349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</row>
    <row r="385" spans="1:54" ht="14.25" customHeight="1" x14ac:dyDescent="0.25">
      <c r="A385" s="348"/>
      <c r="B385" s="11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349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</row>
    <row r="386" spans="1:54" ht="14.25" customHeight="1" x14ac:dyDescent="0.25">
      <c r="A386" s="348"/>
      <c r="B386" s="11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349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</row>
    <row r="387" spans="1:54" ht="14.25" customHeight="1" x14ac:dyDescent="0.25">
      <c r="A387" s="348"/>
      <c r="B387" s="11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349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</row>
    <row r="388" spans="1:54" ht="14.25" customHeight="1" x14ac:dyDescent="0.25">
      <c r="A388" s="348"/>
      <c r="B388" s="11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349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</row>
    <row r="389" spans="1:54" ht="14.25" customHeight="1" x14ac:dyDescent="0.25">
      <c r="A389" s="348"/>
      <c r="B389" s="11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349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</row>
    <row r="390" spans="1:54" ht="14.25" customHeight="1" x14ac:dyDescent="0.25">
      <c r="A390" s="348"/>
      <c r="B390" s="11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349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</row>
    <row r="391" spans="1:54" ht="14.25" customHeight="1" x14ac:dyDescent="0.25">
      <c r="A391" s="348"/>
      <c r="B391" s="11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349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</row>
    <row r="392" spans="1:54" ht="14.25" customHeight="1" x14ac:dyDescent="0.25">
      <c r="A392" s="348"/>
      <c r="B392" s="11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349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</row>
    <row r="393" spans="1:54" ht="14.25" customHeight="1" x14ac:dyDescent="0.25">
      <c r="A393" s="348"/>
      <c r="B393" s="11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349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</row>
    <row r="394" spans="1:54" ht="14.25" customHeight="1" x14ac:dyDescent="0.25">
      <c r="A394" s="348"/>
      <c r="B394" s="11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349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</row>
    <row r="395" spans="1:54" ht="14.25" customHeight="1" x14ac:dyDescent="0.25">
      <c r="A395" s="348"/>
      <c r="B395" s="11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349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</row>
    <row r="396" spans="1:54" ht="14.25" customHeight="1" x14ac:dyDescent="0.25">
      <c r="A396" s="348"/>
      <c r="B396" s="11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349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</row>
    <row r="397" spans="1:54" ht="14.25" customHeight="1" x14ac:dyDescent="0.25">
      <c r="A397" s="348"/>
      <c r="B397" s="11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349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</row>
    <row r="398" spans="1:54" ht="14.25" customHeight="1" x14ac:dyDescent="0.25">
      <c r="A398" s="348"/>
      <c r="B398" s="11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349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</row>
    <row r="399" spans="1:54" ht="14.25" customHeight="1" x14ac:dyDescent="0.25">
      <c r="A399" s="348"/>
      <c r="B399" s="11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349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</row>
    <row r="400" spans="1:54" ht="14.25" customHeight="1" x14ac:dyDescent="0.25">
      <c r="A400" s="348"/>
      <c r="B400" s="11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349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</row>
    <row r="401" spans="1:54" ht="14.25" customHeight="1" x14ac:dyDescent="0.25">
      <c r="A401" s="348"/>
      <c r="B401" s="11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349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</row>
    <row r="402" spans="1:54" ht="14.25" customHeight="1" x14ac:dyDescent="0.25">
      <c r="A402" s="348"/>
      <c r="B402" s="11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349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</row>
    <row r="403" spans="1:54" ht="14.25" customHeight="1" x14ac:dyDescent="0.25">
      <c r="A403" s="348"/>
      <c r="B403" s="11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349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</row>
    <row r="404" spans="1:54" ht="14.25" customHeight="1" x14ac:dyDescent="0.25">
      <c r="A404" s="348"/>
      <c r="B404" s="11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349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</row>
    <row r="405" spans="1:54" ht="14.25" customHeight="1" x14ac:dyDescent="0.25">
      <c r="A405" s="348"/>
      <c r="B405" s="11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349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</row>
    <row r="406" spans="1:54" ht="14.25" customHeight="1" x14ac:dyDescent="0.25">
      <c r="A406" s="348"/>
      <c r="B406" s="11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349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</row>
    <row r="407" spans="1:54" ht="14.25" customHeight="1" x14ac:dyDescent="0.25">
      <c r="A407" s="348"/>
      <c r="B407" s="11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349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</row>
    <row r="408" spans="1:54" ht="14.25" customHeight="1" x14ac:dyDescent="0.25">
      <c r="A408" s="348"/>
      <c r="B408" s="11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349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</row>
    <row r="409" spans="1:54" ht="14.25" customHeight="1" x14ac:dyDescent="0.25">
      <c r="A409" s="348"/>
      <c r="B409" s="11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349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</row>
    <row r="410" spans="1:54" ht="14.25" customHeight="1" x14ac:dyDescent="0.25">
      <c r="A410" s="348"/>
      <c r="B410" s="11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349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</row>
    <row r="411" spans="1:54" ht="14.25" customHeight="1" x14ac:dyDescent="0.25">
      <c r="A411" s="348"/>
      <c r="B411" s="11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349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</row>
    <row r="412" spans="1:54" ht="14.25" customHeight="1" x14ac:dyDescent="0.25">
      <c r="A412" s="348"/>
      <c r="B412" s="11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349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</row>
    <row r="413" spans="1:54" ht="14.25" customHeight="1" x14ac:dyDescent="0.25">
      <c r="A413" s="348"/>
      <c r="B413" s="11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349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</row>
    <row r="414" spans="1:54" ht="14.25" customHeight="1" x14ac:dyDescent="0.25">
      <c r="A414" s="348"/>
      <c r="B414" s="11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349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</row>
    <row r="415" spans="1:54" ht="14.25" customHeight="1" x14ac:dyDescent="0.25">
      <c r="A415" s="348"/>
      <c r="B415" s="11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349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</row>
    <row r="416" spans="1:54" ht="14.25" customHeight="1" x14ac:dyDescent="0.25">
      <c r="A416" s="348"/>
      <c r="B416" s="11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349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</row>
    <row r="417" spans="1:54" ht="14.25" customHeight="1" x14ac:dyDescent="0.25">
      <c r="A417" s="348"/>
      <c r="B417" s="11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349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</row>
    <row r="418" spans="1:54" ht="14.25" customHeight="1" x14ac:dyDescent="0.25">
      <c r="A418" s="348"/>
      <c r="B418" s="11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349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</row>
    <row r="419" spans="1:54" ht="14.25" customHeight="1" x14ac:dyDescent="0.25">
      <c r="A419" s="348"/>
      <c r="B419" s="11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349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</row>
    <row r="420" spans="1:54" ht="14.25" customHeight="1" x14ac:dyDescent="0.25">
      <c r="A420" s="348"/>
      <c r="B420" s="11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349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</row>
    <row r="421" spans="1:54" ht="14.25" customHeight="1" x14ac:dyDescent="0.25">
      <c r="A421" s="348"/>
      <c r="B421" s="11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349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</row>
    <row r="422" spans="1:54" ht="14.25" customHeight="1" x14ac:dyDescent="0.25">
      <c r="A422" s="348"/>
      <c r="B422" s="11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349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</row>
    <row r="423" spans="1:54" ht="14.25" customHeight="1" x14ac:dyDescent="0.25">
      <c r="A423" s="348"/>
      <c r="B423" s="11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349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</row>
    <row r="424" spans="1:54" ht="14.25" customHeight="1" x14ac:dyDescent="0.25">
      <c r="A424" s="348"/>
      <c r="B424" s="11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349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</row>
    <row r="425" spans="1:54" ht="14.25" customHeight="1" x14ac:dyDescent="0.25">
      <c r="A425" s="348"/>
      <c r="B425" s="11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349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</row>
    <row r="426" spans="1:54" ht="14.25" customHeight="1" x14ac:dyDescent="0.25">
      <c r="A426" s="348"/>
      <c r="B426" s="11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349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</row>
    <row r="427" spans="1:54" ht="14.25" customHeight="1" x14ac:dyDescent="0.25">
      <c r="A427" s="348"/>
      <c r="B427" s="11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349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</row>
    <row r="428" spans="1:54" ht="14.25" customHeight="1" x14ac:dyDescent="0.25">
      <c r="A428" s="348"/>
      <c r="B428" s="11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349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</row>
    <row r="429" spans="1:54" ht="14.25" customHeight="1" x14ac:dyDescent="0.25">
      <c r="A429" s="348"/>
      <c r="B429" s="11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349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</row>
    <row r="430" spans="1:54" ht="14.25" customHeight="1" x14ac:dyDescent="0.25">
      <c r="A430" s="348"/>
      <c r="B430" s="11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349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</row>
    <row r="431" spans="1:54" ht="14.25" customHeight="1" x14ac:dyDescent="0.25">
      <c r="A431" s="348"/>
      <c r="B431" s="11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349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</row>
    <row r="432" spans="1:54" ht="14.25" customHeight="1" x14ac:dyDescent="0.25">
      <c r="A432" s="348"/>
      <c r="B432" s="11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349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</row>
    <row r="433" spans="1:54" ht="14.25" customHeight="1" x14ac:dyDescent="0.25">
      <c r="A433" s="348"/>
      <c r="B433" s="11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349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</row>
    <row r="434" spans="1:54" ht="14.25" customHeight="1" x14ac:dyDescent="0.25">
      <c r="A434" s="348"/>
      <c r="B434" s="11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349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</row>
    <row r="435" spans="1:54" ht="14.25" customHeight="1" x14ac:dyDescent="0.25">
      <c r="A435" s="348"/>
      <c r="B435" s="11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349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</row>
    <row r="436" spans="1:54" ht="14.25" customHeight="1" x14ac:dyDescent="0.25">
      <c r="A436" s="348"/>
      <c r="B436" s="11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349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</row>
    <row r="437" spans="1:54" ht="14.25" customHeight="1" x14ac:dyDescent="0.25">
      <c r="A437" s="348"/>
      <c r="B437" s="11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349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</row>
    <row r="438" spans="1:54" ht="14.25" customHeight="1" x14ac:dyDescent="0.25">
      <c r="A438" s="348"/>
      <c r="B438" s="11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349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</row>
    <row r="439" spans="1:54" ht="14.25" customHeight="1" x14ac:dyDescent="0.25">
      <c r="A439" s="348"/>
      <c r="B439" s="11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349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</row>
    <row r="440" spans="1:54" ht="14.25" customHeight="1" x14ac:dyDescent="0.25">
      <c r="A440" s="348"/>
      <c r="B440" s="11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349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</row>
    <row r="441" spans="1:54" ht="14.25" customHeight="1" x14ac:dyDescent="0.25">
      <c r="A441" s="348"/>
      <c r="B441" s="11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349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</row>
    <row r="442" spans="1:54" ht="14.25" customHeight="1" x14ac:dyDescent="0.25">
      <c r="A442" s="348"/>
      <c r="B442" s="11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349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</row>
    <row r="443" spans="1:54" ht="14.25" customHeight="1" x14ac:dyDescent="0.25">
      <c r="A443" s="348"/>
      <c r="B443" s="11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349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</row>
    <row r="444" spans="1:54" ht="14.25" customHeight="1" x14ac:dyDescent="0.25">
      <c r="A444" s="348"/>
      <c r="B444" s="11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349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</row>
    <row r="445" spans="1:54" ht="14.25" customHeight="1" x14ac:dyDescent="0.25">
      <c r="A445" s="348"/>
      <c r="B445" s="11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349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</row>
    <row r="446" spans="1:54" ht="14.25" customHeight="1" x14ac:dyDescent="0.25">
      <c r="A446" s="348"/>
      <c r="B446" s="11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349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</row>
    <row r="447" spans="1:54" ht="14.25" customHeight="1" x14ac:dyDescent="0.25">
      <c r="A447" s="348"/>
      <c r="B447" s="11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349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</row>
    <row r="448" spans="1:54" ht="14.25" customHeight="1" x14ac:dyDescent="0.25">
      <c r="A448" s="348"/>
      <c r="B448" s="11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349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</row>
    <row r="449" spans="1:54" ht="14.25" customHeight="1" x14ac:dyDescent="0.25">
      <c r="A449" s="348"/>
      <c r="B449" s="11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349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</row>
    <row r="450" spans="1:54" ht="14.25" customHeight="1" x14ac:dyDescent="0.25">
      <c r="A450" s="348"/>
      <c r="B450" s="11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349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</row>
    <row r="451" spans="1:54" ht="14.25" customHeight="1" x14ac:dyDescent="0.25">
      <c r="A451" s="348"/>
      <c r="B451" s="11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349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</row>
    <row r="452" spans="1:54" ht="14.25" customHeight="1" x14ac:dyDescent="0.25">
      <c r="A452" s="348"/>
      <c r="B452" s="11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349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</row>
    <row r="453" spans="1:54" ht="14.25" customHeight="1" x14ac:dyDescent="0.25">
      <c r="A453" s="348"/>
      <c r="B453" s="11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349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</row>
    <row r="454" spans="1:54" ht="14.25" customHeight="1" x14ac:dyDescent="0.25">
      <c r="A454" s="348"/>
      <c r="B454" s="11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349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</row>
    <row r="455" spans="1:54" ht="14.25" customHeight="1" x14ac:dyDescent="0.25">
      <c r="A455" s="348"/>
      <c r="B455" s="11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349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</row>
    <row r="456" spans="1:54" ht="14.25" customHeight="1" x14ac:dyDescent="0.25">
      <c r="A456" s="348"/>
      <c r="B456" s="11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349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</row>
    <row r="457" spans="1:54" ht="14.25" customHeight="1" x14ac:dyDescent="0.25">
      <c r="A457" s="348"/>
      <c r="B457" s="11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349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</row>
    <row r="458" spans="1:54" ht="14.25" customHeight="1" x14ac:dyDescent="0.25">
      <c r="A458" s="348"/>
      <c r="B458" s="11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349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</row>
    <row r="459" spans="1:54" ht="14.25" customHeight="1" x14ac:dyDescent="0.25">
      <c r="A459" s="348"/>
      <c r="B459" s="11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349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</row>
    <row r="460" spans="1:54" ht="14.25" customHeight="1" x14ac:dyDescent="0.25">
      <c r="A460" s="348"/>
      <c r="B460" s="11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349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</row>
    <row r="461" spans="1:54" ht="14.25" customHeight="1" x14ac:dyDescent="0.25">
      <c r="A461" s="348"/>
      <c r="B461" s="11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349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</row>
    <row r="462" spans="1:54" ht="14.25" customHeight="1" x14ac:dyDescent="0.25">
      <c r="A462" s="348"/>
      <c r="B462" s="11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349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</row>
    <row r="463" spans="1:54" ht="14.25" customHeight="1" x14ac:dyDescent="0.25">
      <c r="A463" s="348"/>
      <c r="B463" s="11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349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</row>
    <row r="464" spans="1:54" ht="14.25" customHeight="1" x14ac:dyDescent="0.25">
      <c r="A464" s="348"/>
      <c r="B464" s="11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349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</row>
    <row r="465" spans="1:54" ht="14.25" customHeight="1" x14ac:dyDescent="0.25">
      <c r="A465" s="348"/>
      <c r="B465" s="11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349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</row>
    <row r="466" spans="1:54" ht="14.25" customHeight="1" x14ac:dyDescent="0.25">
      <c r="A466" s="348"/>
      <c r="B466" s="11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349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</row>
    <row r="467" spans="1:54" ht="14.25" customHeight="1" x14ac:dyDescent="0.25">
      <c r="A467" s="348"/>
      <c r="B467" s="11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349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</row>
    <row r="468" spans="1:54" ht="14.25" customHeight="1" x14ac:dyDescent="0.25">
      <c r="A468" s="348"/>
      <c r="B468" s="11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349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</row>
    <row r="469" spans="1:54" ht="14.25" customHeight="1" x14ac:dyDescent="0.25">
      <c r="A469" s="348"/>
      <c r="B469" s="11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349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</row>
    <row r="470" spans="1:54" ht="14.25" customHeight="1" x14ac:dyDescent="0.25">
      <c r="A470" s="348"/>
      <c r="B470" s="11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349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</row>
    <row r="471" spans="1:54" ht="14.25" customHeight="1" x14ac:dyDescent="0.25">
      <c r="A471" s="348"/>
      <c r="B471" s="11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349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</row>
    <row r="472" spans="1:54" ht="14.25" customHeight="1" x14ac:dyDescent="0.25">
      <c r="A472" s="348"/>
      <c r="B472" s="11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349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</row>
    <row r="473" spans="1:54" ht="14.25" customHeight="1" x14ac:dyDescent="0.25">
      <c r="A473" s="348"/>
      <c r="B473" s="11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349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</row>
    <row r="474" spans="1:54" ht="14.25" customHeight="1" x14ac:dyDescent="0.25">
      <c r="A474" s="348"/>
      <c r="B474" s="11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349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</row>
    <row r="475" spans="1:54" ht="14.25" customHeight="1" x14ac:dyDescent="0.25">
      <c r="A475" s="348"/>
      <c r="B475" s="11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349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</row>
    <row r="476" spans="1:54" ht="14.25" customHeight="1" x14ac:dyDescent="0.25">
      <c r="A476" s="348"/>
      <c r="B476" s="11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349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</row>
    <row r="477" spans="1:54" ht="14.25" customHeight="1" x14ac:dyDescent="0.25">
      <c r="A477" s="348"/>
      <c r="B477" s="11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349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</row>
    <row r="478" spans="1:54" ht="14.25" customHeight="1" x14ac:dyDescent="0.25">
      <c r="A478" s="348"/>
      <c r="B478" s="11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349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</row>
    <row r="479" spans="1:54" ht="14.25" customHeight="1" x14ac:dyDescent="0.25">
      <c r="A479" s="348"/>
      <c r="B479" s="11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349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</row>
    <row r="480" spans="1:54" ht="14.25" customHeight="1" x14ac:dyDescent="0.25">
      <c r="A480" s="348"/>
      <c r="B480" s="11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349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</row>
    <row r="481" spans="1:54" ht="14.25" customHeight="1" x14ac:dyDescent="0.25">
      <c r="A481" s="348"/>
      <c r="B481" s="11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349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</row>
    <row r="482" spans="1:54" ht="14.25" customHeight="1" x14ac:dyDescent="0.25">
      <c r="A482" s="348"/>
      <c r="B482" s="11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349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</row>
    <row r="483" spans="1:54" ht="14.25" customHeight="1" x14ac:dyDescent="0.25">
      <c r="A483" s="348"/>
      <c r="B483" s="11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349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</row>
    <row r="484" spans="1:54" ht="14.25" customHeight="1" x14ac:dyDescent="0.25">
      <c r="A484" s="348"/>
      <c r="B484" s="11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349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</row>
    <row r="485" spans="1:54" ht="14.25" customHeight="1" x14ac:dyDescent="0.25">
      <c r="A485" s="348"/>
      <c r="B485" s="11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349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</row>
    <row r="486" spans="1:54" ht="14.25" customHeight="1" x14ac:dyDescent="0.25">
      <c r="A486" s="348"/>
      <c r="B486" s="11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349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</row>
    <row r="487" spans="1:54" ht="14.25" customHeight="1" x14ac:dyDescent="0.25">
      <c r="A487" s="348"/>
      <c r="B487" s="11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349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</row>
    <row r="488" spans="1:54" ht="14.25" customHeight="1" x14ac:dyDescent="0.25">
      <c r="A488" s="348"/>
      <c r="B488" s="11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349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</row>
    <row r="489" spans="1:54" ht="14.25" customHeight="1" x14ac:dyDescent="0.25">
      <c r="A489" s="348"/>
      <c r="B489" s="11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349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</row>
    <row r="490" spans="1:54" ht="14.25" customHeight="1" x14ac:dyDescent="0.25">
      <c r="A490" s="348"/>
      <c r="B490" s="11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349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</row>
    <row r="491" spans="1:54" ht="14.25" customHeight="1" x14ac:dyDescent="0.25">
      <c r="A491" s="348"/>
      <c r="B491" s="11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349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</row>
    <row r="492" spans="1:54" ht="14.25" customHeight="1" x14ac:dyDescent="0.25">
      <c r="A492" s="348"/>
      <c r="B492" s="11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349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</row>
    <row r="493" spans="1:54" ht="14.25" customHeight="1" x14ac:dyDescent="0.25">
      <c r="A493" s="348"/>
      <c r="B493" s="11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349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</row>
    <row r="494" spans="1:54" ht="14.25" customHeight="1" x14ac:dyDescent="0.25">
      <c r="A494" s="348"/>
      <c r="B494" s="11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349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</row>
    <row r="495" spans="1:54" ht="14.25" customHeight="1" x14ac:dyDescent="0.25">
      <c r="A495" s="348"/>
      <c r="B495" s="11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349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</row>
    <row r="496" spans="1:54" ht="14.25" customHeight="1" x14ac:dyDescent="0.25">
      <c r="A496" s="348"/>
      <c r="B496" s="11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349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</row>
    <row r="497" spans="1:54" ht="14.25" customHeight="1" x14ac:dyDescent="0.25">
      <c r="A497" s="348"/>
      <c r="B497" s="11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349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</row>
    <row r="498" spans="1:54" ht="14.25" customHeight="1" x14ac:dyDescent="0.25">
      <c r="A498" s="348"/>
      <c r="B498" s="11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349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</row>
    <row r="499" spans="1:54" ht="14.25" customHeight="1" x14ac:dyDescent="0.25">
      <c r="A499" s="348"/>
      <c r="B499" s="11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349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</row>
    <row r="500" spans="1:54" ht="14.25" customHeight="1" x14ac:dyDescent="0.25">
      <c r="A500" s="348"/>
      <c r="B500" s="11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349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</row>
    <row r="501" spans="1:54" ht="14.25" customHeight="1" x14ac:dyDescent="0.25">
      <c r="A501" s="348"/>
      <c r="B501" s="11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349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</row>
    <row r="502" spans="1:54" ht="14.25" customHeight="1" x14ac:dyDescent="0.25">
      <c r="A502" s="348"/>
      <c r="B502" s="11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349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</row>
    <row r="503" spans="1:54" ht="14.25" customHeight="1" x14ac:dyDescent="0.25">
      <c r="A503" s="348"/>
      <c r="B503" s="11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349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</row>
    <row r="504" spans="1:54" ht="14.25" customHeight="1" x14ac:dyDescent="0.25">
      <c r="A504" s="348"/>
      <c r="B504" s="11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349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</row>
    <row r="505" spans="1:54" ht="14.25" customHeight="1" x14ac:dyDescent="0.25">
      <c r="A505" s="348"/>
      <c r="B505" s="11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349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</row>
    <row r="506" spans="1:54" ht="14.25" customHeight="1" x14ac:dyDescent="0.25">
      <c r="A506" s="348"/>
      <c r="B506" s="11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349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</row>
    <row r="507" spans="1:54" ht="14.25" customHeight="1" x14ac:dyDescent="0.25">
      <c r="A507" s="348"/>
      <c r="B507" s="11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349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</row>
    <row r="508" spans="1:54" ht="14.25" customHeight="1" x14ac:dyDescent="0.25">
      <c r="A508" s="348"/>
      <c r="B508" s="11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349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</row>
    <row r="509" spans="1:54" ht="14.25" customHeight="1" x14ac:dyDescent="0.25">
      <c r="A509" s="348"/>
      <c r="B509" s="11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349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</row>
    <row r="510" spans="1:54" ht="14.25" customHeight="1" x14ac:dyDescent="0.25">
      <c r="A510" s="348"/>
      <c r="B510" s="11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349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</row>
    <row r="511" spans="1:54" ht="14.25" customHeight="1" x14ac:dyDescent="0.25">
      <c r="A511" s="348"/>
      <c r="B511" s="11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349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</row>
    <row r="512" spans="1:54" ht="14.25" customHeight="1" x14ac:dyDescent="0.25">
      <c r="A512" s="348"/>
      <c r="B512" s="11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349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</row>
    <row r="513" spans="1:54" ht="14.25" customHeight="1" x14ac:dyDescent="0.25">
      <c r="A513" s="348"/>
      <c r="B513" s="11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349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</row>
    <row r="514" spans="1:54" ht="14.25" customHeight="1" x14ac:dyDescent="0.25">
      <c r="A514" s="348"/>
      <c r="B514" s="11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349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</row>
    <row r="515" spans="1:54" ht="14.25" customHeight="1" x14ac:dyDescent="0.25">
      <c r="A515" s="348"/>
      <c r="B515" s="11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349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</row>
    <row r="516" spans="1:54" ht="14.25" customHeight="1" x14ac:dyDescent="0.25">
      <c r="A516" s="348"/>
      <c r="B516" s="11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349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</row>
    <row r="517" spans="1:54" ht="14.25" customHeight="1" x14ac:dyDescent="0.25">
      <c r="A517" s="348"/>
      <c r="B517" s="11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349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</row>
    <row r="518" spans="1:54" ht="14.25" customHeight="1" x14ac:dyDescent="0.25">
      <c r="A518" s="348"/>
      <c r="B518" s="11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349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</row>
    <row r="519" spans="1:54" ht="14.25" customHeight="1" x14ac:dyDescent="0.25">
      <c r="A519" s="348"/>
      <c r="B519" s="11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349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</row>
    <row r="520" spans="1:54" ht="14.25" customHeight="1" x14ac:dyDescent="0.25">
      <c r="A520" s="348"/>
      <c r="B520" s="11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349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</row>
    <row r="521" spans="1:54" ht="14.25" customHeight="1" x14ac:dyDescent="0.25">
      <c r="A521" s="348"/>
      <c r="B521" s="11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349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</row>
    <row r="522" spans="1:54" ht="14.25" customHeight="1" x14ac:dyDescent="0.25">
      <c r="A522" s="348"/>
      <c r="B522" s="11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349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</row>
    <row r="523" spans="1:54" ht="14.25" customHeight="1" x14ac:dyDescent="0.25">
      <c r="A523" s="348"/>
      <c r="B523" s="11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349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</row>
    <row r="524" spans="1:54" ht="14.25" customHeight="1" x14ac:dyDescent="0.25">
      <c r="A524" s="348"/>
      <c r="B524" s="11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349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</row>
    <row r="525" spans="1:54" ht="14.25" customHeight="1" x14ac:dyDescent="0.25">
      <c r="A525" s="348"/>
      <c r="B525" s="11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349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</row>
    <row r="526" spans="1:54" ht="14.25" customHeight="1" x14ac:dyDescent="0.25">
      <c r="A526" s="348"/>
      <c r="B526" s="11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349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</row>
    <row r="527" spans="1:54" ht="14.25" customHeight="1" x14ac:dyDescent="0.25">
      <c r="A527" s="348"/>
      <c r="B527" s="11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349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</row>
    <row r="528" spans="1:54" ht="14.25" customHeight="1" x14ac:dyDescent="0.25">
      <c r="A528" s="348"/>
      <c r="B528" s="11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349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</row>
    <row r="529" spans="1:54" ht="14.25" customHeight="1" x14ac:dyDescent="0.25">
      <c r="A529" s="348"/>
      <c r="B529" s="11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349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</row>
    <row r="530" spans="1:54" ht="14.25" customHeight="1" x14ac:dyDescent="0.25">
      <c r="A530" s="348"/>
      <c r="B530" s="11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349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</row>
    <row r="531" spans="1:54" ht="14.25" customHeight="1" x14ac:dyDescent="0.25">
      <c r="A531" s="348"/>
      <c r="B531" s="11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349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</row>
    <row r="532" spans="1:54" ht="14.25" customHeight="1" x14ac:dyDescent="0.25">
      <c r="A532" s="348"/>
      <c r="B532" s="11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349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</row>
    <row r="533" spans="1:54" ht="14.25" customHeight="1" x14ac:dyDescent="0.25">
      <c r="A533" s="348"/>
      <c r="B533" s="11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349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</row>
    <row r="534" spans="1:54" ht="14.25" customHeight="1" x14ac:dyDescent="0.25">
      <c r="A534" s="348"/>
      <c r="B534" s="11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349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</row>
    <row r="535" spans="1:54" ht="14.25" customHeight="1" x14ac:dyDescent="0.25">
      <c r="A535" s="348"/>
      <c r="B535" s="11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349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</row>
    <row r="536" spans="1:54" ht="14.25" customHeight="1" x14ac:dyDescent="0.25">
      <c r="A536" s="348"/>
      <c r="B536" s="11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349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</row>
    <row r="537" spans="1:54" ht="14.25" customHeight="1" x14ac:dyDescent="0.25">
      <c r="A537" s="348"/>
      <c r="B537" s="11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349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</row>
    <row r="538" spans="1:54" ht="14.25" customHeight="1" x14ac:dyDescent="0.25">
      <c r="A538" s="348"/>
      <c r="B538" s="11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349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</row>
    <row r="539" spans="1:54" ht="14.25" customHeight="1" x14ac:dyDescent="0.25">
      <c r="A539" s="348"/>
      <c r="B539" s="11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349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</row>
    <row r="540" spans="1:54" ht="14.25" customHeight="1" x14ac:dyDescent="0.25">
      <c r="A540" s="348"/>
      <c r="B540" s="11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349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</row>
    <row r="541" spans="1:54" ht="14.25" customHeight="1" x14ac:dyDescent="0.25">
      <c r="A541" s="348"/>
      <c r="B541" s="11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349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</row>
    <row r="542" spans="1:54" ht="14.25" customHeight="1" x14ac:dyDescent="0.25">
      <c r="A542" s="348"/>
      <c r="B542" s="11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349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</row>
    <row r="543" spans="1:54" ht="14.25" customHeight="1" x14ac:dyDescent="0.25">
      <c r="A543" s="348"/>
      <c r="B543" s="11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349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</row>
    <row r="544" spans="1:54" ht="14.25" customHeight="1" x14ac:dyDescent="0.25">
      <c r="A544" s="348"/>
      <c r="B544" s="11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349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</row>
    <row r="545" spans="1:54" ht="14.25" customHeight="1" x14ac:dyDescent="0.25">
      <c r="A545" s="348"/>
      <c r="B545" s="11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349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</row>
    <row r="546" spans="1:54" ht="14.25" customHeight="1" x14ac:dyDescent="0.25">
      <c r="A546" s="348"/>
      <c r="B546" s="11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349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</row>
    <row r="547" spans="1:54" ht="14.25" customHeight="1" x14ac:dyDescent="0.25">
      <c r="A547" s="348"/>
      <c r="B547" s="11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349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</row>
    <row r="548" spans="1:54" ht="14.25" customHeight="1" x14ac:dyDescent="0.25">
      <c r="A548" s="348"/>
      <c r="B548" s="11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349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</row>
    <row r="549" spans="1:54" ht="14.25" customHeight="1" x14ac:dyDescent="0.25">
      <c r="A549" s="348"/>
      <c r="B549" s="11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349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</row>
    <row r="550" spans="1:54" ht="14.25" customHeight="1" x14ac:dyDescent="0.25">
      <c r="A550" s="348"/>
      <c r="B550" s="11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349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</row>
    <row r="551" spans="1:54" ht="14.25" customHeight="1" x14ac:dyDescent="0.25">
      <c r="A551" s="348"/>
      <c r="B551" s="11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349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</row>
    <row r="552" spans="1:54" ht="14.25" customHeight="1" x14ac:dyDescent="0.25">
      <c r="A552" s="348"/>
      <c r="B552" s="11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349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</row>
    <row r="553" spans="1:54" ht="14.25" customHeight="1" x14ac:dyDescent="0.25">
      <c r="A553" s="348"/>
      <c r="B553" s="11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349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</row>
    <row r="554" spans="1:54" ht="14.25" customHeight="1" x14ac:dyDescent="0.25">
      <c r="A554" s="348"/>
      <c r="B554" s="11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349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</row>
    <row r="555" spans="1:54" ht="14.25" customHeight="1" x14ac:dyDescent="0.25">
      <c r="A555" s="348"/>
      <c r="B555" s="11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349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</row>
    <row r="556" spans="1:54" ht="14.25" customHeight="1" x14ac:dyDescent="0.25">
      <c r="A556" s="348"/>
      <c r="B556" s="11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349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</row>
    <row r="557" spans="1:54" ht="14.25" customHeight="1" x14ac:dyDescent="0.25">
      <c r="A557" s="348"/>
      <c r="B557" s="11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349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</row>
    <row r="558" spans="1:54" ht="14.25" customHeight="1" x14ac:dyDescent="0.25">
      <c r="A558" s="348"/>
      <c r="B558" s="11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349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</row>
    <row r="559" spans="1:54" ht="14.25" customHeight="1" x14ac:dyDescent="0.25">
      <c r="A559" s="348"/>
      <c r="B559" s="11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349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</row>
    <row r="560" spans="1:54" ht="14.25" customHeight="1" x14ac:dyDescent="0.25">
      <c r="A560" s="348"/>
      <c r="B560" s="11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349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</row>
    <row r="561" spans="1:54" ht="14.25" customHeight="1" x14ac:dyDescent="0.25">
      <c r="A561" s="348"/>
      <c r="B561" s="11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349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</row>
    <row r="562" spans="1:54" ht="14.25" customHeight="1" x14ac:dyDescent="0.25">
      <c r="A562" s="348"/>
      <c r="B562" s="11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349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</row>
    <row r="563" spans="1:54" ht="14.25" customHeight="1" x14ac:dyDescent="0.25">
      <c r="A563" s="348"/>
      <c r="B563" s="11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349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</row>
    <row r="564" spans="1:54" ht="14.25" customHeight="1" x14ac:dyDescent="0.25">
      <c r="A564" s="348"/>
      <c r="B564" s="11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349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</row>
    <row r="565" spans="1:54" ht="14.25" customHeight="1" x14ac:dyDescent="0.25">
      <c r="A565" s="348"/>
      <c r="B565" s="11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349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</row>
    <row r="566" spans="1:54" ht="14.25" customHeight="1" x14ac:dyDescent="0.25">
      <c r="A566" s="348"/>
      <c r="B566" s="11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349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</row>
    <row r="567" spans="1:54" ht="14.25" customHeight="1" x14ac:dyDescent="0.25">
      <c r="A567" s="348"/>
      <c r="B567" s="11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349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</row>
    <row r="568" spans="1:54" ht="14.25" customHeight="1" x14ac:dyDescent="0.25">
      <c r="A568" s="348"/>
      <c r="B568" s="11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349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</row>
    <row r="569" spans="1:54" ht="14.25" customHeight="1" x14ac:dyDescent="0.25">
      <c r="A569" s="348"/>
      <c r="B569" s="11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349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</row>
    <row r="570" spans="1:54" ht="14.25" customHeight="1" x14ac:dyDescent="0.25">
      <c r="A570" s="348"/>
      <c r="B570" s="11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349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</row>
    <row r="571" spans="1:54" ht="14.25" customHeight="1" x14ac:dyDescent="0.25">
      <c r="A571" s="348"/>
      <c r="B571" s="11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349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</row>
    <row r="572" spans="1:54" ht="14.25" customHeight="1" x14ac:dyDescent="0.25">
      <c r="A572" s="348"/>
      <c r="B572" s="11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349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</row>
    <row r="573" spans="1:54" ht="14.25" customHeight="1" x14ac:dyDescent="0.25">
      <c r="A573" s="348"/>
      <c r="B573" s="11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349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</row>
    <row r="574" spans="1:54" ht="14.25" customHeight="1" x14ac:dyDescent="0.25">
      <c r="A574" s="348"/>
      <c r="B574" s="11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349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</row>
    <row r="575" spans="1:54" ht="14.25" customHeight="1" x14ac:dyDescent="0.25">
      <c r="A575" s="348"/>
      <c r="B575" s="11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349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</row>
    <row r="576" spans="1:54" ht="14.25" customHeight="1" x14ac:dyDescent="0.25">
      <c r="A576" s="348"/>
      <c r="B576" s="11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349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</row>
    <row r="577" spans="1:54" ht="14.25" customHeight="1" x14ac:dyDescent="0.25">
      <c r="A577" s="348"/>
      <c r="B577" s="11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349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</row>
    <row r="578" spans="1:54" ht="14.25" customHeight="1" x14ac:dyDescent="0.25">
      <c r="A578" s="348"/>
      <c r="B578" s="11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349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</row>
    <row r="579" spans="1:54" ht="14.25" customHeight="1" x14ac:dyDescent="0.25">
      <c r="A579" s="348"/>
      <c r="B579" s="11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349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</row>
    <row r="580" spans="1:54" ht="14.25" customHeight="1" x14ac:dyDescent="0.25">
      <c r="A580" s="348"/>
      <c r="B580" s="11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349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</row>
    <row r="581" spans="1:54" ht="14.25" customHeight="1" x14ac:dyDescent="0.25">
      <c r="A581" s="348"/>
      <c r="B581" s="11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349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</row>
    <row r="582" spans="1:54" ht="14.25" customHeight="1" x14ac:dyDescent="0.25">
      <c r="A582" s="348"/>
      <c r="B582" s="11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349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</row>
    <row r="583" spans="1:54" ht="14.25" customHeight="1" x14ac:dyDescent="0.25">
      <c r="A583" s="348"/>
      <c r="B583" s="11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349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</row>
    <row r="584" spans="1:54" ht="14.25" customHeight="1" x14ac:dyDescent="0.25">
      <c r="A584" s="348"/>
      <c r="B584" s="11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349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</row>
    <row r="585" spans="1:54" ht="14.25" customHeight="1" x14ac:dyDescent="0.25">
      <c r="A585" s="348"/>
      <c r="B585" s="11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349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</row>
    <row r="586" spans="1:54" ht="14.25" customHeight="1" x14ac:dyDescent="0.25">
      <c r="A586" s="348"/>
      <c r="B586" s="11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349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</row>
    <row r="587" spans="1:54" ht="14.25" customHeight="1" x14ac:dyDescent="0.25">
      <c r="A587" s="348"/>
      <c r="B587" s="11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349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</row>
    <row r="588" spans="1:54" ht="14.25" customHeight="1" x14ac:dyDescent="0.25">
      <c r="A588" s="348"/>
      <c r="B588" s="11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349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</row>
    <row r="589" spans="1:54" ht="14.25" customHeight="1" x14ac:dyDescent="0.25">
      <c r="A589" s="348"/>
      <c r="B589" s="11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349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</row>
    <row r="590" spans="1:54" ht="14.25" customHeight="1" x14ac:dyDescent="0.25">
      <c r="A590" s="348"/>
      <c r="B590" s="11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349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</row>
    <row r="591" spans="1:54" ht="14.25" customHeight="1" x14ac:dyDescent="0.25">
      <c r="A591" s="348"/>
      <c r="B591" s="11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349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</row>
    <row r="592" spans="1:54" ht="14.25" customHeight="1" x14ac:dyDescent="0.25">
      <c r="A592" s="348"/>
      <c r="B592" s="11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349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</row>
    <row r="593" spans="1:54" ht="14.25" customHeight="1" x14ac:dyDescent="0.25">
      <c r="A593" s="348"/>
      <c r="B593" s="11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349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</row>
    <row r="594" spans="1:54" ht="14.25" customHeight="1" x14ac:dyDescent="0.25">
      <c r="A594" s="348"/>
      <c r="B594" s="11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349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</row>
    <row r="595" spans="1:54" ht="14.25" customHeight="1" x14ac:dyDescent="0.25">
      <c r="A595" s="348"/>
      <c r="B595" s="11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349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</row>
    <row r="596" spans="1:54" ht="14.25" customHeight="1" x14ac:dyDescent="0.25">
      <c r="A596" s="348"/>
      <c r="B596" s="11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349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</row>
    <row r="597" spans="1:54" ht="14.25" customHeight="1" x14ac:dyDescent="0.25">
      <c r="A597" s="348"/>
      <c r="B597" s="11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349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</row>
    <row r="598" spans="1:54" ht="14.25" customHeight="1" x14ac:dyDescent="0.25">
      <c r="A598" s="348"/>
      <c r="B598" s="11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349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</row>
    <row r="599" spans="1:54" ht="14.25" customHeight="1" x14ac:dyDescent="0.25">
      <c r="A599" s="348"/>
      <c r="B599" s="11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349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</row>
    <row r="600" spans="1:54" ht="14.25" customHeight="1" x14ac:dyDescent="0.25">
      <c r="A600" s="348"/>
      <c r="B600" s="11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349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</row>
    <row r="601" spans="1:54" ht="14.25" customHeight="1" x14ac:dyDescent="0.25">
      <c r="A601" s="348"/>
      <c r="B601" s="11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349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</row>
    <row r="602" spans="1:54" ht="14.25" customHeight="1" x14ac:dyDescent="0.25">
      <c r="A602" s="348"/>
      <c r="B602" s="11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349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</row>
    <row r="603" spans="1:54" ht="14.25" customHeight="1" x14ac:dyDescent="0.25">
      <c r="A603" s="348"/>
      <c r="B603" s="11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349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</row>
    <row r="604" spans="1:54" ht="14.25" customHeight="1" x14ac:dyDescent="0.25">
      <c r="A604" s="348"/>
      <c r="B604" s="11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349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</row>
    <row r="605" spans="1:54" ht="14.25" customHeight="1" x14ac:dyDescent="0.25">
      <c r="A605" s="348"/>
      <c r="B605" s="11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349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</row>
    <row r="606" spans="1:54" ht="14.25" customHeight="1" x14ac:dyDescent="0.25">
      <c r="A606" s="348"/>
      <c r="B606" s="11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349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</row>
    <row r="607" spans="1:54" ht="14.25" customHeight="1" x14ac:dyDescent="0.25">
      <c r="A607" s="348"/>
      <c r="B607" s="11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349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</row>
    <row r="608" spans="1:54" ht="14.25" customHeight="1" x14ac:dyDescent="0.25">
      <c r="A608" s="348"/>
      <c r="B608" s="11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349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</row>
    <row r="609" spans="1:54" ht="14.25" customHeight="1" x14ac:dyDescent="0.25">
      <c r="A609" s="348"/>
      <c r="B609" s="11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349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</row>
    <row r="610" spans="1:54" ht="14.25" customHeight="1" x14ac:dyDescent="0.25">
      <c r="A610" s="348"/>
      <c r="B610" s="11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349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</row>
    <row r="611" spans="1:54" ht="14.25" customHeight="1" x14ac:dyDescent="0.25">
      <c r="A611" s="348"/>
      <c r="B611" s="11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349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</row>
    <row r="612" spans="1:54" ht="14.25" customHeight="1" x14ac:dyDescent="0.25">
      <c r="A612" s="348"/>
      <c r="B612" s="11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349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</row>
    <row r="613" spans="1:54" ht="14.25" customHeight="1" x14ac:dyDescent="0.25">
      <c r="A613" s="348"/>
      <c r="B613" s="11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349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</row>
    <row r="614" spans="1:54" ht="14.25" customHeight="1" x14ac:dyDescent="0.25">
      <c r="A614" s="348"/>
      <c r="B614" s="11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349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</row>
    <row r="615" spans="1:54" ht="14.25" customHeight="1" x14ac:dyDescent="0.25">
      <c r="A615" s="348"/>
      <c r="B615" s="11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349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</row>
    <row r="616" spans="1:54" ht="14.25" customHeight="1" x14ac:dyDescent="0.25">
      <c r="A616" s="348"/>
      <c r="B616" s="11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349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</row>
    <row r="617" spans="1:54" ht="14.25" customHeight="1" x14ac:dyDescent="0.25">
      <c r="A617" s="348"/>
      <c r="B617" s="11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349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</row>
    <row r="618" spans="1:54" ht="14.25" customHeight="1" x14ac:dyDescent="0.25">
      <c r="A618" s="348"/>
      <c r="B618" s="11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349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</row>
    <row r="619" spans="1:54" ht="14.25" customHeight="1" x14ac:dyDescent="0.25">
      <c r="A619" s="348"/>
      <c r="B619" s="11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349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</row>
    <row r="620" spans="1:54" ht="14.25" customHeight="1" x14ac:dyDescent="0.25">
      <c r="A620" s="348"/>
      <c r="B620" s="11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349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</row>
    <row r="621" spans="1:54" ht="14.25" customHeight="1" x14ac:dyDescent="0.25">
      <c r="A621" s="348"/>
      <c r="B621" s="11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349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</row>
    <row r="622" spans="1:54" ht="14.25" customHeight="1" x14ac:dyDescent="0.25">
      <c r="A622" s="348"/>
      <c r="B622" s="11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349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</row>
    <row r="623" spans="1:54" ht="14.25" customHeight="1" x14ac:dyDescent="0.25">
      <c r="A623" s="348"/>
      <c r="B623" s="11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349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</row>
    <row r="624" spans="1:54" ht="14.25" customHeight="1" x14ac:dyDescent="0.25">
      <c r="A624" s="348"/>
      <c r="B624" s="11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349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</row>
    <row r="625" spans="1:54" ht="14.25" customHeight="1" x14ac:dyDescent="0.25">
      <c r="A625" s="348"/>
      <c r="B625" s="11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349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</row>
    <row r="626" spans="1:54" ht="14.25" customHeight="1" x14ac:dyDescent="0.25">
      <c r="A626" s="348"/>
      <c r="B626" s="11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349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</row>
    <row r="627" spans="1:54" ht="14.25" customHeight="1" x14ac:dyDescent="0.25">
      <c r="A627" s="348"/>
      <c r="B627" s="11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349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</row>
    <row r="628" spans="1:54" ht="14.25" customHeight="1" x14ac:dyDescent="0.25">
      <c r="A628" s="348"/>
      <c r="B628" s="11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349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</row>
    <row r="629" spans="1:54" ht="14.25" customHeight="1" x14ac:dyDescent="0.25">
      <c r="A629" s="348"/>
      <c r="B629" s="11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349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</row>
    <row r="630" spans="1:54" ht="14.25" customHeight="1" x14ac:dyDescent="0.25">
      <c r="A630" s="348"/>
      <c r="B630" s="11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349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</row>
    <row r="631" spans="1:54" ht="14.25" customHeight="1" x14ac:dyDescent="0.25">
      <c r="A631" s="348"/>
      <c r="B631" s="11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349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</row>
    <row r="632" spans="1:54" ht="14.25" customHeight="1" x14ac:dyDescent="0.25">
      <c r="A632" s="348"/>
      <c r="B632" s="11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349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</row>
    <row r="633" spans="1:54" ht="14.25" customHeight="1" x14ac:dyDescent="0.25">
      <c r="A633" s="348"/>
      <c r="B633" s="11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349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</row>
    <row r="634" spans="1:54" ht="14.25" customHeight="1" x14ac:dyDescent="0.25">
      <c r="A634" s="348"/>
      <c r="B634" s="11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349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</row>
    <row r="635" spans="1:54" ht="14.25" customHeight="1" x14ac:dyDescent="0.25">
      <c r="A635" s="348"/>
      <c r="B635" s="11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349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</row>
    <row r="636" spans="1:54" ht="14.25" customHeight="1" x14ac:dyDescent="0.25">
      <c r="A636" s="348"/>
      <c r="B636" s="11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349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</row>
    <row r="637" spans="1:54" ht="14.25" customHeight="1" x14ac:dyDescent="0.25">
      <c r="A637" s="348"/>
      <c r="B637" s="11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349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</row>
    <row r="638" spans="1:54" ht="14.25" customHeight="1" x14ac:dyDescent="0.25">
      <c r="A638" s="348"/>
      <c r="B638" s="11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349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</row>
    <row r="639" spans="1:54" ht="14.25" customHeight="1" x14ac:dyDescent="0.25">
      <c r="A639" s="348"/>
      <c r="B639" s="11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349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</row>
    <row r="640" spans="1:54" ht="14.25" customHeight="1" x14ac:dyDescent="0.25">
      <c r="A640" s="348"/>
      <c r="B640" s="11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349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</row>
    <row r="641" spans="1:54" ht="14.25" customHeight="1" x14ac:dyDescent="0.25">
      <c r="A641" s="348"/>
      <c r="B641" s="11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349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</row>
    <row r="642" spans="1:54" ht="14.25" customHeight="1" x14ac:dyDescent="0.25">
      <c r="A642" s="348"/>
      <c r="B642" s="11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349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</row>
    <row r="643" spans="1:54" ht="14.25" customHeight="1" x14ac:dyDescent="0.25">
      <c r="A643" s="348"/>
      <c r="B643" s="11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349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</row>
    <row r="644" spans="1:54" ht="14.25" customHeight="1" x14ac:dyDescent="0.25">
      <c r="A644" s="348"/>
      <c r="B644" s="11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349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</row>
    <row r="645" spans="1:54" ht="14.25" customHeight="1" x14ac:dyDescent="0.25">
      <c r="A645" s="348"/>
      <c r="B645" s="11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349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</row>
    <row r="646" spans="1:54" ht="14.25" customHeight="1" x14ac:dyDescent="0.25">
      <c r="A646" s="348"/>
      <c r="B646" s="11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349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</row>
    <row r="647" spans="1:54" ht="14.25" customHeight="1" x14ac:dyDescent="0.25">
      <c r="A647" s="348"/>
      <c r="B647" s="11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349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</row>
    <row r="648" spans="1:54" ht="14.25" customHeight="1" x14ac:dyDescent="0.25">
      <c r="A648" s="348"/>
      <c r="B648" s="11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349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</row>
    <row r="649" spans="1:54" ht="14.25" customHeight="1" x14ac:dyDescent="0.25">
      <c r="A649" s="348"/>
      <c r="B649" s="11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349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</row>
    <row r="650" spans="1:54" ht="14.25" customHeight="1" x14ac:dyDescent="0.25">
      <c r="A650" s="348"/>
      <c r="B650" s="11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349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</row>
    <row r="651" spans="1:54" ht="14.25" customHeight="1" x14ac:dyDescent="0.25">
      <c r="A651" s="348"/>
      <c r="B651" s="11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349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</row>
    <row r="652" spans="1:54" ht="14.25" customHeight="1" x14ac:dyDescent="0.25">
      <c r="A652" s="348"/>
      <c r="B652" s="11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349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</row>
    <row r="653" spans="1:54" ht="14.25" customHeight="1" x14ac:dyDescent="0.25">
      <c r="A653" s="348"/>
      <c r="B653" s="11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349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</row>
    <row r="654" spans="1:54" ht="14.25" customHeight="1" x14ac:dyDescent="0.25">
      <c r="A654" s="348"/>
      <c r="B654" s="11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349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</row>
    <row r="655" spans="1:54" ht="14.25" customHeight="1" x14ac:dyDescent="0.25">
      <c r="A655" s="348"/>
      <c r="B655" s="11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349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</row>
    <row r="656" spans="1:54" ht="14.25" customHeight="1" x14ac:dyDescent="0.25">
      <c r="A656" s="348"/>
      <c r="B656" s="11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349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</row>
    <row r="657" spans="1:54" ht="14.25" customHeight="1" x14ac:dyDescent="0.25">
      <c r="A657" s="348"/>
      <c r="B657" s="11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349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</row>
    <row r="658" spans="1:54" ht="14.25" customHeight="1" x14ac:dyDescent="0.25">
      <c r="A658" s="348"/>
      <c r="B658" s="11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349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</row>
    <row r="659" spans="1:54" ht="14.25" customHeight="1" x14ac:dyDescent="0.25">
      <c r="A659" s="348"/>
      <c r="B659" s="11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349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</row>
    <row r="660" spans="1:54" ht="14.25" customHeight="1" x14ac:dyDescent="0.25">
      <c r="A660" s="348"/>
      <c r="B660" s="11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349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</row>
    <row r="661" spans="1:54" ht="14.25" customHeight="1" x14ac:dyDescent="0.25">
      <c r="A661" s="348"/>
      <c r="B661" s="11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349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</row>
    <row r="662" spans="1:54" ht="14.25" customHeight="1" x14ac:dyDescent="0.25">
      <c r="A662" s="348"/>
      <c r="B662" s="11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349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</row>
    <row r="663" spans="1:54" ht="14.25" customHeight="1" x14ac:dyDescent="0.25">
      <c r="A663" s="348"/>
      <c r="B663" s="11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349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</row>
    <row r="664" spans="1:54" ht="14.25" customHeight="1" x14ac:dyDescent="0.25">
      <c r="A664" s="348"/>
      <c r="B664" s="11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349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</row>
    <row r="665" spans="1:54" ht="14.25" customHeight="1" x14ac:dyDescent="0.25">
      <c r="A665" s="348"/>
      <c r="B665" s="11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349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</row>
    <row r="666" spans="1:54" ht="14.25" customHeight="1" x14ac:dyDescent="0.25">
      <c r="A666" s="348"/>
      <c r="B666" s="11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349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</row>
    <row r="667" spans="1:54" ht="14.25" customHeight="1" x14ac:dyDescent="0.25">
      <c r="A667" s="348"/>
      <c r="B667" s="11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349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</row>
    <row r="668" spans="1:54" ht="14.25" customHeight="1" x14ac:dyDescent="0.25">
      <c r="A668" s="348"/>
      <c r="B668" s="11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349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</row>
    <row r="669" spans="1:54" ht="14.25" customHeight="1" x14ac:dyDescent="0.25">
      <c r="A669" s="348"/>
      <c r="B669" s="11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349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</row>
    <row r="670" spans="1:54" ht="14.25" customHeight="1" x14ac:dyDescent="0.25">
      <c r="A670" s="348"/>
      <c r="B670" s="11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349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</row>
    <row r="671" spans="1:54" ht="14.25" customHeight="1" x14ac:dyDescent="0.25">
      <c r="A671" s="348"/>
      <c r="B671" s="11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349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</row>
    <row r="672" spans="1:54" ht="14.25" customHeight="1" x14ac:dyDescent="0.25">
      <c r="A672" s="348"/>
      <c r="B672" s="11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349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</row>
    <row r="673" spans="1:54" ht="14.25" customHeight="1" x14ac:dyDescent="0.25">
      <c r="A673" s="348"/>
      <c r="B673" s="11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349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</row>
    <row r="674" spans="1:54" ht="14.25" customHeight="1" x14ac:dyDescent="0.25">
      <c r="A674" s="348"/>
      <c r="B674" s="11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349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</row>
    <row r="675" spans="1:54" ht="14.25" customHeight="1" x14ac:dyDescent="0.25">
      <c r="A675" s="348"/>
      <c r="B675" s="11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349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</row>
    <row r="676" spans="1:54" ht="14.25" customHeight="1" x14ac:dyDescent="0.25">
      <c r="A676" s="348"/>
      <c r="B676" s="11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349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</row>
    <row r="677" spans="1:54" ht="14.25" customHeight="1" x14ac:dyDescent="0.25">
      <c r="A677" s="348"/>
      <c r="B677" s="11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349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</row>
    <row r="678" spans="1:54" ht="14.25" customHeight="1" x14ac:dyDescent="0.25">
      <c r="A678" s="348"/>
      <c r="B678" s="11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349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</row>
    <row r="679" spans="1:54" ht="14.25" customHeight="1" x14ac:dyDescent="0.25">
      <c r="A679" s="348"/>
      <c r="B679" s="11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349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</row>
    <row r="680" spans="1:54" ht="14.25" customHeight="1" x14ac:dyDescent="0.25">
      <c r="A680" s="348"/>
      <c r="B680" s="11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349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</row>
    <row r="681" spans="1:54" ht="14.25" customHeight="1" x14ac:dyDescent="0.25">
      <c r="A681" s="348"/>
      <c r="B681" s="11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349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</row>
    <row r="682" spans="1:54" ht="14.25" customHeight="1" x14ac:dyDescent="0.25">
      <c r="A682" s="348"/>
      <c r="B682" s="11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349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</row>
    <row r="683" spans="1:54" ht="14.25" customHeight="1" x14ac:dyDescent="0.25">
      <c r="A683" s="348"/>
      <c r="B683" s="11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349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</row>
    <row r="684" spans="1:54" ht="14.25" customHeight="1" x14ac:dyDescent="0.25">
      <c r="A684" s="348"/>
      <c r="B684" s="11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349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</row>
    <row r="685" spans="1:54" ht="14.25" customHeight="1" x14ac:dyDescent="0.25">
      <c r="A685" s="348"/>
      <c r="B685" s="11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349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</row>
    <row r="686" spans="1:54" ht="14.25" customHeight="1" x14ac:dyDescent="0.25">
      <c r="A686" s="348"/>
      <c r="B686" s="11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349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</row>
    <row r="687" spans="1:54" ht="14.25" customHeight="1" x14ac:dyDescent="0.25">
      <c r="A687" s="348"/>
      <c r="B687" s="11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349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</row>
    <row r="688" spans="1:54" ht="14.25" customHeight="1" x14ac:dyDescent="0.25">
      <c r="A688" s="348"/>
      <c r="B688" s="11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349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</row>
    <row r="689" spans="1:54" ht="14.25" customHeight="1" x14ac:dyDescent="0.25">
      <c r="A689" s="348"/>
      <c r="B689" s="11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349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</row>
    <row r="690" spans="1:54" ht="14.25" customHeight="1" x14ac:dyDescent="0.25">
      <c r="A690" s="348"/>
      <c r="B690" s="11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349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</row>
    <row r="691" spans="1:54" ht="14.25" customHeight="1" x14ac:dyDescent="0.25">
      <c r="A691" s="348"/>
      <c r="B691" s="11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349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</row>
    <row r="692" spans="1:54" ht="14.25" customHeight="1" x14ac:dyDescent="0.25">
      <c r="A692" s="348"/>
      <c r="B692" s="11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349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</row>
    <row r="693" spans="1:54" ht="14.25" customHeight="1" x14ac:dyDescent="0.25">
      <c r="A693" s="348"/>
      <c r="B693" s="11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349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</row>
    <row r="694" spans="1:54" ht="14.25" customHeight="1" x14ac:dyDescent="0.25">
      <c r="A694" s="348"/>
      <c r="B694" s="11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349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</row>
    <row r="695" spans="1:54" ht="14.25" customHeight="1" x14ac:dyDescent="0.25">
      <c r="A695" s="348"/>
      <c r="B695" s="11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349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</row>
    <row r="696" spans="1:54" ht="14.25" customHeight="1" x14ac:dyDescent="0.25">
      <c r="A696" s="348"/>
      <c r="B696" s="11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349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</row>
    <row r="697" spans="1:54" ht="14.25" customHeight="1" x14ac:dyDescent="0.25">
      <c r="A697" s="348"/>
      <c r="B697" s="11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349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</row>
    <row r="698" spans="1:54" ht="14.25" customHeight="1" x14ac:dyDescent="0.25">
      <c r="A698" s="348"/>
      <c r="B698" s="11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349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</row>
    <row r="699" spans="1:54" ht="14.25" customHeight="1" x14ac:dyDescent="0.25">
      <c r="A699" s="348"/>
      <c r="B699" s="11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349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</row>
    <row r="700" spans="1:54" ht="14.25" customHeight="1" x14ac:dyDescent="0.25">
      <c r="A700" s="348"/>
      <c r="B700" s="11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349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</row>
    <row r="701" spans="1:54" ht="14.25" customHeight="1" x14ac:dyDescent="0.25">
      <c r="A701" s="348"/>
      <c r="B701" s="11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349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</row>
    <row r="702" spans="1:54" ht="14.25" customHeight="1" x14ac:dyDescent="0.25">
      <c r="A702" s="348"/>
      <c r="B702" s="11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349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</row>
    <row r="703" spans="1:54" ht="14.25" customHeight="1" x14ac:dyDescent="0.25">
      <c r="A703" s="348"/>
      <c r="B703" s="11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349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</row>
    <row r="704" spans="1:54" ht="14.25" customHeight="1" x14ac:dyDescent="0.25">
      <c r="A704" s="348"/>
      <c r="B704" s="11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349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</row>
    <row r="705" spans="1:54" ht="14.25" customHeight="1" x14ac:dyDescent="0.25">
      <c r="A705" s="348"/>
      <c r="B705" s="11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349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</row>
    <row r="706" spans="1:54" ht="14.25" customHeight="1" x14ac:dyDescent="0.25">
      <c r="A706" s="348"/>
      <c r="B706" s="11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349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</row>
    <row r="707" spans="1:54" ht="14.25" customHeight="1" x14ac:dyDescent="0.25">
      <c r="A707" s="348"/>
      <c r="B707" s="11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349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</row>
    <row r="708" spans="1:54" ht="14.25" customHeight="1" x14ac:dyDescent="0.25">
      <c r="A708" s="348"/>
      <c r="B708" s="11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349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</row>
    <row r="709" spans="1:54" ht="14.25" customHeight="1" x14ac:dyDescent="0.25">
      <c r="A709" s="348"/>
      <c r="B709" s="11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349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</row>
    <row r="710" spans="1:54" ht="14.25" customHeight="1" x14ac:dyDescent="0.25">
      <c r="A710" s="348"/>
      <c r="B710" s="11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349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</row>
    <row r="711" spans="1:54" ht="14.25" customHeight="1" x14ac:dyDescent="0.25">
      <c r="A711" s="348"/>
      <c r="B711" s="11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349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</row>
    <row r="712" spans="1:54" ht="14.25" customHeight="1" x14ac:dyDescent="0.25">
      <c r="A712" s="348"/>
      <c r="B712" s="11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349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</row>
    <row r="713" spans="1:54" ht="14.25" customHeight="1" x14ac:dyDescent="0.25">
      <c r="A713" s="348"/>
      <c r="B713" s="11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349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</row>
    <row r="714" spans="1:54" ht="14.25" customHeight="1" x14ac:dyDescent="0.25">
      <c r="A714" s="348"/>
      <c r="B714" s="11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349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</row>
    <row r="715" spans="1:54" ht="14.25" customHeight="1" x14ac:dyDescent="0.25">
      <c r="A715" s="348"/>
      <c r="B715" s="11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349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</row>
    <row r="716" spans="1:54" ht="14.25" customHeight="1" x14ac:dyDescent="0.25">
      <c r="A716" s="348"/>
      <c r="B716" s="11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349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</row>
    <row r="717" spans="1:54" ht="14.25" customHeight="1" x14ac:dyDescent="0.25">
      <c r="A717" s="348"/>
      <c r="B717" s="11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349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</row>
    <row r="718" spans="1:54" ht="14.25" customHeight="1" x14ac:dyDescent="0.25">
      <c r="A718" s="348"/>
      <c r="B718" s="11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349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</row>
    <row r="719" spans="1:54" ht="14.25" customHeight="1" x14ac:dyDescent="0.25">
      <c r="A719" s="348"/>
      <c r="B719" s="11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349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</row>
    <row r="720" spans="1:54" ht="14.25" customHeight="1" x14ac:dyDescent="0.25">
      <c r="A720" s="348"/>
      <c r="B720" s="11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349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</row>
    <row r="721" spans="1:54" ht="14.25" customHeight="1" x14ac:dyDescent="0.25">
      <c r="A721" s="348"/>
      <c r="B721" s="11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349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</row>
    <row r="722" spans="1:54" ht="14.25" customHeight="1" x14ac:dyDescent="0.25">
      <c r="A722" s="348"/>
      <c r="B722" s="11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349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</row>
    <row r="723" spans="1:54" ht="14.25" customHeight="1" x14ac:dyDescent="0.25">
      <c r="A723" s="348"/>
      <c r="B723" s="11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349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</row>
    <row r="724" spans="1:54" ht="14.25" customHeight="1" x14ac:dyDescent="0.25">
      <c r="A724" s="348"/>
      <c r="B724" s="11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349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</row>
    <row r="725" spans="1:54" ht="14.25" customHeight="1" x14ac:dyDescent="0.25">
      <c r="A725" s="348"/>
      <c r="B725" s="11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349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</row>
    <row r="726" spans="1:54" ht="14.25" customHeight="1" x14ac:dyDescent="0.25">
      <c r="A726" s="348"/>
      <c r="B726" s="11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349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</row>
    <row r="727" spans="1:54" ht="14.25" customHeight="1" x14ac:dyDescent="0.25">
      <c r="A727" s="348"/>
      <c r="B727" s="11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349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</row>
    <row r="728" spans="1:54" ht="14.25" customHeight="1" x14ac:dyDescent="0.25">
      <c r="A728" s="348"/>
      <c r="B728" s="11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349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</row>
    <row r="729" spans="1:54" ht="14.25" customHeight="1" x14ac:dyDescent="0.25">
      <c r="A729" s="348"/>
      <c r="B729" s="11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349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</row>
    <row r="730" spans="1:54" ht="14.25" customHeight="1" x14ac:dyDescent="0.25">
      <c r="A730" s="348"/>
      <c r="B730" s="11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349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</row>
    <row r="731" spans="1:54" ht="14.25" customHeight="1" x14ac:dyDescent="0.25">
      <c r="A731" s="348"/>
      <c r="B731" s="11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349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</row>
    <row r="732" spans="1:54" ht="14.25" customHeight="1" x14ac:dyDescent="0.25">
      <c r="A732" s="348"/>
      <c r="B732" s="11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349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</row>
    <row r="733" spans="1:54" ht="14.25" customHeight="1" x14ac:dyDescent="0.25">
      <c r="A733" s="348"/>
      <c r="B733" s="11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349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</row>
    <row r="734" spans="1:54" ht="14.25" customHeight="1" x14ac:dyDescent="0.25">
      <c r="A734" s="348"/>
      <c r="B734" s="11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349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</row>
    <row r="735" spans="1:54" ht="14.25" customHeight="1" x14ac:dyDescent="0.25">
      <c r="A735" s="348"/>
      <c r="B735" s="11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349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</row>
    <row r="736" spans="1:54" ht="14.25" customHeight="1" x14ac:dyDescent="0.25">
      <c r="A736" s="348"/>
      <c r="B736" s="11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349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</row>
    <row r="737" spans="1:54" ht="14.25" customHeight="1" x14ac:dyDescent="0.25">
      <c r="A737" s="348"/>
      <c r="B737" s="11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349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</row>
    <row r="738" spans="1:54" ht="14.25" customHeight="1" x14ac:dyDescent="0.25">
      <c r="A738" s="348"/>
      <c r="B738" s="11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349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</row>
    <row r="739" spans="1:54" ht="14.25" customHeight="1" x14ac:dyDescent="0.25">
      <c r="A739" s="348"/>
      <c r="B739" s="11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349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</row>
    <row r="740" spans="1:54" ht="14.25" customHeight="1" x14ac:dyDescent="0.25">
      <c r="A740" s="348"/>
      <c r="B740" s="11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349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</row>
    <row r="741" spans="1:54" ht="14.25" customHeight="1" x14ac:dyDescent="0.25">
      <c r="A741" s="348"/>
      <c r="B741" s="11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349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</row>
    <row r="742" spans="1:54" ht="14.25" customHeight="1" x14ac:dyDescent="0.25">
      <c r="A742" s="348"/>
      <c r="B742" s="11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349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</row>
    <row r="743" spans="1:54" ht="14.25" customHeight="1" x14ac:dyDescent="0.25">
      <c r="A743" s="348"/>
      <c r="B743" s="11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349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</row>
    <row r="744" spans="1:54" ht="14.25" customHeight="1" x14ac:dyDescent="0.25">
      <c r="A744" s="348"/>
      <c r="B744" s="11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349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</row>
    <row r="745" spans="1:54" ht="14.25" customHeight="1" x14ac:dyDescent="0.25">
      <c r="A745" s="348"/>
      <c r="B745" s="11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349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</row>
    <row r="746" spans="1:54" ht="14.25" customHeight="1" x14ac:dyDescent="0.25">
      <c r="A746" s="348"/>
      <c r="B746" s="11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349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</row>
    <row r="747" spans="1:54" ht="14.25" customHeight="1" x14ac:dyDescent="0.25">
      <c r="A747" s="348"/>
      <c r="B747" s="11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349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</row>
    <row r="748" spans="1:54" ht="14.25" customHeight="1" x14ac:dyDescent="0.25">
      <c r="A748" s="348"/>
      <c r="B748" s="11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349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</row>
    <row r="749" spans="1:54" ht="14.25" customHeight="1" x14ac:dyDescent="0.25">
      <c r="A749" s="348"/>
      <c r="B749" s="11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349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</row>
    <row r="750" spans="1:54" ht="14.25" customHeight="1" x14ac:dyDescent="0.25">
      <c r="A750" s="348"/>
      <c r="B750" s="11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349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</row>
    <row r="751" spans="1:54" ht="14.25" customHeight="1" x14ac:dyDescent="0.25">
      <c r="A751" s="348"/>
      <c r="B751" s="11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349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</row>
    <row r="752" spans="1:54" ht="14.25" customHeight="1" x14ac:dyDescent="0.25">
      <c r="A752" s="348"/>
      <c r="B752" s="11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349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</row>
    <row r="753" spans="1:54" ht="14.25" customHeight="1" x14ac:dyDescent="0.25">
      <c r="A753" s="348"/>
      <c r="B753" s="11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349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</row>
    <row r="754" spans="1:54" ht="14.25" customHeight="1" x14ac:dyDescent="0.25">
      <c r="A754" s="348"/>
      <c r="B754" s="11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349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</row>
    <row r="755" spans="1:54" ht="14.25" customHeight="1" x14ac:dyDescent="0.25">
      <c r="A755" s="348"/>
      <c r="B755" s="11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349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</row>
    <row r="756" spans="1:54" ht="14.25" customHeight="1" x14ac:dyDescent="0.25">
      <c r="A756" s="348"/>
      <c r="B756" s="11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349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</row>
    <row r="757" spans="1:54" ht="14.25" customHeight="1" x14ac:dyDescent="0.25">
      <c r="A757" s="348"/>
      <c r="B757" s="11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349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</row>
    <row r="758" spans="1:54" ht="14.25" customHeight="1" x14ac:dyDescent="0.25">
      <c r="A758" s="348"/>
      <c r="B758" s="11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349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</row>
    <row r="759" spans="1:54" ht="14.25" customHeight="1" x14ac:dyDescent="0.25">
      <c r="A759" s="348"/>
      <c r="B759" s="11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349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</row>
    <row r="760" spans="1:54" ht="14.25" customHeight="1" x14ac:dyDescent="0.25">
      <c r="A760" s="348"/>
      <c r="B760" s="11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349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</row>
    <row r="761" spans="1:54" ht="14.25" customHeight="1" x14ac:dyDescent="0.25">
      <c r="A761" s="348"/>
      <c r="B761" s="11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349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</row>
    <row r="762" spans="1:54" ht="14.25" customHeight="1" x14ac:dyDescent="0.25">
      <c r="A762" s="348"/>
      <c r="B762" s="11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349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</row>
    <row r="763" spans="1:54" ht="14.25" customHeight="1" x14ac:dyDescent="0.25">
      <c r="A763" s="348"/>
      <c r="B763" s="11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349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</row>
    <row r="764" spans="1:54" ht="14.25" customHeight="1" x14ac:dyDescent="0.25">
      <c r="A764" s="348"/>
      <c r="B764" s="11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349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</row>
    <row r="765" spans="1:54" ht="14.25" customHeight="1" x14ac:dyDescent="0.25">
      <c r="A765" s="348"/>
      <c r="B765" s="11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349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</row>
    <row r="766" spans="1:54" ht="14.25" customHeight="1" x14ac:dyDescent="0.25">
      <c r="A766" s="348"/>
      <c r="B766" s="11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349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</row>
    <row r="767" spans="1:54" ht="14.25" customHeight="1" x14ac:dyDescent="0.25">
      <c r="A767" s="348"/>
      <c r="B767" s="11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349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</row>
    <row r="768" spans="1:54" ht="14.25" customHeight="1" x14ac:dyDescent="0.25">
      <c r="A768" s="348"/>
      <c r="B768" s="11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349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</row>
    <row r="769" spans="1:54" ht="14.25" customHeight="1" x14ac:dyDescent="0.25">
      <c r="A769" s="348"/>
      <c r="B769" s="11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349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</row>
    <row r="770" spans="1:54" ht="14.25" customHeight="1" x14ac:dyDescent="0.25">
      <c r="A770" s="348"/>
      <c r="B770" s="11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349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</row>
    <row r="771" spans="1:54" ht="14.25" customHeight="1" x14ac:dyDescent="0.25">
      <c r="A771" s="348"/>
      <c r="B771" s="11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349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</row>
    <row r="772" spans="1:54" ht="14.25" customHeight="1" x14ac:dyDescent="0.25">
      <c r="A772" s="348"/>
      <c r="B772" s="11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349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</row>
    <row r="773" spans="1:54" ht="14.25" customHeight="1" x14ac:dyDescent="0.25">
      <c r="A773" s="348"/>
      <c r="B773" s="11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349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</row>
    <row r="774" spans="1:54" ht="14.25" customHeight="1" x14ac:dyDescent="0.25">
      <c r="A774" s="348"/>
      <c r="B774" s="11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349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</row>
    <row r="775" spans="1:54" ht="14.25" customHeight="1" x14ac:dyDescent="0.25">
      <c r="A775" s="348"/>
      <c r="B775" s="11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349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</row>
    <row r="776" spans="1:54" ht="14.25" customHeight="1" x14ac:dyDescent="0.25">
      <c r="A776" s="348"/>
      <c r="B776" s="11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349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</row>
    <row r="777" spans="1:54" ht="14.25" customHeight="1" x14ac:dyDescent="0.25">
      <c r="A777" s="348"/>
      <c r="B777" s="11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349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</row>
    <row r="778" spans="1:54" ht="14.25" customHeight="1" x14ac:dyDescent="0.25">
      <c r="A778" s="348"/>
      <c r="B778" s="11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349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</row>
    <row r="779" spans="1:54" ht="14.25" customHeight="1" x14ac:dyDescent="0.25">
      <c r="A779" s="348"/>
      <c r="B779" s="11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349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</row>
    <row r="780" spans="1:54" ht="14.25" customHeight="1" x14ac:dyDescent="0.25">
      <c r="A780" s="348"/>
      <c r="B780" s="11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349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</row>
    <row r="781" spans="1:54" ht="14.25" customHeight="1" x14ac:dyDescent="0.25">
      <c r="A781" s="348"/>
      <c r="B781" s="11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349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</row>
    <row r="782" spans="1:54" ht="14.25" customHeight="1" x14ac:dyDescent="0.25">
      <c r="A782" s="348"/>
      <c r="B782" s="11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349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</row>
    <row r="783" spans="1:54" ht="14.25" customHeight="1" x14ac:dyDescent="0.25">
      <c r="A783" s="348"/>
      <c r="B783" s="11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349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</row>
    <row r="784" spans="1:54" ht="14.25" customHeight="1" x14ac:dyDescent="0.25">
      <c r="A784" s="348"/>
      <c r="B784" s="11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349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</row>
    <row r="785" spans="1:54" ht="14.25" customHeight="1" x14ac:dyDescent="0.25">
      <c r="A785" s="348"/>
      <c r="B785" s="11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349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</row>
    <row r="786" spans="1:54" ht="14.25" customHeight="1" x14ac:dyDescent="0.25">
      <c r="A786" s="348"/>
      <c r="B786" s="11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349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</row>
    <row r="787" spans="1:54" ht="14.25" customHeight="1" x14ac:dyDescent="0.25">
      <c r="A787" s="348"/>
      <c r="B787" s="11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349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</row>
    <row r="788" spans="1:54" ht="14.25" customHeight="1" x14ac:dyDescent="0.25">
      <c r="A788" s="348"/>
      <c r="B788" s="11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349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</row>
    <row r="789" spans="1:54" ht="14.25" customHeight="1" x14ac:dyDescent="0.25">
      <c r="A789" s="348"/>
      <c r="B789" s="11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349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</row>
    <row r="790" spans="1:54" ht="14.25" customHeight="1" x14ac:dyDescent="0.25">
      <c r="A790" s="348"/>
      <c r="B790" s="11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349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</row>
    <row r="791" spans="1:54" ht="14.25" customHeight="1" x14ac:dyDescent="0.25">
      <c r="A791" s="348"/>
      <c r="B791" s="11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349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</row>
    <row r="792" spans="1:54" ht="14.25" customHeight="1" x14ac:dyDescent="0.25">
      <c r="A792" s="348"/>
      <c r="B792" s="11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349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</row>
    <row r="793" spans="1:54" ht="14.25" customHeight="1" x14ac:dyDescent="0.25">
      <c r="A793" s="348"/>
      <c r="B793" s="11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349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</row>
    <row r="794" spans="1:54" ht="14.25" customHeight="1" x14ac:dyDescent="0.25">
      <c r="A794" s="348"/>
      <c r="B794" s="11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349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</row>
    <row r="795" spans="1:54" ht="14.25" customHeight="1" x14ac:dyDescent="0.25">
      <c r="A795" s="348"/>
      <c r="B795" s="11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349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</row>
    <row r="796" spans="1:54" ht="14.25" customHeight="1" x14ac:dyDescent="0.25">
      <c r="A796" s="348"/>
      <c r="B796" s="11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349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</row>
    <row r="797" spans="1:54" ht="14.25" customHeight="1" x14ac:dyDescent="0.25">
      <c r="A797" s="348"/>
      <c r="B797" s="11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349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</row>
    <row r="798" spans="1:54" ht="14.25" customHeight="1" x14ac:dyDescent="0.25">
      <c r="A798" s="348"/>
      <c r="B798" s="11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349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</row>
    <row r="799" spans="1:54" ht="14.25" customHeight="1" x14ac:dyDescent="0.25">
      <c r="A799" s="348"/>
      <c r="B799" s="11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349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</row>
    <row r="800" spans="1:54" ht="14.25" customHeight="1" x14ac:dyDescent="0.25">
      <c r="A800" s="348"/>
      <c r="B800" s="11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349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</row>
    <row r="801" spans="1:54" ht="14.25" customHeight="1" x14ac:dyDescent="0.25">
      <c r="A801" s="348"/>
      <c r="B801" s="11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349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</row>
    <row r="802" spans="1:54" ht="14.25" customHeight="1" x14ac:dyDescent="0.25">
      <c r="A802" s="348"/>
      <c r="B802" s="11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349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</row>
    <row r="803" spans="1:54" ht="14.25" customHeight="1" x14ac:dyDescent="0.25">
      <c r="A803" s="348"/>
      <c r="B803" s="11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349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</row>
    <row r="804" spans="1:54" ht="14.25" customHeight="1" x14ac:dyDescent="0.25">
      <c r="A804" s="348"/>
      <c r="B804" s="11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349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</row>
    <row r="805" spans="1:54" ht="14.25" customHeight="1" x14ac:dyDescent="0.25">
      <c r="A805" s="348"/>
      <c r="B805" s="11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349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</row>
    <row r="806" spans="1:54" ht="14.25" customHeight="1" x14ac:dyDescent="0.25">
      <c r="A806" s="348"/>
      <c r="B806" s="11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349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</row>
    <row r="807" spans="1:54" ht="14.25" customHeight="1" x14ac:dyDescent="0.25">
      <c r="A807" s="348"/>
      <c r="B807" s="11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349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</row>
    <row r="808" spans="1:54" ht="14.25" customHeight="1" x14ac:dyDescent="0.25">
      <c r="A808" s="348"/>
      <c r="B808" s="11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349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</row>
    <row r="809" spans="1:54" ht="14.25" customHeight="1" x14ac:dyDescent="0.25">
      <c r="A809" s="348"/>
      <c r="B809" s="11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349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</row>
    <row r="810" spans="1:54" ht="14.25" customHeight="1" x14ac:dyDescent="0.25">
      <c r="A810" s="348"/>
      <c r="B810" s="11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349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</row>
    <row r="811" spans="1:54" ht="14.25" customHeight="1" x14ac:dyDescent="0.25">
      <c r="A811" s="348"/>
      <c r="B811" s="11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349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</row>
    <row r="812" spans="1:54" ht="14.25" customHeight="1" x14ac:dyDescent="0.25">
      <c r="A812" s="348"/>
      <c r="B812" s="11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349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</row>
    <row r="813" spans="1:54" ht="14.25" customHeight="1" x14ac:dyDescent="0.25">
      <c r="A813" s="348"/>
      <c r="B813" s="11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349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</row>
    <row r="814" spans="1:54" ht="14.25" customHeight="1" x14ac:dyDescent="0.25">
      <c r="A814" s="348"/>
      <c r="B814" s="11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349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</row>
    <row r="815" spans="1:54" ht="14.25" customHeight="1" x14ac:dyDescent="0.25">
      <c r="A815" s="348"/>
      <c r="B815" s="11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349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</row>
    <row r="816" spans="1:54" ht="14.25" customHeight="1" x14ac:dyDescent="0.25">
      <c r="A816" s="348"/>
      <c r="B816" s="11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349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</row>
    <row r="817" spans="1:54" ht="14.25" customHeight="1" x14ac:dyDescent="0.25">
      <c r="A817" s="348"/>
      <c r="B817" s="11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349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</row>
    <row r="818" spans="1:54" ht="14.25" customHeight="1" x14ac:dyDescent="0.25">
      <c r="A818" s="348"/>
      <c r="B818" s="11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349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</row>
    <row r="819" spans="1:54" ht="14.25" customHeight="1" x14ac:dyDescent="0.25">
      <c r="A819" s="348"/>
      <c r="B819" s="11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349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</row>
    <row r="820" spans="1:54" ht="14.25" customHeight="1" x14ac:dyDescent="0.25">
      <c r="A820" s="348"/>
      <c r="B820" s="11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349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</row>
    <row r="821" spans="1:54" ht="14.25" customHeight="1" x14ac:dyDescent="0.25">
      <c r="A821" s="348"/>
      <c r="B821" s="11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349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</row>
    <row r="822" spans="1:54" ht="14.25" customHeight="1" x14ac:dyDescent="0.25">
      <c r="A822" s="348"/>
      <c r="B822" s="11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349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</row>
    <row r="823" spans="1:54" ht="14.25" customHeight="1" x14ac:dyDescent="0.25">
      <c r="A823" s="348"/>
      <c r="B823" s="11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349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</row>
    <row r="824" spans="1:54" ht="14.25" customHeight="1" x14ac:dyDescent="0.25">
      <c r="A824" s="348"/>
      <c r="B824" s="11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349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</row>
    <row r="825" spans="1:54" ht="14.25" customHeight="1" x14ac:dyDescent="0.25">
      <c r="A825" s="348"/>
      <c r="B825" s="11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349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</row>
    <row r="826" spans="1:54" ht="14.25" customHeight="1" x14ac:dyDescent="0.25">
      <c r="A826" s="348"/>
      <c r="B826" s="11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349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</row>
    <row r="827" spans="1:54" ht="14.25" customHeight="1" x14ac:dyDescent="0.25">
      <c r="A827" s="348"/>
      <c r="B827" s="11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349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</row>
    <row r="828" spans="1:54" ht="14.25" customHeight="1" x14ac:dyDescent="0.25">
      <c r="A828" s="348"/>
      <c r="B828" s="11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349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</row>
    <row r="829" spans="1:54" ht="14.25" customHeight="1" x14ac:dyDescent="0.25">
      <c r="A829" s="348"/>
      <c r="B829" s="11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349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</row>
    <row r="830" spans="1:54" ht="14.25" customHeight="1" x14ac:dyDescent="0.25">
      <c r="A830" s="348"/>
      <c r="B830" s="11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349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</row>
    <row r="831" spans="1:54" ht="14.25" customHeight="1" x14ac:dyDescent="0.25">
      <c r="A831" s="348"/>
      <c r="B831" s="11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349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</row>
    <row r="832" spans="1:54" ht="14.25" customHeight="1" x14ac:dyDescent="0.25">
      <c r="A832" s="348"/>
      <c r="B832" s="11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349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</row>
    <row r="833" spans="1:54" ht="14.25" customHeight="1" x14ac:dyDescent="0.25">
      <c r="A833" s="348"/>
      <c r="B833" s="11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349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</row>
    <row r="834" spans="1:54" ht="14.25" customHeight="1" x14ac:dyDescent="0.25">
      <c r="A834" s="348"/>
      <c r="B834" s="11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349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</row>
    <row r="835" spans="1:54" ht="14.25" customHeight="1" x14ac:dyDescent="0.25">
      <c r="A835" s="348"/>
      <c r="B835" s="11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349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</row>
    <row r="836" spans="1:54" ht="14.25" customHeight="1" x14ac:dyDescent="0.25">
      <c r="A836" s="348"/>
      <c r="B836" s="11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349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</row>
    <row r="837" spans="1:54" ht="14.25" customHeight="1" x14ac:dyDescent="0.25">
      <c r="A837" s="348"/>
      <c r="B837" s="11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349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</row>
    <row r="838" spans="1:54" ht="14.25" customHeight="1" x14ac:dyDescent="0.25">
      <c r="A838" s="348"/>
      <c r="B838" s="11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349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</row>
    <row r="839" spans="1:54" ht="14.25" customHeight="1" x14ac:dyDescent="0.25">
      <c r="A839" s="348"/>
      <c r="B839" s="11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349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</row>
    <row r="840" spans="1:54" ht="14.25" customHeight="1" x14ac:dyDescent="0.25">
      <c r="A840" s="348"/>
      <c r="B840" s="11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349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</row>
    <row r="841" spans="1:54" ht="14.25" customHeight="1" x14ac:dyDescent="0.25">
      <c r="A841" s="348"/>
      <c r="B841" s="11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349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</row>
    <row r="842" spans="1:54" ht="14.25" customHeight="1" x14ac:dyDescent="0.25">
      <c r="A842" s="348"/>
      <c r="B842" s="11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349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</row>
    <row r="843" spans="1:54" ht="14.25" customHeight="1" x14ac:dyDescent="0.25">
      <c r="A843" s="348"/>
      <c r="B843" s="11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349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</row>
    <row r="844" spans="1:54" ht="14.25" customHeight="1" x14ac:dyDescent="0.25">
      <c r="A844" s="348"/>
      <c r="B844" s="11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349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</row>
    <row r="845" spans="1:54" ht="14.25" customHeight="1" x14ac:dyDescent="0.25">
      <c r="A845" s="348"/>
      <c r="B845" s="11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349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</row>
    <row r="846" spans="1:54" ht="14.25" customHeight="1" x14ac:dyDescent="0.25">
      <c r="A846" s="348"/>
      <c r="B846" s="11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349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</row>
    <row r="847" spans="1:54" ht="14.25" customHeight="1" x14ac:dyDescent="0.25">
      <c r="A847" s="348"/>
      <c r="B847" s="11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349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</row>
    <row r="848" spans="1:54" ht="14.25" customHeight="1" x14ac:dyDescent="0.25">
      <c r="A848" s="348"/>
      <c r="B848" s="11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349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</row>
    <row r="849" spans="1:54" ht="14.25" customHeight="1" x14ac:dyDescent="0.25">
      <c r="A849" s="348"/>
      <c r="B849" s="11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349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</row>
    <row r="850" spans="1:54" ht="14.25" customHeight="1" x14ac:dyDescent="0.25">
      <c r="A850" s="348"/>
      <c r="B850" s="11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349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</row>
    <row r="851" spans="1:54" ht="14.25" customHeight="1" x14ac:dyDescent="0.25">
      <c r="A851" s="348"/>
      <c r="B851" s="11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349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</row>
    <row r="852" spans="1:54" ht="14.25" customHeight="1" x14ac:dyDescent="0.25">
      <c r="A852" s="348"/>
      <c r="B852" s="11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349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</row>
    <row r="853" spans="1:54" ht="14.25" customHeight="1" x14ac:dyDescent="0.25">
      <c r="A853" s="348"/>
      <c r="B853" s="11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349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</row>
    <row r="854" spans="1:54" ht="14.25" customHeight="1" x14ac:dyDescent="0.25">
      <c r="A854" s="348"/>
      <c r="B854" s="11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349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</row>
    <row r="855" spans="1:54" ht="14.25" customHeight="1" x14ac:dyDescent="0.25">
      <c r="A855" s="348"/>
      <c r="B855" s="11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349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</row>
    <row r="856" spans="1:54" ht="14.25" customHeight="1" x14ac:dyDescent="0.25">
      <c r="A856" s="348"/>
      <c r="B856" s="11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349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</row>
    <row r="857" spans="1:54" ht="14.25" customHeight="1" x14ac:dyDescent="0.25">
      <c r="A857" s="348"/>
      <c r="B857" s="11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349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</row>
    <row r="858" spans="1:54" ht="14.25" customHeight="1" x14ac:dyDescent="0.25">
      <c r="A858" s="348"/>
      <c r="B858" s="11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349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</row>
    <row r="859" spans="1:54" ht="14.25" customHeight="1" x14ac:dyDescent="0.25">
      <c r="A859" s="348"/>
      <c r="B859" s="11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349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</row>
    <row r="860" spans="1:54" ht="14.25" customHeight="1" x14ac:dyDescent="0.25">
      <c r="A860" s="348"/>
      <c r="B860" s="11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349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</row>
    <row r="861" spans="1:54" ht="14.25" customHeight="1" x14ac:dyDescent="0.25">
      <c r="A861" s="348"/>
      <c r="B861" s="11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349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</row>
    <row r="862" spans="1:54" ht="14.25" customHeight="1" x14ac:dyDescent="0.25">
      <c r="A862" s="348"/>
      <c r="B862" s="11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349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</row>
    <row r="863" spans="1:54" ht="14.25" customHeight="1" x14ac:dyDescent="0.25">
      <c r="A863" s="348"/>
      <c r="B863" s="11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349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</row>
    <row r="864" spans="1:54" ht="14.25" customHeight="1" x14ac:dyDescent="0.25">
      <c r="A864" s="348"/>
      <c r="B864" s="11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349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</row>
    <row r="865" spans="1:54" ht="14.25" customHeight="1" x14ac:dyDescent="0.25">
      <c r="A865" s="348"/>
      <c r="B865" s="11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349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</row>
    <row r="866" spans="1:54" ht="14.25" customHeight="1" x14ac:dyDescent="0.25">
      <c r="A866" s="348"/>
      <c r="B866" s="11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349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</row>
    <row r="867" spans="1:54" ht="14.25" customHeight="1" x14ac:dyDescent="0.25">
      <c r="A867" s="348"/>
      <c r="B867" s="11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349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</row>
    <row r="868" spans="1:54" ht="14.25" customHeight="1" x14ac:dyDescent="0.25">
      <c r="A868" s="348"/>
      <c r="B868" s="11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349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</row>
    <row r="869" spans="1:54" ht="14.25" customHeight="1" x14ac:dyDescent="0.25">
      <c r="A869" s="348"/>
      <c r="B869" s="11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349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</row>
    <row r="870" spans="1:54" ht="14.25" customHeight="1" x14ac:dyDescent="0.25">
      <c r="A870" s="348"/>
      <c r="B870" s="11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349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</row>
    <row r="871" spans="1:54" ht="14.25" customHeight="1" x14ac:dyDescent="0.25">
      <c r="A871" s="348"/>
      <c r="B871" s="11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349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</row>
    <row r="872" spans="1:54" ht="14.25" customHeight="1" x14ac:dyDescent="0.25">
      <c r="A872" s="348"/>
      <c r="B872" s="11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349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</row>
    <row r="873" spans="1:54" ht="14.25" customHeight="1" x14ac:dyDescent="0.25">
      <c r="A873" s="348"/>
      <c r="B873" s="11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349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</row>
    <row r="874" spans="1:54" ht="14.25" customHeight="1" x14ac:dyDescent="0.25">
      <c r="A874" s="348"/>
      <c r="B874" s="11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349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</row>
    <row r="875" spans="1:54" ht="14.25" customHeight="1" x14ac:dyDescent="0.25">
      <c r="A875" s="348"/>
      <c r="B875" s="11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349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</row>
    <row r="876" spans="1:54" ht="14.25" customHeight="1" x14ac:dyDescent="0.25">
      <c r="A876" s="348"/>
      <c r="B876" s="11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349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</row>
    <row r="877" spans="1:54" ht="14.25" customHeight="1" x14ac:dyDescent="0.25">
      <c r="A877" s="348"/>
      <c r="B877" s="11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349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</row>
    <row r="878" spans="1:54" ht="14.25" customHeight="1" x14ac:dyDescent="0.25">
      <c r="A878" s="348"/>
      <c r="B878" s="11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349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</row>
    <row r="879" spans="1:54" ht="14.25" customHeight="1" x14ac:dyDescent="0.25">
      <c r="A879" s="348"/>
      <c r="B879" s="11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349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</row>
    <row r="880" spans="1:54" ht="14.25" customHeight="1" x14ac:dyDescent="0.25">
      <c r="A880" s="348"/>
      <c r="B880" s="11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349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</row>
    <row r="881" spans="1:54" ht="14.25" customHeight="1" x14ac:dyDescent="0.25">
      <c r="A881" s="348"/>
      <c r="B881" s="11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349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</row>
    <row r="882" spans="1:54" ht="14.25" customHeight="1" x14ac:dyDescent="0.25">
      <c r="A882" s="348"/>
      <c r="B882" s="11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349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</row>
    <row r="883" spans="1:54" ht="14.25" customHeight="1" x14ac:dyDescent="0.25">
      <c r="A883" s="348"/>
      <c r="B883" s="11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349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</row>
    <row r="884" spans="1:54" ht="14.25" customHeight="1" x14ac:dyDescent="0.25">
      <c r="A884" s="348"/>
      <c r="B884" s="11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349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</row>
    <row r="885" spans="1:54" ht="14.25" customHeight="1" x14ac:dyDescent="0.25">
      <c r="A885" s="348"/>
      <c r="B885" s="11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349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</row>
    <row r="886" spans="1:54" ht="14.25" customHeight="1" x14ac:dyDescent="0.25">
      <c r="A886" s="348"/>
      <c r="B886" s="11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349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</row>
    <row r="887" spans="1:54" ht="14.25" customHeight="1" x14ac:dyDescent="0.25">
      <c r="A887" s="348"/>
      <c r="B887" s="11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349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</row>
    <row r="888" spans="1:54" ht="14.25" customHeight="1" x14ac:dyDescent="0.25">
      <c r="A888" s="348"/>
      <c r="B888" s="11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349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</row>
    <row r="889" spans="1:54" ht="14.25" customHeight="1" x14ac:dyDescent="0.25">
      <c r="A889" s="348"/>
      <c r="B889" s="11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349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</row>
    <row r="890" spans="1:54" ht="14.25" customHeight="1" x14ac:dyDescent="0.25">
      <c r="A890" s="348"/>
      <c r="B890" s="11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349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</row>
    <row r="891" spans="1:54" ht="14.25" customHeight="1" x14ac:dyDescent="0.25">
      <c r="A891" s="348"/>
      <c r="B891" s="11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349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</row>
    <row r="892" spans="1:54" ht="14.25" customHeight="1" x14ac:dyDescent="0.25">
      <c r="A892" s="348"/>
      <c r="B892" s="11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349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</row>
    <row r="893" spans="1:54" ht="14.25" customHeight="1" x14ac:dyDescent="0.25">
      <c r="A893" s="348"/>
      <c r="B893" s="11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349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</row>
    <row r="894" spans="1:54" ht="14.25" customHeight="1" x14ac:dyDescent="0.25">
      <c r="A894" s="348"/>
      <c r="B894" s="11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349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</row>
    <row r="895" spans="1:54" ht="14.25" customHeight="1" x14ac:dyDescent="0.25">
      <c r="A895" s="348"/>
      <c r="B895" s="11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349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</row>
    <row r="896" spans="1:54" ht="14.25" customHeight="1" x14ac:dyDescent="0.25">
      <c r="A896" s="348"/>
      <c r="B896" s="11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349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</row>
    <row r="897" spans="1:54" ht="14.25" customHeight="1" x14ac:dyDescent="0.25">
      <c r="A897" s="348"/>
      <c r="B897" s="11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349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</row>
    <row r="898" spans="1:54" ht="14.25" customHeight="1" x14ac:dyDescent="0.25">
      <c r="A898" s="348"/>
      <c r="B898" s="11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349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</row>
    <row r="899" spans="1:54" ht="14.25" customHeight="1" x14ac:dyDescent="0.25">
      <c r="A899" s="348"/>
      <c r="B899" s="11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349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</row>
    <row r="900" spans="1:54" ht="14.25" customHeight="1" x14ac:dyDescent="0.25">
      <c r="A900" s="348"/>
      <c r="B900" s="11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349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</row>
    <row r="901" spans="1:54" ht="14.25" customHeight="1" x14ac:dyDescent="0.25">
      <c r="A901" s="348"/>
      <c r="B901" s="11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349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</row>
    <row r="902" spans="1:54" ht="14.25" customHeight="1" x14ac:dyDescent="0.25">
      <c r="A902" s="348"/>
      <c r="B902" s="11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349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</row>
    <row r="903" spans="1:54" ht="14.25" customHeight="1" x14ac:dyDescent="0.25">
      <c r="A903" s="348"/>
      <c r="B903" s="11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349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</row>
    <row r="904" spans="1:54" ht="14.25" customHeight="1" x14ac:dyDescent="0.25">
      <c r="A904" s="348"/>
      <c r="B904" s="11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349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</row>
    <row r="905" spans="1:54" ht="14.25" customHeight="1" x14ac:dyDescent="0.25">
      <c r="A905" s="348"/>
      <c r="B905" s="11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349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</row>
    <row r="906" spans="1:54" ht="14.25" customHeight="1" x14ac:dyDescent="0.25">
      <c r="A906" s="348"/>
      <c r="B906" s="11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349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</row>
    <row r="907" spans="1:54" ht="14.25" customHeight="1" x14ac:dyDescent="0.25">
      <c r="A907" s="348"/>
      <c r="B907" s="11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349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</row>
    <row r="908" spans="1:54" ht="14.25" customHeight="1" x14ac:dyDescent="0.25">
      <c r="A908" s="348"/>
      <c r="B908" s="11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349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</row>
    <row r="909" spans="1:54" ht="14.25" customHeight="1" x14ac:dyDescent="0.25">
      <c r="A909" s="348"/>
      <c r="B909" s="11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349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</row>
    <row r="910" spans="1:54" ht="14.25" customHeight="1" x14ac:dyDescent="0.25">
      <c r="A910" s="348"/>
      <c r="B910" s="11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349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</row>
    <row r="911" spans="1:54" ht="14.25" customHeight="1" x14ac:dyDescent="0.25">
      <c r="A911" s="348"/>
      <c r="B911" s="11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349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</row>
    <row r="912" spans="1:54" ht="14.25" customHeight="1" x14ac:dyDescent="0.25">
      <c r="A912" s="348"/>
      <c r="B912" s="11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349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</row>
    <row r="913" spans="1:54" ht="14.25" customHeight="1" x14ac:dyDescent="0.25">
      <c r="A913" s="348"/>
      <c r="B913" s="11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349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</row>
    <row r="914" spans="1:54" ht="14.25" customHeight="1" x14ac:dyDescent="0.25">
      <c r="A914" s="348"/>
      <c r="B914" s="11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349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</row>
    <row r="915" spans="1:54" ht="14.25" customHeight="1" x14ac:dyDescent="0.25">
      <c r="A915" s="348"/>
      <c r="B915" s="11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349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</row>
    <row r="916" spans="1:54" ht="14.25" customHeight="1" x14ac:dyDescent="0.25">
      <c r="A916" s="348"/>
      <c r="B916" s="11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349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</row>
    <row r="917" spans="1:54" ht="14.25" customHeight="1" x14ac:dyDescent="0.25">
      <c r="A917" s="348"/>
      <c r="B917" s="11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349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</row>
    <row r="918" spans="1:54" ht="14.25" customHeight="1" x14ac:dyDescent="0.25">
      <c r="A918" s="348"/>
      <c r="B918" s="11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349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</row>
    <row r="919" spans="1:54" ht="14.25" customHeight="1" x14ac:dyDescent="0.25">
      <c r="A919" s="348"/>
      <c r="B919" s="11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349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</row>
    <row r="920" spans="1:54" ht="14.25" customHeight="1" x14ac:dyDescent="0.25">
      <c r="A920" s="348"/>
      <c r="B920" s="11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349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</row>
    <row r="921" spans="1:54" ht="14.25" customHeight="1" x14ac:dyDescent="0.25">
      <c r="A921" s="348"/>
      <c r="B921" s="11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349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</row>
    <row r="922" spans="1:54" ht="14.25" customHeight="1" x14ac:dyDescent="0.25">
      <c r="A922" s="348"/>
      <c r="B922" s="11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349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</row>
    <row r="923" spans="1:54" ht="14.25" customHeight="1" x14ac:dyDescent="0.25">
      <c r="A923" s="348"/>
      <c r="B923" s="11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349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</row>
    <row r="924" spans="1:54" ht="14.25" customHeight="1" x14ac:dyDescent="0.25">
      <c r="A924" s="348"/>
      <c r="B924" s="11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349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</row>
    <row r="925" spans="1:54" ht="14.25" customHeight="1" x14ac:dyDescent="0.25">
      <c r="A925" s="348"/>
      <c r="B925" s="11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349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</row>
    <row r="926" spans="1:54" ht="14.25" customHeight="1" x14ac:dyDescent="0.25">
      <c r="A926" s="348"/>
      <c r="B926" s="11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349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</row>
    <row r="927" spans="1:54" ht="14.25" customHeight="1" x14ac:dyDescent="0.25">
      <c r="A927" s="348"/>
      <c r="B927" s="11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349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</row>
    <row r="928" spans="1:54" ht="14.25" customHeight="1" x14ac:dyDescent="0.25">
      <c r="A928" s="348"/>
      <c r="B928" s="11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349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</row>
    <row r="929" spans="1:54" ht="14.25" customHeight="1" x14ac:dyDescent="0.25">
      <c r="A929" s="348"/>
      <c r="B929" s="11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349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</row>
    <row r="930" spans="1:54" ht="14.25" customHeight="1" x14ac:dyDescent="0.25">
      <c r="A930" s="348"/>
      <c r="B930" s="11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349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</row>
    <row r="931" spans="1:54" ht="14.25" customHeight="1" x14ac:dyDescent="0.25">
      <c r="A931" s="348"/>
      <c r="B931" s="11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349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</row>
    <row r="932" spans="1:54" ht="14.25" customHeight="1" x14ac:dyDescent="0.25">
      <c r="A932" s="348"/>
      <c r="B932" s="11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349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</row>
    <row r="933" spans="1:54" ht="14.25" customHeight="1" x14ac:dyDescent="0.25">
      <c r="A933" s="348"/>
      <c r="B933" s="11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349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</row>
    <row r="934" spans="1:54" ht="14.25" customHeight="1" x14ac:dyDescent="0.25">
      <c r="A934" s="348"/>
      <c r="B934" s="11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349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</row>
    <row r="935" spans="1:54" ht="14.25" customHeight="1" x14ac:dyDescent="0.25">
      <c r="A935" s="348"/>
      <c r="B935" s="11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349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</row>
    <row r="936" spans="1:54" ht="14.25" customHeight="1" x14ac:dyDescent="0.25">
      <c r="A936" s="348"/>
      <c r="B936" s="11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349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</row>
    <row r="937" spans="1:54" ht="14.25" customHeight="1" x14ac:dyDescent="0.25">
      <c r="A937" s="348"/>
      <c r="B937" s="11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349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</row>
    <row r="938" spans="1:54" ht="14.25" customHeight="1" x14ac:dyDescent="0.25">
      <c r="A938" s="348"/>
      <c r="B938" s="11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349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</row>
    <row r="939" spans="1:54" ht="14.25" customHeight="1" x14ac:dyDescent="0.25">
      <c r="A939" s="348"/>
      <c r="B939" s="11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349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</row>
    <row r="940" spans="1:54" ht="14.25" customHeight="1" x14ac:dyDescent="0.25">
      <c r="A940" s="348"/>
      <c r="B940" s="11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349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</row>
    <row r="941" spans="1:54" ht="14.25" customHeight="1" x14ac:dyDescent="0.25">
      <c r="A941" s="348"/>
      <c r="B941" s="11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349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</row>
    <row r="942" spans="1:54" ht="14.25" customHeight="1" x14ac:dyDescent="0.25">
      <c r="A942" s="348"/>
      <c r="B942" s="11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349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</row>
    <row r="943" spans="1:54" ht="14.25" customHeight="1" x14ac:dyDescent="0.25">
      <c r="A943" s="348"/>
      <c r="B943" s="11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349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</row>
    <row r="944" spans="1:54" ht="14.25" customHeight="1" x14ac:dyDescent="0.25">
      <c r="A944" s="348"/>
      <c r="B944" s="11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349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</row>
    <row r="945" spans="1:54" ht="14.25" customHeight="1" x14ac:dyDescent="0.25">
      <c r="A945" s="348"/>
      <c r="B945" s="11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349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</row>
    <row r="946" spans="1:54" ht="14.25" customHeight="1" x14ac:dyDescent="0.25">
      <c r="A946" s="348"/>
      <c r="B946" s="11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349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</row>
    <row r="947" spans="1:54" ht="14.25" customHeight="1" x14ac:dyDescent="0.25">
      <c r="A947" s="348"/>
      <c r="B947" s="11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349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</row>
    <row r="948" spans="1:54" ht="14.25" customHeight="1" x14ac:dyDescent="0.25">
      <c r="A948" s="348"/>
      <c r="B948" s="11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349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</row>
    <row r="949" spans="1:54" ht="14.25" customHeight="1" x14ac:dyDescent="0.25">
      <c r="A949" s="348"/>
      <c r="B949" s="11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349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</row>
    <row r="950" spans="1:54" ht="14.25" customHeight="1" x14ac:dyDescent="0.25">
      <c r="A950" s="348"/>
      <c r="B950" s="11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349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</row>
    <row r="951" spans="1:54" ht="14.25" customHeight="1" x14ac:dyDescent="0.25">
      <c r="A951" s="348"/>
      <c r="B951" s="11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349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</row>
    <row r="952" spans="1:54" ht="14.25" customHeight="1" x14ac:dyDescent="0.25">
      <c r="A952" s="348"/>
      <c r="B952" s="11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349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</row>
    <row r="953" spans="1:54" ht="14.25" customHeight="1" x14ac:dyDescent="0.25">
      <c r="A953" s="348"/>
      <c r="B953" s="11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349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</row>
    <row r="954" spans="1:54" ht="14.25" customHeight="1" x14ac:dyDescent="0.25">
      <c r="A954" s="348"/>
      <c r="B954" s="11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349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</row>
    <row r="955" spans="1:54" ht="14.25" customHeight="1" x14ac:dyDescent="0.25">
      <c r="A955" s="348"/>
      <c r="B955" s="11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349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</row>
    <row r="956" spans="1:54" ht="14.25" customHeight="1" x14ac:dyDescent="0.25">
      <c r="A956" s="348"/>
      <c r="B956" s="11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349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</row>
    <row r="957" spans="1:54" ht="14.25" customHeight="1" x14ac:dyDescent="0.25">
      <c r="A957" s="348"/>
      <c r="B957" s="11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349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</row>
    <row r="958" spans="1:54" ht="14.25" customHeight="1" x14ac:dyDescent="0.25">
      <c r="A958" s="348"/>
      <c r="B958" s="11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349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</row>
    <row r="959" spans="1:54" ht="14.25" customHeight="1" x14ac:dyDescent="0.25">
      <c r="A959" s="348"/>
      <c r="B959" s="11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349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</row>
    <row r="960" spans="1:54" ht="14.25" customHeight="1" x14ac:dyDescent="0.25">
      <c r="A960" s="348"/>
      <c r="B960" s="11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349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</row>
    <row r="961" spans="1:54" ht="14.25" customHeight="1" x14ac:dyDescent="0.25">
      <c r="A961" s="348"/>
      <c r="B961" s="11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349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</row>
    <row r="962" spans="1:54" ht="14.25" customHeight="1" x14ac:dyDescent="0.25">
      <c r="A962" s="348"/>
      <c r="B962" s="11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349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</row>
    <row r="963" spans="1:54" ht="14.25" customHeight="1" x14ac:dyDescent="0.25">
      <c r="A963" s="348"/>
      <c r="B963" s="11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349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</row>
    <row r="964" spans="1:54" ht="14.25" customHeight="1" x14ac:dyDescent="0.25">
      <c r="A964" s="348"/>
      <c r="B964" s="11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349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</row>
    <row r="965" spans="1:54" ht="14.25" customHeight="1" x14ac:dyDescent="0.25">
      <c r="A965" s="348"/>
      <c r="B965" s="11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349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</row>
    <row r="966" spans="1:54" ht="14.25" customHeight="1" x14ac:dyDescent="0.25">
      <c r="A966" s="348"/>
      <c r="B966" s="11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349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</row>
    <row r="967" spans="1:54" ht="14.25" customHeight="1" x14ac:dyDescent="0.25">
      <c r="A967" s="348"/>
      <c r="B967" s="11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349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</row>
    <row r="968" spans="1:54" ht="14.25" customHeight="1" x14ac:dyDescent="0.25">
      <c r="A968" s="348"/>
      <c r="B968" s="11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349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</row>
    <row r="969" spans="1:54" ht="14.25" customHeight="1" x14ac:dyDescent="0.25">
      <c r="A969" s="348"/>
      <c r="B969" s="11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349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</row>
    <row r="970" spans="1:54" ht="14.25" customHeight="1" x14ac:dyDescent="0.25">
      <c r="A970" s="348"/>
      <c r="B970" s="11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349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</row>
    <row r="971" spans="1:54" ht="14.25" customHeight="1" x14ac:dyDescent="0.25">
      <c r="A971" s="348"/>
      <c r="B971" s="11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349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</row>
    <row r="972" spans="1:54" ht="14.25" customHeight="1" x14ac:dyDescent="0.25">
      <c r="A972" s="348"/>
      <c r="B972" s="11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349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</row>
    <row r="973" spans="1:54" ht="14.25" customHeight="1" x14ac:dyDescent="0.25">
      <c r="A973" s="348"/>
      <c r="B973" s="11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349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</row>
    <row r="974" spans="1:54" ht="14.25" customHeight="1" x14ac:dyDescent="0.25">
      <c r="A974" s="348"/>
      <c r="B974" s="11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349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</row>
    <row r="975" spans="1:54" ht="14.25" customHeight="1" x14ac:dyDescent="0.25">
      <c r="A975" s="348"/>
      <c r="B975" s="11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349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</row>
    <row r="976" spans="1:54" ht="14.25" customHeight="1" x14ac:dyDescent="0.25">
      <c r="A976" s="348"/>
      <c r="B976" s="11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349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</row>
    <row r="977" spans="1:54" ht="14.25" customHeight="1" x14ac:dyDescent="0.25">
      <c r="A977" s="348"/>
      <c r="B977" s="11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349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</row>
    <row r="978" spans="1:54" ht="14.25" customHeight="1" x14ac:dyDescent="0.25">
      <c r="A978" s="348"/>
      <c r="B978" s="11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349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</row>
    <row r="979" spans="1:54" ht="14.25" customHeight="1" x14ac:dyDescent="0.25">
      <c r="A979" s="348"/>
      <c r="B979" s="11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349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</row>
    <row r="980" spans="1:54" ht="14.25" customHeight="1" x14ac:dyDescent="0.25">
      <c r="A980" s="348"/>
      <c r="B980" s="11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349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</row>
    <row r="981" spans="1:54" ht="14.25" customHeight="1" x14ac:dyDescent="0.25">
      <c r="A981" s="348"/>
      <c r="B981" s="11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349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</row>
    <row r="982" spans="1:54" ht="14.25" customHeight="1" x14ac:dyDescent="0.25">
      <c r="A982" s="348"/>
      <c r="B982" s="11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349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</row>
    <row r="983" spans="1:54" ht="14.25" customHeight="1" x14ac:dyDescent="0.25">
      <c r="A983" s="348"/>
      <c r="B983" s="11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349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</row>
    <row r="984" spans="1:54" ht="14.25" customHeight="1" x14ac:dyDescent="0.25">
      <c r="A984" s="348"/>
      <c r="B984" s="11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349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</row>
    <row r="985" spans="1:54" ht="14.25" customHeight="1" x14ac:dyDescent="0.25">
      <c r="A985" s="348"/>
      <c r="B985" s="11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349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</row>
    <row r="986" spans="1:54" ht="14.25" customHeight="1" x14ac:dyDescent="0.25">
      <c r="A986" s="348"/>
      <c r="B986" s="11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349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</row>
    <row r="987" spans="1:54" ht="14.25" customHeight="1" x14ac:dyDescent="0.25">
      <c r="A987" s="348"/>
      <c r="B987" s="11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349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</row>
    <row r="988" spans="1:54" ht="14.25" customHeight="1" x14ac:dyDescent="0.25">
      <c r="A988" s="348"/>
      <c r="B988" s="11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349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</row>
    <row r="989" spans="1:54" ht="14.25" customHeight="1" x14ac:dyDescent="0.25">
      <c r="A989" s="348"/>
      <c r="B989" s="11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349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</row>
    <row r="990" spans="1:54" ht="14.25" customHeight="1" x14ac:dyDescent="0.25">
      <c r="A990" s="348"/>
      <c r="B990" s="11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349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</row>
    <row r="991" spans="1:54" ht="14.25" customHeight="1" x14ac:dyDescent="0.25">
      <c r="A991" s="348"/>
      <c r="B991" s="11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349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</row>
    <row r="992" spans="1:54" ht="14.25" customHeight="1" x14ac:dyDescent="0.25">
      <c r="A992" s="348"/>
      <c r="B992" s="11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349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</row>
    <row r="993" spans="1:54" ht="14.25" customHeight="1" x14ac:dyDescent="0.25">
      <c r="A993" s="348"/>
      <c r="B993" s="11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349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</row>
    <row r="994" spans="1:54" ht="14.25" customHeight="1" x14ac:dyDescent="0.25">
      <c r="A994" s="348"/>
      <c r="B994" s="11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349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</row>
    <row r="995" spans="1:54" ht="14.25" customHeight="1" x14ac:dyDescent="0.25">
      <c r="A995" s="348"/>
      <c r="B995" s="11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349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</row>
    <row r="996" spans="1:54" ht="14.25" customHeight="1" x14ac:dyDescent="0.25">
      <c r="A996" s="348"/>
      <c r="B996" s="11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349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</row>
    <row r="997" spans="1:54" ht="14.25" customHeight="1" x14ac:dyDescent="0.25">
      <c r="A997" s="348"/>
      <c r="B997" s="11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349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</row>
    <row r="998" spans="1:54" ht="14.25" customHeight="1" x14ac:dyDescent="0.25">
      <c r="A998" s="348"/>
      <c r="B998" s="11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349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</row>
    <row r="999" spans="1:54" ht="14.25" customHeight="1" x14ac:dyDescent="0.25">
      <c r="A999" s="348"/>
      <c r="B999" s="11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349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</row>
    <row r="1000" spans="1:54" ht="14.25" customHeight="1" x14ac:dyDescent="0.25">
      <c r="A1000" s="348"/>
      <c r="B1000" s="11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349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</row>
  </sheetData>
  <dataValidations count="2">
    <dataValidation type="custom" allowBlank="1" showDropDown="1" sqref="K66:M74" xr:uid="{00000000-0002-0000-0600-000000000000}">
      <formula1>AND(ISNUMBER(K66),(NOT(OR(NOT(ISERROR(DATEVALUE(K66))), AND(ISNUMBER(K66), LEFT(CELL("format", K66))="D")))))</formula1>
    </dataValidation>
    <dataValidation allowBlank="1" showDropDown="1" sqref="I66:I74" xr:uid="{00000000-0002-0000-0600-000001000000}"/>
  </dataValidations>
  <pageMargins left="0.7" right="0.7" top="0.75" bottom="0.75" header="0" footer="0"/>
  <pageSetup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showGridLines="0" workbookViewId="0"/>
  </sheetViews>
  <sheetFormatPr defaultColWidth="12.7109375" defaultRowHeight="15" customHeight="1" x14ac:dyDescent="0.25"/>
  <cols>
    <col min="1" max="1" width="12.7109375" customWidth="1"/>
    <col min="2" max="2" width="43.28515625" customWidth="1"/>
    <col min="3" max="3" width="11.28515625" customWidth="1"/>
    <col min="4" max="4" width="17.85546875" customWidth="1"/>
    <col min="5" max="5" width="19.28515625" customWidth="1"/>
    <col min="6" max="6" width="12.7109375" customWidth="1"/>
  </cols>
  <sheetData>
    <row r="1" spans="1:26" ht="15.75" customHeight="1" x14ac:dyDescent="0.25">
      <c r="A1" s="364"/>
      <c r="B1" s="496" t="s">
        <v>592</v>
      </c>
      <c r="C1" s="495"/>
      <c r="D1" s="495"/>
      <c r="E1" s="495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spans="1:26" ht="15.75" customHeight="1" x14ac:dyDescent="0.25">
      <c r="A2" s="364"/>
      <c r="B2" s="496" t="s">
        <v>593</v>
      </c>
      <c r="C2" s="495"/>
      <c r="D2" s="495"/>
      <c r="E2" s="495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</row>
    <row r="3" spans="1:26" ht="15.75" customHeight="1" x14ac:dyDescent="0.25">
      <c r="A3" s="364"/>
      <c r="B3" s="365"/>
      <c r="C3" s="366" t="s">
        <v>594</v>
      </c>
      <c r="D3" s="366" t="s">
        <v>595</v>
      </c>
      <c r="E3" s="366" t="s">
        <v>596</v>
      </c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</row>
    <row r="4" spans="1:26" ht="15.75" customHeight="1" x14ac:dyDescent="0.25">
      <c r="A4" s="364"/>
      <c r="B4" s="367" t="s">
        <v>597</v>
      </c>
      <c r="C4" s="368"/>
      <c r="D4" s="368"/>
      <c r="E4" s="368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</row>
    <row r="5" spans="1:26" ht="15.75" customHeight="1" x14ac:dyDescent="0.25">
      <c r="A5" s="364"/>
      <c r="B5" s="367"/>
      <c r="C5" s="368"/>
      <c r="D5" s="369"/>
      <c r="E5" s="369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</row>
    <row r="6" spans="1:26" ht="15.75" customHeight="1" x14ac:dyDescent="0.25">
      <c r="A6" s="364"/>
      <c r="B6" s="367" t="s">
        <v>598</v>
      </c>
      <c r="C6" s="364"/>
      <c r="D6" s="370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</row>
    <row r="7" spans="1:26" ht="15.75" customHeight="1" x14ac:dyDescent="0.25">
      <c r="A7" s="364"/>
      <c r="B7" s="367" t="s">
        <v>599</v>
      </c>
      <c r="C7" s="371">
        <v>1628430.98</v>
      </c>
      <c r="D7" s="371">
        <v>7078847.5800000001</v>
      </c>
      <c r="E7" s="371">
        <f>3795502.900844+1674943</f>
        <v>5470445.9008440003</v>
      </c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</row>
    <row r="8" spans="1:26" ht="15.75" customHeight="1" x14ac:dyDescent="0.25">
      <c r="A8" s="364"/>
      <c r="B8" s="367" t="s">
        <v>600</v>
      </c>
      <c r="C8" s="372"/>
      <c r="D8" s="372"/>
      <c r="E8" s="371">
        <v>356918.10915599996</v>
      </c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</row>
    <row r="9" spans="1:26" ht="15.75" customHeight="1" x14ac:dyDescent="0.25">
      <c r="A9" s="364"/>
      <c r="B9" s="367" t="s">
        <v>601</v>
      </c>
      <c r="C9" s="372"/>
      <c r="D9" s="372"/>
      <c r="E9" s="371">
        <f>92010+640000</f>
        <v>732010</v>
      </c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</row>
    <row r="10" spans="1:26" ht="15.75" customHeight="1" x14ac:dyDescent="0.25">
      <c r="A10" s="364"/>
      <c r="B10" s="367" t="s">
        <v>602</v>
      </c>
      <c r="C10" s="373">
        <v>1628430.98</v>
      </c>
      <c r="D10" s="373">
        <v>7078847.5800000001</v>
      </c>
      <c r="E10" s="373">
        <v>6559374.3433333328</v>
      </c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</row>
    <row r="11" spans="1:26" ht="15.75" customHeight="1" x14ac:dyDescent="0.25">
      <c r="A11" s="364"/>
      <c r="B11" s="367" t="s">
        <v>603</v>
      </c>
      <c r="C11" s="374"/>
      <c r="D11" s="374"/>
      <c r="E11" s="374"/>
      <c r="F11" s="364"/>
      <c r="G11" s="364"/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</row>
    <row r="12" spans="1:26" ht="15.75" customHeight="1" x14ac:dyDescent="0.25">
      <c r="A12" s="364"/>
      <c r="B12" s="367" t="s">
        <v>604</v>
      </c>
      <c r="C12" s="374"/>
      <c r="D12" s="375"/>
      <c r="E12" s="375"/>
      <c r="F12" s="364"/>
      <c r="G12" s="364"/>
      <c r="H12" s="364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</row>
    <row r="13" spans="1:26" ht="15.75" customHeight="1" x14ac:dyDescent="0.25">
      <c r="A13" s="364"/>
      <c r="B13" s="367" t="s">
        <v>599</v>
      </c>
      <c r="C13" s="371">
        <v>1015327.77</v>
      </c>
      <c r="D13" s="371">
        <v>4160381.33</v>
      </c>
      <c r="E13" s="371">
        <v>2556020.3454760001</v>
      </c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</row>
    <row r="14" spans="1:26" ht="15.75" customHeight="1" x14ac:dyDescent="0.25">
      <c r="A14" s="364"/>
      <c r="B14" s="367" t="s">
        <v>600</v>
      </c>
      <c r="C14" s="372"/>
      <c r="D14" s="372"/>
      <c r="E14" s="371">
        <v>209038.44452399999</v>
      </c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</row>
    <row r="15" spans="1:26" ht="15.75" customHeight="1" x14ac:dyDescent="0.25">
      <c r="A15" s="364"/>
      <c r="B15" s="367" t="s">
        <v>601</v>
      </c>
      <c r="C15" s="372"/>
      <c r="D15" s="372"/>
      <c r="E15" s="371">
        <v>221000</v>
      </c>
      <c r="F15" s="364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</row>
    <row r="16" spans="1:26" ht="15.75" customHeight="1" x14ac:dyDescent="0.25">
      <c r="A16" s="364"/>
      <c r="B16" s="367" t="s">
        <v>605</v>
      </c>
      <c r="C16" s="372"/>
      <c r="D16" s="371">
        <v>355892</v>
      </c>
      <c r="E16" s="371">
        <v>530000</v>
      </c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</row>
    <row r="17" spans="1:26" ht="15.75" customHeight="1" x14ac:dyDescent="0.25">
      <c r="A17" s="364"/>
      <c r="B17" s="367" t="s">
        <v>606</v>
      </c>
      <c r="C17" s="373">
        <v>1015327.77</v>
      </c>
      <c r="D17" s="373">
        <v>4516273.33</v>
      </c>
      <c r="E17" s="373">
        <v>3516058.79</v>
      </c>
      <c r="F17" s="364"/>
      <c r="G17" s="364"/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</row>
    <row r="18" spans="1:26" ht="15.75" customHeight="1" x14ac:dyDescent="0.25">
      <c r="A18" s="364"/>
      <c r="B18" s="367" t="s">
        <v>22</v>
      </c>
      <c r="C18" s="373">
        <v>613103.21</v>
      </c>
      <c r="D18" s="373">
        <v>2562574.25</v>
      </c>
      <c r="E18" s="373">
        <v>3043315.5533333328</v>
      </c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 spans="1:26" ht="15.75" customHeight="1" x14ac:dyDescent="0.25">
      <c r="A19" s="364"/>
      <c r="B19" s="367" t="s">
        <v>24</v>
      </c>
      <c r="C19" s="374"/>
      <c r="D19" s="374"/>
      <c r="E19" s="37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</row>
    <row r="20" spans="1:26" ht="15.75" customHeight="1" x14ac:dyDescent="0.25">
      <c r="A20" s="364" t="s">
        <v>607</v>
      </c>
      <c r="B20" s="376" t="s">
        <v>608</v>
      </c>
      <c r="C20" s="371">
        <v>10191.540000000001</v>
      </c>
      <c r="D20" s="371">
        <v>17749.25</v>
      </c>
      <c r="E20" s="371">
        <v>10202.73</v>
      </c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</row>
    <row r="21" spans="1:26" ht="15.75" customHeight="1" x14ac:dyDescent="0.25">
      <c r="A21" s="364" t="s">
        <v>213</v>
      </c>
      <c r="B21" s="376" t="s">
        <v>195</v>
      </c>
      <c r="C21" s="371">
        <v>28127.760000000002</v>
      </c>
      <c r="D21" s="374">
        <v>26115.07</v>
      </c>
      <c r="E21" s="374">
        <v>10720.11</v>
      </c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</row>
    <row r="22" spans="1:26" ht="15.75" customHeight="1" x14ac:dyDescent="0.25">
      <c r="A22" s="364" t="s">
        <v>213</v>
      </c>
      <c r="B22" s="376" t="s">
        <v>208</v>
      </c>
      <c r="C22" s="371">
        <v>3981.9399999999996</v>
      </c>
      <c r="D22" s="374">
        <v>6358.04</v>
      </c>
      <c r="E22" s="374">
        <v>2675.25</v>
      </c>
      <c r="F22" s="364"/>
      <c r="G22" s="364"/>
      <c r="H22" s="364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</row>
    <row r="23" spans="1:26" ht="15.75" customHeight="1" x14ac:dyDescent="0.25">
      <c r="A23" s="364" t="s">
        <v>609</v>
      </c>
      <c r="B23" s="376" t="s">
        <v>610</v>
      </c>
      <c r="C23" s="371">
        <v>198788.62999999998</v>
      </c>
      <c r="D23" s="371">
        <v>342668.64999999997</v>
      </c>
      <c r="E23" s="371">
        <v>54988.26</v>
      </c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</row>
    <row r="24" spans="1:26" ht="15.75" customHeight="1" x14ac:dyDescent="0.25">
      <c r="A24" s="364" t="s">
        <v>213</v>
      </c>
      <c r="B24" s="376" t="s">
        <v>611</v>
      </c>
      <c r="C24" s="371">
        <v>21539.95</v>
      </c>
      <c r="D24" s="371">
        <v>57555.69</v>
      </c>
      <c r="E24" s="371">
        <v>43658.29</v>
      </c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</row>
    <row r="25" spans="1:26" ht="15.75" customHeight="1" x14ac:dyDescent="0.25">
      <c r="A25" s="364" t="s">
        <v>213</v>
      </c>
      <c r="B25" s="376" t="s">
        <v>197</v>
      </c>
      <c r="C25" s="371">
        <v>53.15</v>
      </c>
      <c r="D25" s="371">
        <v>1294.1500000000001</v>
      </c>
      <c r="E25" s="371">
        <v>4140.6000000000004</v>
      </c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</row>
    <row r="26" spans="1:26" ht="15.75" customHeight="1" x14ac:dyDescent="0.25">
      <c r="A26" s="364" t="s">
        <v>612</v>
      </c>
      <c r="B26" s="376" t="s">
        <v>198</v>
      </c>
      <c r="C26" s="374"/>
      <c r="D26" s="371">
        <v>8786.5400000000009</v>
      </c>
      <c r="E26" s="371">
        <v>10648.95</v>
      </c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</row>
    <row r="27" spans="1:26" ht="15.75" customHeight="1" x14ac:dyDescent="0.25">
      <c r="A27" s="364" t="s">
        <v>213</v>
      </c>
      <c r="B27" s="376" t="s">
        <v>199</v>
      </c>
      <c r="C27" s="371">
        <v>8142.93</v>
      </c>
      <c r="D27" s="371">
        <v>27466.39</v>
      </c>
      <c r="E27" s="371">
        <v>24984.22</v>
      </c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</row>
    <row r="28" spans="1:26" ht="15.75" customHeight="1" x14ac:dyDescent="0.25">
      <c r="A28" s="364"/>
      <c r="B28" s="376" t="s">
        <v>200</v>
      </c>
      <c r="C28" s="371">
        <f>40861.79+2260</f>
        <v>43121.79</v>
      </c>
      <c r="D28" s="371">
        <f>40819.99+3235</f>
        <v>44054.99</v>
      </c>
      <c r="E28" s="371">
        <f>44768.99+369</f>
        <v>45137.99</v>
      </c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</row>
    <row r="29" spans="1:26" ht="15.75" customHeight="1" x14ac:dyDescent="0.25">
      <c r="A29" s="364"/>
      <c r="B29" s="376" t="s">
        <v>202</v>
      </c>
      <c r="C29" s="371">
        <v>24657.45</v>
      </c>
      <c r="D29" s="371">
        <v>28976.73</v>
      </c>
      <c r="E29" s="371">
        <v>22643.86</v>
      </c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</row>
    <row r="30" spans="1:26" ht="15.75" customHeight="1" x14ac:dyDescent="0.25">
      <c r="A30" s="364"/>
      <c r="B30" s="376" t="s">
        <v>204</v>
      </c>
      <c r="C30" s="371">
        <v>20215.54</v>
      </c>
      <c r="D30" s="371">
        <v>77828.27</v>
      </c>
      <c r="E30" s="371">
        <v>32045.78</v>
      </c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</row>
    <row r="31" spans="1:26" ht="15.75" customHeight="1" x14ac:dyDescent="0.25">
      <c r="A31" s="364" t="s">
        <v>612</v>
      </c>
      <c r="B31" s="376" t="s">
        <v>613</v>
      </c>
      <c r="C31" s="371">
        <v>28545.040000000001</v>
      </c>
      <c r="D31" s="374">
        <v>564082.07999999996</v>
      </c>
      <c r="E31" s="374">
        <v>542190.13</v>
      </c>
      <c r="F31" s="377">
        <f>E31/4</f>
        <v>135547.5325</v>
      </c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</row>
    <row r="32" spans="1:26" ht="15.75" customHeight="1" x14ac:dyDescent="0.25">
      <c r="A32" s="364"/>
      <c r="B32" s="376" t="s">
        <v>205</v>
      </c>
      <c r="C32" s="374"/>
      <c r="D32" s="371">
        <v>26641.64</v>
      </c>
      <c r="E32" s="371">
        <v>18868.59</v>
      </c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64"/>
      <c r="Z32" s="364"/>
    </row>
    <row r="33" spans="1:26" ht="15.75" customHeight="1" x14ac:dyDescent="0.25">
      <c r="A33" s="364" t="s">
        <v>609</v>
      </c>
      <c r="B33" s="376" t="s">
        <v>614</v>
      </c>
      <c r="C33" s="371">
        <v>21838</v>
      </c>
      <c r="D33" s="371">
        <v>17667.5</v>
      </c>
      <c r="E33" s="371">
        <v>1931.18</v>
      </c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</row>
    <row r="34" spans="1:26" ht="15.75" customHeight="1" x14ac:dyDescent="0.25">
      <c r="A34" s="364"/>
      <c r="B34" s="376" t="s">
        <v>206</v>
      </c>
      <c r="C34" s="371">
        <v>84448.28</v>
      </c>
      <c r="D34" s="371">
        <v>214658.97999999998</v>
      </c>
      <c r="E34" s="371">
        <v>95810</v>
      </c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  <c r="Z34" s="364"/>
    </row>
    <row r="35" spans="1:26" ht="15.75" customHeight="1" x14ac:dyDescent="0.25">
      <c r="A35" s="364"/>
      <c r="B35" s="376" t="s">
        <v>201</v>
      </c>
      <c r="C35" s="371">
        <v>10741.71</v>
      </c>
      <c r="D35" s="371">
        <v>36851.29</v>
      </c>
      <c r="E35" s="371">
        <v>27372</v>
      </c>
      <c r="F35" s="364"/>
      <c r="G35" s="364"/>
      <c r="H35" s="364"/>
      <c r="I35" s="364"/>
      <c r="J35" s="364"/>
      <c r="K35" s="364"/>
      <c r="L35" s="364"/>
      <c r="M35" s="364"/>
      <c r="N35" s="364"/>
      <c r="O35" s="364"/>
      <c r="P35" s="364"/>
      <c r="Q35" s="364"/>
      <c r="R35" s="364"/>
      <c r="S35" s="364"/>
      <c r="T35" s="364"/>
      <c r="U35" s="364"/>
      <c r="V35" s="364"/>
      <c r="W35" s="364"/>
      <c r="X35" s="364"/>
      <c r="Y35" s="364"/>
      <c r="Z35" s="364"/>
    </row>
    <row r="36" spans="1:26" ht="15.75" customHeight="1" x14ac:dyDescent="0.25">
      <c r="A36" s="364"/>
      <c r="B36" s="376" t="s">
        <v>209</v>
      </c>
      <c r="C36" s="374">
        <v>27218.79</v>
      </c>
      <c r="D36" s="371">
        <v>70652.63</v>
      </c>
      <c r="E36" s="374">
        <v>23914.79</v>
      </c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</row>
    <row r="37" spans="1:26" ht="15.75" customHeight="1" x14ac:dyDescent="0.25">
      <c r="A37" s="364"/>
      <c r="B37" s="376" t="s">
        <v>203</v>
      </c>
      <c r="C37" s="371">
        <f>10668.52+4302+1637</f>
        <v>16607.52</v>
      </c>
      <c r="D37" s="371">
        <f>13071.42+3141+2897</f>
        <v>19109.419999999998</v>
      </c>
      <c r="E37" s="371">
        <f>35939.86+485+1540</f>
        <v>37964.86</v>
      </c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</row>
    <row r="38" spans="1:26" ht="15.75" customHeight="1" x14ac:dyDescent="0.25">
      <c r="A38" s="364"/>
      <c r="B38" s="367" t="s">
        <v>583</v>
      </c>
      <c r="C38" s="373">
        <v>548220.95000000007</v>
      </c>
      <c r="D38" s="373">
        <v>1588517.2399999998</v>
      </c>
      <c r="E38" s="373">
        <v>1009897.8</v>
      </c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</row>
    <row r="39" spans="1:26" ht="15.75" customHeight="1" x14ac:dyDescent="0.25">
      <c r="A39" s="364"/>
      <c r="B39" s="367" t="s">
        <v>29</v>
      </c>
      <c r="C39" s="373">
        <v>64882.259999999893</v>
      </c>
      <c r="D39" s="373">
        <v>974057.01000000024</v>
      </c>
      <c r="E39" s="373">
        <v>2033417.7533333327</v>
      </c>
      <c r="F39" s="364"/>
      <c r="G39" s="364"/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</row>
    <row r="40" spans="1:26" ht="15.75" customHeight="1" x14ac:dyDescent="0.25">
      <c r="A40" s="364"/>
      <c r="B40" s="367" t="s">
        <v>31</v>
      </c>
      <c r="C40" s="371">
        <v>9349.68</v>
      </c>
      <c r="D40" s="371">
        <v>11108.16</v>
      </c>
      <c r="E40" s="371">
        <v>4500</v>
      </c>
      <c r="F40" s="364">
        <f>E40/6</f>
        <v>750</v>
      </c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  <c r="W40" s="364"/>
      <c r="X40" s="364"/>
      <c r="Y40" s="364"/>
      <c r="Z40" s="364"/>
    </row>
    <row r="41" spans="1:26" ht="15.75" customHeight="1" x14ac:dyDescent="0.25">
      <c r="A41" s="364"/>
      <c r="B41" s="367" t="s">
        <v>615</v>
      </c>
      <c r="C41" s="371">
        <v>5971</v>
      </c>
      <c r="D41" s="374"/>
      <c r="E41" s="374"/>
      <c r="F41" s="364"/>
      <c r="G41" s="364"/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  <c r="S41" s="364"/>
      <c r="T41" s="364"/>
      <c r="U41" s="364"/>
      <c r="V41" s="364"/>
      <c r="W41" s="364"/>
      <c r="X41" s="364"/>
      <c r="Y41" s="364"/>
      <c r="Z41" s="364"/>
    </row>
    <row r="42" spans="1:26" ht="15.75" customHeight="1" x14ac:dyDescent="0.25">
      <c r="A42" s="364"/>
      <c r="B42" s="367" t="s">
        <v>35</v>
      </c>
      <c r="C42" s="372">
        <v>49561.579999999893</v>
      </c>
      <c r="D42" s="372">
        <v>962948.85000000021</v>
      </c>
      <c r="E42" s="372">
        <v>2028917.7533333327</v>
      </c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  <c r="Z42" s="364"/>
    </row>
    <row r="43" spans="1:26" ht="15.75" customHeight="1" x14ac:dyDescent="0.25">
      <c r="A43" s="364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</row>
    <row r="44" spans="1:26" ht="15.75" customHeight="1" x14ac:dyDescent="0.25">
      <c r="A44" s="364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</row>
    <row r="45" spans="1:26" ht="15.75" customHeight="1" x14ac:dyDescent="0.25">
      <c r="A45" s="364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364"/>
      <c r="U45" s="364"/>
      <c r="V45" s="364"/>
      <c r="W45" s="364"/>
      <c r="X45" s="364"/>
      <c r="Y45" s="364"/>
      <c r="Z45" s="364"/>
    </row>
    <row r="46" spans="1:26" ht="15.75" customHeight="1" x14ac:dyDescent="0.25">
      <c r="A46" s="364"/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  <c r="S46" s="364"/>
      <c r="T46" s="364"/>
      <c r="U46" s="364"/>
      <c r="V46" s="364"/>
      <c r="W46" s="364"/>
      <c r="X46" s="364"/>
      <c r="Y46" s="364"/>
      <c r="Z46" s="364"/>
    </row>
    <row r="47" spans="1:26" ht="15.75" customHeight="1" x14ac:dyDescent="0.25">
      <c r="A47" s="364"/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</row>
    <row r="48" spans="1:26" ht="15.75" customHeight="1" x14ac:dyDescent="0.25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</row>
    <row r="49" spans="1:26" ht="15.75" customHeight="1" x14ac:dyDescent="0.25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</row>
    <row r="50" spans="1:26" ht="15.75" customHeight="1" x14ac:dyDescent="0.25">
      <c r="A50" s="364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4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</row>
    <row r="51" spans="1:26" ht="15.75" customHeight="1" x14ac:dyDescent="0.25">
      <c r="A51" s="364"/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</row>
    <row r="52" spans="1:26" ht="15.75" customHeight="1" x14ac:dyDescent="0.25">
      <c r="A52" s="364"/>
      <c r="B52" s="364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</row>
    <row r="53" spans="1:26" ht="15.75" customHeight="1" x14ac:dyDescent="0.25">
      <c r="A53" s="364"/>
      <c r="B53" s="364"/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  <c r="S53" s="364"/>
      <c r="T53" s="364"/>
      <c r="U53" s="364"/>
      <c r="V53" s="364"/>
      <c r="W53" s="364"/>
      <c r="X53" s="364"/>
      <c r="Y53" s="364"/>
      <c r="Z53" s="364"/>
    </row>
    <row r="54" spans="1:26" ht="15.75" customHeight="1" x14ac:dyDescent="0.25">
      <c r="A54" s="364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  <c r="S54" s="364"/>
      <c r="T54" s="364"/>
      <c r="U54" s="364"/>
      <c r="V54" s="364"/>
      <c r="W54" s="364"/>
      <c r="X54" s="364"/>
      <c r="Y54" s="364"/>
      <c r="Z54" s="364"/>
    </row>
    <row r="55" spans="1:26" ht="15.75" customHeight="1" x14ac:dyDescent="0.25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  <c r="P55" s="364"/>
      <c r="Q55" s="364"/>
      <c r="R55" s="364"/>
      <c r="S55" s="364"/>
      <c r="T55" s="364"/>
      <c r="U55" s="364"/>
      <c r="V55" s="364"/>
      <c r="W55" s="364"/>
      <c r="X55" s="364"/>
      <c r="Y55" s="364"/>
      <c r="Z55" s="364"/>
    </row>
    <row r="56" spans="1:26" ht="15.75" customHeight="1" x14ac:dyDescent="0.25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</row>
    <row r="57" spans="1:26" ht="15.75" customHeight="1" x14ac:dyDescent="0.25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</row>
    <row r="58" spans="1:26" ht="15.75" customHeight="1" x14ac:dyDescent="0.25">
      <c r="A58" s="364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</row>
    <row r="59" spans="1:26" ht="15.75" customHeight="1" x14ac:dyDescent="0.25">
      <c r="A59" s="364"/>
      <c r="B59" s="364"/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4"/>
      <c r="R59" s="364"/>
      <c r="S59" s="364"/>
      <c r="T59" s="364"/>
      <c r="U59" s="364"/>
      <c r="V59" s="364"/>
      <c r="W59" s="364"/>
      <c r="X59" s="364"/>
      <c r="Y59" s="364"/>
      <c r="Z59" s="364"/>
    </row>
    <row r="60" spans="1:26" ht="15.75" customHeight="1" x14ac:dyDescent="0.25">
      <c r="A60" s="364"/>
      <c r="B60" s="364"/>
      <c r="C60" s="364"/>
      <c r="D60" s="364"/>
      <c r="E60" s="364"/>
      <c r="F60" s="364"/>
      <c r="G60" s="364"/>
      <c r="H60" s="364"/>
      <c r="I60" s="364"/>
      <c r="J60" s="364"/>
      <c r="K60" s="364"/>
      <c r="L60" s="364"/>
      <c r="M60" s="364"/>
      <c r="N60" s="364"/>
      <c r="O60" s="364"/>
      <c r="P60" s="364"/>
      <c r="Q60" s="364"/>
      <c r="R60" s="364"/>
      <c r="S60" s="364"/>
      <c r="T60" s="364"/>
      <c r="U60" s="364"/>
      <c r="V60" s="364"/>
      <c r="W60" s="364"/>
      <c r="X60" s="364"/>
      <c r="Y60" s="364"/>
      <c r="Z60" s="364"/>
    </row>
    <row r="61" spans="1:26" ht="15.75" customHeight="1" x14ac:dyDescent="0.25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4"/>
      <c r="P61" s="364"/>
      <c r="Q61" s="364"/>
      <c r="R61" s="364"/>
      <c r="S61" s="364"/>
      <c r="T61" s="364"/>
      <c r="U61" s="364"/>
      <c r="V61" s="364"/>
      <c r="W61" s="364"/>
      <c r="X61" s="364"/>
      <c r="Y61" s="364"/>
      <c r="Z61" s="364"/>
    </row>
    <row r="62" spans="1:26" ht="15.75" customHeight="1" x14ac:dyDescent="0.25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4"/>
      <c r="P62" s="364"/>
      <c r="Q62" s="364"/>
      <c r="R62" s="364"/>
      <c r="S62" s="364"/>
      <c r="T62" s="364"/>
      <c r="U62" s="364"/>
      <c r="V62" s="364"/>
      <c r="W62" s="364"/>
      <c r="X62" s="364"/>
      <c r="Y62" s="364"/>
      <c r="Z62" s="364"/>
    </row>
    <row r="63" spans="1:26" ht="15.75" customHeight="1" x14ac:dyDescent="0.25">
      <c r="A63" s="364"/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</row>
    <row r="64" spans="1:26" ht="15.75" customHeight="1" x14ac:dyDescent="0.25">
      <c r="A64" s="364"/>
      <c r="B64" s="364"/>
      <c r="C64" s="364"/>
      <c r="D64" s="364"/>
      <c r="E64" s="364"/>
      <c r="F64" s="364"/>
      <c r="G64" s="364"/>
      <c r="H64" s="364"/>
      <c r="I64" s="364"/>
      <c r="J64" s="364"/>
      <c r="K64" s="364"/>
      <c r="L64" s="364"/>
      <c r="M64" s="364"/>
      <c r="N64" s="364"/>
      <c r="O64" s="364"/>
      <c r="P64" s="364"/>
      <c r="Q64" s="364"/>
      <c r="R64" s="364"/>
      <c r="S64" s="364"/>
      <c r="T64" s="364"/>
      <c r="U64" s="364"/>
      <c r="V64" s="364"/>
      <c r="W64" s="364"/>
      <c r="X64" s="364"/>
      <c r="Y64" s="364"/>
      <c r="Z64" s="364"/>
    </row>
    <row r="65" spans="1:26" ht="15.75" customHeight="1" x14ac:dyDescent="0.25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364"/>
      <c r="W65" s="364"/>
      <c r="X65" s="364"/>
      <c r="Y65" s="364"/>
      <c r="Z65" s="364"/>
    </row>
    <row r="66" spans="1:26" ht="15.75" customHeight="1" x14ac:dyDescent="0.25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</row>
    <row r="67" spans="1:26" ht="15.75" customHeight="1" x14ac:dyDescent="0.25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4"/>
      <c r="P67" s="364"/>
      <c r="Q67" s="364"/>
      <c r="R67" s="364"/>
      <c r="S67" s="364"/>
      <c r="T67" s="364"/>
      <c r="U67" s="364"/>
      <c r="V67" s="364"/>
      <c r="W67" s="364"/>
      <c r="X67" s="364"/>
      <c r="Y67" s="364"/>
      <c r="Z67" s="364"/>
    </row>
    <row r="68" spans="1:26" ht="15.75" customHeight="1" x14ac:dyDescent="0.25">
      <c r="A68" s="364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</row>
    <row r="69" spans="1:26" ht="15.75" customHeight="1" x14ac:dyDescent="0.25">
      <c r="A69" s="364"/>
      <c r="B69" s="364"/>
      <c r="C69" s="364"/>
      <c r="D69" s="364"/>
      <c r="E69" s="364"/>
      <c r="F69" s="364"/>
      <c r="G69" s="364"/>
      <c r="H69" s="364"/>
      <c r="I69" s="364"/>
      <c r="J69" s="364"/>
      <c r="K69" s="364"/>
      <c r="L69" s="364"/>
      <c r="M69" s="364"/>
      <c r="N69" s="364"/>
      <c r="O69" s="364"/>
      <c r="P69" s="364"/>
      <c r="Q69" s="364"/>
      <c r="R69" s="364"/>
      <c r="S69" s="364"/>
      <c r="T69" s="364"/>
      <c r="U69" s="364"/>
      <c r="V69" s="364"/>
      <c r="W69" s="364"/>
      <c r="X69" s="364"/>
      <c r="Y69" s="364"/>
      <c r="Z69" s="364"/>
    </row>
    <row r="70" spans="1:26" ht="15.75" customHeight="1" x14ac:dyDescent="0.25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</row>
    <row r="71" spans="1:26" ht="15.75" customHeight="1" x14ac:dyDescent="0.25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4"/>
      <c r="P71" s="364"/>
      <c r="Q71" s="364"/>
      <c r="R71" s="364"/>
      <c r="S71" s="364"/>
      <c r="T71" s="364"/>
      <c r="U71" s="364"/>
      <c r="V71" s="364"/>
      <c r="W71" s="364"/>
      <c r="X71" s="364"/>
      <c r="Y71" s="364"/>
      <c r="Z71" s="364"/>
    </row>
    <row r="72" spans="1:26" ht="15.75" customHeight="1" x14ac:dyDescent="0.25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4"/>
      <c r="P72" s="364"/>
      <c r="Q72" s="364"/>
      <c r="R72" s="364"/>
      <c r="S72" s="364"/>
      <c r="T72" s="364"/>
      <c r="U72" s="364"/>
      <c r="V72" s="364"/>
      <c r="W72" s="364"/>
      <c r="X72" s="364"/>
      <c r="Y72" s="364"/>
      <c r="Z72" s="364"/>
    </row>
    <row r="73" spans="1:26" ht="15.75" customHeight="1" x14ac:dyDescent="0.25">
      <c r="A73" s="364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</row>
    <row r="74" spans="1:26" ht="15.75" customHeight="1" x14ac:dyDescent="0.25">
      <c r="A74" s="364"/>
      <c r="B74" s="364"/>
      <c r="C74" s="364"/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4"/>
      <c r="Q74" s="364"/>
      <c r="R74" s="364"/>
      <c r="S74" s="364"/>
      <c r="T74" s="364"/>
      <c r="U74" s="364"/>
      <c r="V74" s="364"/>
      <c r="W74" s="364"/>
      <c r="X74" s="364"/>
      <c r="Y74" s="364"/>
      <c r="Z74" s="364"/>
    </row>
    <row r="75" spans="1:26" ht="15.75" customHeight="1" x14ac:dyDescent="0.25">
      <c r="A75" s="364"/>
      <c r="B75" s="364"/>
      <c r="C75" s="364"/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4"/>
      <c r="Q75" s="364"/>
      <c r="R75" s="364"/>
      <c r="S75" s="364"/>
      <c r="T75" s="364"/>
      <c r="U75" s="364"/>
      <c r="V75" s="364"/>
      <c r="W75" s="364"/>
      <c r="X75" s="364"/>
      <c r="Y75" s="364"/>
      <c r="Z75" s="364"/>
    </row>
    <row r="76" spans="1:26" ht="15.75" customHeight="1" x14ac:dyDescent="0.25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4"/>
      <c r="P76" s="364"/>
      <c r="Q76" s="364"/>
      <c r="R76" s="364"/>
      <c r="S76" s="364"/>
      <c r="T76" s="364"/>
      <c r="U76" s="364"/>
      <c r="V76" s="364"/>
      <c r="W76" s="364"/>
      <c r="X76" s="364"/>
      <c r="Y76" s="364"/>
      <c r="Z76" s="364"/>
    </row>
    <row r="77" spans="1:26" ht="15.75" customHeight="1" x14ac:dyDescent="0.25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4"/>
      <c r="P77" s="364"/>
      <c r="Q77" s="364"/>
      <c r="R77" s="364"/>
      <c r="S77" s="364"/>
      <c r="T77" s="364"/>
      <c r="U77" s="364"/>
      <c r="V77" s="364"/>
      <c r="W77" s="364"/>
      <c r="X77" s="364"/>
      <c r="Y77" s="364"/>
      <c r="Z77" s="364"/>
    </row>
    <row r="78" spans="1:26" ht="15.75" customHeight="1" x14ac:dyDescent="0.25">
      <c r="A78" s="364"/>
      <c r="B78" s="364"/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4"/>
      <c r="P78" s="364"/>
      <c r="Q78" s="364"/>
      <c r="R78" s="364"/>
      <c r="S78" s="364"/>
      <c r="T78" s="364"/>
      <c r="U78" s="364"/>
      <c r="V78" s="364"/>
      <c r="W78" s="364"/>
      <c r="X78" s="364"/>
      <c r="Y78" s="364"/>
      <c r="Z78" s="364"/>
    </row>
    <row r="79" spans="1:26" ht="15.75" customHeight="1" x14ac:dyDescent="0.25">
      <c r="A79" s="364"/>
      <c r="B79" s="364"/>
      <c r="C79" s="364"/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4"/>
      <c r="Q79" s="364"/>
      <c r="R79" s="364"/>
      <c r="S79" s="364"/>
      <c r="T79" s="364"/>
      <c r="U79" s="364"/>
      <c r="V79" s="364"/>
      <c r="W79" s="364"/>
      <c r="X79" s="364"/>
      <c r="Y79" s="364"/>
      <c r="Z79" s="364"/>
    </row>
    <row r="80" spans="1:26" ht="15.75" customHeight="1" x14ac:dyDescent="0.25">
      <c r="A80" s="364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4"/>
      <c r="R80" s="364"/>
      <c r="S80" s="364"/>
      <c r="T80" s="364"/>
      <c r="U80" s="364"/>
      <c r="V80" s="364"/>
      <c r="W80" s="364"/>
      <c r="X80" s="364"/>
      <c r="Y80" s="364"/>
      <c r="Z80" s="364"/>
    </row>
    <row r="81" spans="1:26" ht="15.75" customHeight="1" x14ac:dyDescent="0.25">
      <c r="A81" s="364"/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4"/>
      <c r="Q81" s="364"/>
      <c r="R81" s="364"/>
      <c r="S81" s="364"/>
      <c r="T81" s="364"/>
      <c r="U81" s="364"/>
      <c r="V81" s="364"/>
      <c r="W81" s="364"/>
      <c r="X81" s="364"/>
      <c r="Y81" s="364"/>
      <c r="Z81" s="364"/>
    </row>
    <row r="82" spans="1:26" ht="15.75" customHeight="1" x14ac:dyDescent="0.25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</row>
    <row r="83" spans="1:26" ht="15.75" customHeight="1" x14ac:dyDescent="0.25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</row>
    <row r="84" spans="1:26" ht="15.75" customHeight="1" x14ac:dyDescent="0.25">
      <c r="A84" s="364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4"/>
      <c r="V84" s="364"/>
      <c r="W84" s="364"/>
      <c r="X84" s="364"/>
      <c r="Y84" s="364"/>
      <c r="Z84" s="364"/>
    </row>
    <row r="85" spans="1:26" ht="15.75" customHeight="1" x14ac:dyDescent="0.25">
      <c r="A85" s="364"/>
      <c r="B85" s="364"/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4"/>
      <c r="V85" s="364"/>
      <c r="W85" s="364"/>
      <c r="X85" s="364"/>
      <c r="Y85" s="364"/>
      <c r="Z85" s="364"/>
    </row>
    <row r="86" spans="1:26" ht="15.75" customHeight="1" x14ac:dyDescent="0.25">
      <c r="A86" s="364"/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4"/>
      <c r="V86" s="364"/>
      <c r="W86" s="364"/>
      <c r="X86" s="364"/>
      <c r="Y86" s="364"/>
      <c r="Z86" s="364"/>
    </row>
    <row r="87" spans="1:26" ht="15.75" customHeight="1" x14ac:dyDescent="0.25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4"/>
      <c r="V87" s="364"/>
      <c r="W87" s="364"/>
      <c r="X87" s="364"/>
      <c r="Y87" s="364"/>
      <c r="Z87" s="364"/>
    </row>
    <row r="88" spans="1:26" ht="15.75" customHeight="1" x14ac:dyDescent="0.25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</row>
    <row r="89" spans="1:26" ht="15.75" customHeight="1" x14ac:dyDescent="0.25">
      <c r="A89" s="364"/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</row>
    <row r="90" spans="1:26" ht="15.75" customHeight="1" x14ac:dyDescent="0.25">
      <c r="A90" s="364"/>
      <c r="B90" s="364"/>
      <c r="C90" s="364"/>
      <c r="D90" s="364"/>
      <c r="E90" s="364"/>
      <c r="F90" s="364"/>
      <c r="G90" s="364"/>
      <c r="H90" s="364"/>
      <c r="I90" s="364"/>
      <c r="J90" s="364"/>
      <c r="K90" s="364"/>
      <c r="L90" s="364"/>
      <c r="M90" s="364"/>
      <c r="N90" s="364"/>
      <c r="O90" s="364"/>
      <c r="P90" s="364"/>
      <c r="Q90" s="364"/>
      <c r="R90" s="364"/>
      <c r="S90" s="364"/>
      <c r="T90" s="364"/>
      <c r="U90" s="364"/>
      <c r="V90" s="364"/>
      <c r="W90" s="364"/>
      <c r="X90" s="364"/>
      <c r="Y90" s="364"/>
      <c r="Z90" s="364"/>
    </row>
    <row r="91" spans="1:26" ht="15.75" customHeight="1" x14ac:dyDescent="0.25">
      <c r="A91" s="364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4"/>
      <c r="P91" s="364"/>
      <c r="Q91" s="364"/>
      <c r="R91" s="364"/>
      <c r="S91" s="364"/>
      <c r="T91" s="364"/>
      <c r="U91" s="364"/>
      <c r="V91" s="364"/>
      <c r="W91" s="364"/>
      <c r="X91" s="364"/>
      <c r="Y91" s="364"/>
      <c r="Z91" s="364"/>
    </row>
    <row r="92" spans="1:26" ht="15.75" customHeight="1" x14ac:dyDescent="0.25">
      <c r="A92" s="364"/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</row>
    <row r="93" spans="1:26" ht="15.75" customHeight="1" x14ac:dyDescent="0.25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</row>
    <row r="94" spans="1:26" ht="15.75" customHeight="1" x14ac:dyDescent="0.25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</row>
    <row r="95" spans="1:26" ht="15.75" customHeight="1" x14ac:dyDescent="0.25">
      <c r="A95" s="364"/>
      <c r="B95" s="364"/>
      <c r="C95" s="364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4"/>
      <c r="P95" s="364"/>
      <c r="Q95" s="364"/>
      <c r="R95" s="364"/>
      <c r="S95" s="364"/>
      <c r="T95" s="364"/>
      <c r="U95" s="364"/>
      <c r="V95" s="364"/>
      <c r="W95" s="364"/>
      <c r="X95" s="364"/>
      <c r="Y95" s="364"/>
      <c r="Z95" s="364"/>
    </row>
    <row r="96" spans="1:26" ht="15.75" customHeight="1" x14ac:dyDescent="0.25">
      <c r="A96" s="364"/>
      <c r="B96" s="364"/>
      <c r="C96" s="364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4"/>
      <c r="V96" s="364"/>
      <c r="W96" s="364"/>
      <c r="X96" s="364"/>
      <c r="Y96" s="364"/>
      <c r="Z96" s="364"/>
    </row>
    <row r="97" spans="1:26" ht="15.75" customHeight="1" x14ac:dyDescent="0.25">
      <c r="A97" s="364"/>
      <c r="B97" s="364"/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4"/>
      <c r="V97" s="364"/>
      <c r="W97" s="364"/>
      <c r="X97" s="364"/>
      <c r="Y97" s="364"/>
      <c r="Z97" s="364"/>
    </row>
    <row r="98" spans="1:26" ht="15.75" customHeight="1" x14ac:dyDescent="0.25">
      <c r="A98" s="364"/>
      <c r="B98" s="364"/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4"/>
      <c r="V98" s="364"/>
      <c r="W98" s="364"/>
      <c r="X98" s="364"/>
      <c r="Y98" s="364"/>
      <c r="Z98" s="364"/>
    </row>
    <row r="99" spans="1:26" ht="15.75" customHeight="1" x14ac:dyDescent="0.25">
      <c r="A99" s="364"/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</row>
    <row r="100" spans="1:26" ht="15.75" customHeight="1" x14ac:dyDescent="0.25">
      <c r="A100" s="364"/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</row>
    <row r="101" spans="1:26" ht="15.75" customHeight="1" x14ac:dyDescent="0.25">
      <c r="A101" s="364"/>
      <c r="B101" s="364"/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</row>
    <row r="102" spans="1:26" ht="15.75" customHeight="1" x14ac:dyDescent="0.25">
      <c r="A102" s="364"/>
      <c r="B102" s="364"/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</row>
    <row r="103" spans="1:26" ht="15.75" customHeight="1" x14ac:dyDescent="0.25">
      <c r="A103" s="364"/>
      <c r="B103" s="364"/>
      <c r="C103" s="364"/>
      <c r="D103" s="364"/>
      <c r="E103" s="364"/>
      <c r="F103" s="364"/>
      <c r="G103" s="364"/>
      <c r="H103" s="364"/>
      <c r="I103" s="364"/>
      <c r="J103" s="364"/>
      <c r="K103" s="364"/>
      <c r="L103" s="364"/>
      <c r="M103" s="364"/>
      <c r="N103" s="364"/>
      <c r="O103" s="364"/>
      <c r="P103" s="364"/>
      <c r="Q103" s="364"/>
      <c r="R103" s="364"/>
      <c r="S103" s="364"/>
      <c r="T103" s="364"/>
      <c r="U103" s="364"/>
      <c r="V103" s="364"/>
      <c r="W103" s="364"/>
      <c r="X103" s="364"/>
      <c r="Y103" s="364"/>
      <c r="Z103" s="364"/>
    </row>
    <row r="104" spans="1:26" ht="15.75" customHeight="1" x14ac:dyDescent="0.25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4"/>
      <c r="P104" s="364"/>
      <c r="Q104" s="364"/>
      <c r="R104" s="364"/>
      <c r="S104" s="364"/>
      <c r="T104" s="364"/>
      <c r="U104" s="364"/>
      <c r="V104" s="364"/>
      <c r="W104" s="364"/>
      <c r="X104" s="364"/>
      <c r="Y104" s="364"/>
      <c r="Z104" s="364"/>
    </row>
    <row r="105" spans="1:26" ht="15.75" customHeight="1" x14ac:dyDescent="0.25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4"/>
      <c r="P105" s="364"/>
      <c r="Q105" s="364"/>
      <c r="R105" s="364"/>
      <c r="S105" s="364"/>
      <c r="T105" s="364"/>
      <c r="U105" s="364"/>
      <c r="V105" s="364"/>
      <c r="W105" s="364"/>
      <c r="X105" s="364"/>
      <c r="Y105" s="364"/>
      <c r="Z105" s="364"/>
    </row>
    <row r="106" spans="1:26" ht="15.75" customHeight="1" x14ac:dyDescent="0.25">
      <c r="A106" s="364"/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4"/>
      <c r="Q106" s="364"/>
      <c r="R106" s="364"/>
      <c r="S106" s="364"/>
      <c r="T106" s="364"/>
      <c r="U106" s="364"/>
      <c r="V106" s="364"/>
      <c r="W106" s="364"/>
      <c r="X106" s="364"/>
      <c r="Y106" s="364"/>
      <c r="Z106" s="364"/>
    </row>
    <row r="107" spans="1:26" ht="15.75" customHeight="1" x14ac:dyDescent="0.25">
      <c r="A107" s="364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4"/>
      <c r="P107" s="364"/>
      <c r="Q107" s="364"/>
      <c r="R107" s="364"/>
      <c r="S107" s="364"/>
      <c r="T107" s="364"/>
      <c r="U107" s="364"/>
      <c r="V107" s="364"/>
      <c r="W107" s="364"/>
      <c r="X107" s="364"/>
      <c r="Y107" s="364"/>
      <c r="Z107" s="364"/>
    </row>
    <row r="108" spans="1:26" ht="15.75" customHeight="1" x14ac:dyDescent="0.25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4"/>
      <c r="P108" s="364"/>
      <c r="Q108" s="364"/>
      <c r="R108" s="364"/>
      <c r="S108" s="364"/>
      <c r="T108" s="364"/>
      <c r="U108" s="364"/>
      <c r="V108" s="364"/>
      <c r="W108" s="364"/>
      <c r="X108" s="364"/>
      <c r="Y108" s="364"/>
      <c r="Z108" s="364"/>
    </row>
    <row r="109" spans="1:26" ht="15.75" customHeight="1" x14ac:dyDescent="0.25">
      <c r="A109" s="364"/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</row>
    <row r="110" spans="1:26" ht="15.75" customHeight="1" x14ac:dyDescent="0.25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</row>
    <row r="111" spans="1:26" ht="15.75" customHeight="1" x14ac:dyDescent="0.25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4"/>
      <c r="P111" s="364"/>
      <c r="Q111" s="364"/>
      <c r="R111" s="364"/>
      <c r="S111" s="364"/>
      <c r="T111" s="364"/>
      <c r="U111" s="364"/>
      <c r="V111" s="364"/>
      <c r="W111" s="364"/>
      <c r="X111" s="364"/>
      <c r="Y111" s="364"/>
      <c r="Z111" s="364"/>
    </row>
    <row r="112" spans="1:26" ht="15.75" customHeight="1" x14ac:dyDescent="0.25">
      <c r="A112" s="364"/>
      <c r="B112" s="364"/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4"/>
      <c r="P112" s="364"/>
      <c r="Q112" s="364"/>
      <c r="R112" s="364"/>
      <c r="S112" s="364"/>
      <c r="T112" s="364"/>
      <c r="U112" s="364"/>
      <c r="V112" s="364"/>
      <c r="W112" s="364"/>
      <c r="X112" s="364"/>
      <c r="Y112" s="364"/>
      <c r="Z112" s="364"/>
    </row>
    <row r="113" spans="1:26" ht="15.75" customHeight="1" x14ac:dyDescent="0.25">
      <c r="A113" s="364"/>
      <c r="B113" s="364"/>
      <c r="C113" s="36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  <c r="O113" s="364"/>
      <c r="P113" s="364"/>
      <c r="Q113" s="364"/>
      <c r="R113" s="364"/>
      <c r="S113" s="364"/>
      <c r="T113" s="364"/>
      <c r="U113" s="364"/>
      <c r="V113" s="364"/>
      <c r="W113" s="364"/>
      <c r="X113" s="364"/>
      <c r="Y113" s="364"/>
      <c r="Z113" s="364"/>
    </row>
    <row r="114" spans="1:26" ht="15.75" customHeight="1" x14ac:dyDescent="0.25">
      <c r="A114" s="364"/>
      <c r="B114" s="364"/>
      <c r="C114" s="364"/>
      <c r="D114" s="364"/>
      <c r="E114" s="364"/>
      <c r="F114" s="364"/>
      <c r="G114" s="364"/>
      <c r="H114" s="364"/>
      <c r="I114" s="364"/>
      <c r="J114" s="364"/>
      <c r="K114" s="364"/>
      <c r="L114" s="364"/>
      <c r="M114" s="364"/>
      <c r="N114" s="364"/>
      <c r="O114" s="364"/>
      <c r="P114" s="364"/>
      <c r="Q114" s="364"/>
      <c r="R114" s="364"/>
      <c r="S114" s="364"/>
      <c r="T114" s="364"/>
      <c r="U114" s="364"/>
      <c r="V114" s="364"/>
      <c r="W114" s="364"/>
      <c r="X114" s="364"/>
      <c r="Y114" s="364"/>
      <c r="Z114" s="364"/>
    </row>
    <row r="115" spans="1:26" ht="15.75" customHeight="1" x14ac:dyDescent="0.25">
      <c r="A115" s="364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4"/>
      <c r="P115" s="364"/>
      <c r="Q115" s="364"/>
      <c r="R115" s="364"/>
      <c r="S115" s="364"/>
      <c r="T115" s="364"/>
      <c r="U115" s="364"/>
      <c r="V115" s="364"/>
      <c r="W115" s="364"/>
      <c r="X115" s="364"/>
      <c r="Y115" s="364"/>
      <c r="Z115" s="364"/>
    </row>
    <row r="116" spans="1:26" ht="15.75" customHeight="1" x14ac:dyDescent="0.25">
      <c r="A116" s="364"/>
      <c r="B116" s="364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4"/>
      <c r="P116" s="364"/>
      <c r="Q116" s="364"/>
      <c r="R116" s="364"/>
      <c r="S116" s="364"/>
      <c r="T116" s="364"/>
      <c r="U116" s="364"/>
      <c r="V116" s="364"/>
      <c r="W116" s="364"/>
      <c r="X116" s="364"/>
      <c r="Y116" s="364"/>
      <c r="Z116" s="364"/>
    </row>
    <row r="117" spans="1:26" ht="15.75" customHeight="1" x14ac:dyDescent="0.25">
      <c r="A117" s="364"/>
      <c r="B117" s="364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</row>
    <row r="118" spans="1:26" ht="15.75" customHeight="1" x14ac:dyDescent="0.25">
      <c r="A118" s="364"/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</row>
    <row r="119" spans="1:26" ht="15.75" customHeight="1" x14ac:dyDescent="0.25">
      <c r="A119" s="364"/>
      <c r="B119" s="364"/>
      <c r="C119" s="364"/>
      <c r="D119" s="364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4"/>
      <c r="U119" s="364"/>
      <c r="V119" s="364"/>
      <c r="W119" s="364"/>
      <c r="X119" s="364"/>
      <c r="Y119" s="364"/>
      <c r="Z119" s="364"/>
    </row>
    <row r="120" spans="1:26" ht="15.75" customHeight="1" x14ac:dyDescent="0.25">
      <c r="A120" s="364"/>
      <c r="B120" s="364"/>
      <c r="C120" s="364"/>
      <c r="D120" s="364"/>
      <c r="E120" s="364"/>
      <c r="F120" s="364"/>
      <c r="G120" s="364"/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4"/>
      <c r="U120" s="364"/>
      <c r="V120" s="364"/>
      <c r="W120" s="364"/>
      <c r="X120" s="364"/>
      <c r="Y120" s="364"/>
      <c r="Z120" s="364"/>
    </row>
    <row r="121" spans="1:26" ht="15.75" customHeight="1" x14ac:dyDescent="0.25">
      <c r="A121" s="364"/>
      <c r="B121" s="364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</row>
    <row r="122" spans="1:26" ht="15.75" customHeight="1" x14ac:dyDescent="0.25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4"/>
      <c r="S122" s="364"/>
      <c r="T122" s="364"/>
      <c r="U122" s="364"/>
      <c r="V122" s="364"/>
      <c r="W122" s="364"/>
      <c r="X122" s="364"/>
      <c r="Y122" s="364"/>
      <c r="Z122" s="364"/>
    </row>
    <row r="123" spans="1:26" ht="15.75" customHeight="1" x14ac:dyDescent="0.25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4"/>
      <c r="P123" s="364"/>
      <c r="Q123" s="364"/>
      <c r="R123" s="364"/>
      <c r="S123" s="364"/>
      <c r="T123" s="364"/>
      <c r="U123" s="364"/>
      <c r="V123" s="364"/>
      <c r="W123" s="364"/>
      <c r="X123" s="364"/>
      <c r="Y123" s="364"/>
      <c r="Z123" s="364"/>
    </row>
    <row r="124" spans="1:26" ht="15.75" customHeight="1" x14ac:dyDescent="0.25">
      <c r="A124" s="364"/>
      <c r="B124" s="364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4"/>
      <c r="P124" s="364"/>
      <c r="Q124" s="364"/>
      <c r="R124" s="364"/>
      <c r="S124" s="364"/>
      <c r="T124" s="364"/>
      <c r="U124" s="364"/>
      <c r="V124" s="364"/>
      <c r="W124" s="364"/>
      <c r="X124" s="364"/>
      <c r="Y124" s="364"/>
      <c r="Z124" s="364"/>
    </row>
    <row r="125" spans="1:26" ht="15.75" customHeight="1" x14ac:dyDescent="0.25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4"/>
      <c r="P125" s="364"/>
      <c r="Q125" s="364"/>
      <c r="R125" s="364"/>
      <c r="S125" s="364"/>
      <c r="T125" s="364"/>
      <c r="U125" s="364"/>
      <c r="V125" s="364"/>
      <c r="W125" s="364"/>
      <c r="X125" s="364"/>
      <c r="Y125" s="364"/>
      <c r="Z125" s="364"/>
    </row>
    <row r="126" spans="1:26" ht="15.75" customHeight="1" x14ac:dyDescent="0.25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</row>
    <row r="127" spans="1:26" ht="15.75" customHeight="1" x14ac:dyDescent="0.25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</row>
    <row r="128" spans="1:26" ht="15.75" customHeight="1" x14ac:dyDescent="0.25">
      <c r="A128" s="364"/>
      <c r="B128" s="364"/>
      <c r="C128" s="364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4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</row>
    <row r="129" spans="1:26" ht="15.75" customHeight="1" x14ac:dyDescent="0.25">
      <c r="A129" s="364"/>
      <c r="B129" s="364"/>
      <c r="C129" s="36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4"/>
      <c r="P129" s="364"/>
      <c r="Q129" s="364"/>
      <c r="R129" s="364"/>
      <c r="S129" s="364"/>
      <c r="T129" s="364"/>
      <c r="U129" s="364"/>
      <c r="V129" s="364"/>
      <c r="W129" s="364"/>
      <c r="X129" s="364"/>
      <c r="Y129" s="364"/>
      <c r="Z129" s="364"/>
    </row>
    <row r="130" spans="1:26" ht="15.75" customHeight="1" x14ac:dyDescent="0.25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</row>
    <row r="131" spans="1:26" ht="15.75" customHeight="1" x14ac:dyDescent="0.25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4"/>
      <c r="Q131" s="364"/>
      <c r="R131" s="364"/>
      <c r="S131" s="364"/>
      <c r="T131" s="364"/>
      <c r="U131" s="364"/>
      <c r="V131" s="364"/>
      <c r="W131" s="364"/>
      <c r="X131" s="364"/>
      <c r="Y131" s="364"/>
      <c r="Z131" s="364"/>
    </row>
    <row r="132" spans="1:26" ht="15.75" customHeight="1" x14ac:dyDescent="0.25">
      <c r="A132" s="364"/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</row>
    <row r="133" spans="1:26" ht="15.75" customHeight="1" x14ac:dyDescent="0.25">
      <c r="A133" s="364"/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</row>
    <row r="134" spans="1:26" ht="15.75" customHeight="1" x14ac:dyDescent="0.25">
      <c r="A134" s="364"/>
      <c r="B134" s="364"/>
      <c r="C134" s="364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4"/>
      <c r="O134" s="364"/>
      <c r="P134" s="364"/>
      <c r="Q134" s="364"/>
      <c r="R134" s="364"/>
      <c r="S134" s="364"/>
      <c r="T134" s="364"/>
      <c r="U134" s="364"/>
      <c r="V134" s="364"/>
      <c r="W134" s="364"/>
      <c r="X134" s="364"/>
      <c r="Y134" s="364"/>
      <c r="Z134" s="364"/>
    </row>
    <row r="135" spans="1:26" ht="15.75" customHeight="1" x14ac:dyDescent="0.25">
      <c r="A135" s="364"/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4"/>
      <c r="P135" s="364"/>
      <c r="Q135" s="364"/>
      <c r="R135" s="364"/>
      <c r="S135" s="364"/>
      <c r="T135" s="364"/>
      <c r="U135" s="364"/>
      <c r="V135" s="364"/>
      <c r="W135" s="364"/>
      <c r="X135" s="364"/>
      <c r="Y135" s="364"/>
      <c r="Z135" s="364"/>
    </row>
    <row r="136" spans="1:26" ht="15.75" customHeight="1" x14ac:dyDescent="0.25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64"/>
      <c r="S136" s="364"/>
      <c r="T136" s="364"/>
      <c r="U136" s="364"/>
      <c r="V136" s="364"/>
      <c r="W136" s="364"/>
      <c r="X136" s="364"/>
      <c r="Y136" s="364"/>
      <c r="Z136" s="364"/>
    </row>
    <row r="137" spans="1:26" ht="15.75" customHeight="1" x14ac:dyDescent="0.25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4"/>
      <c r="Q137" s="364"/>
      <c r="R137" s="364"/>
      <c r="S137" s="364"/>
      <c r="T137" s="364"/>
      <c r="U137" s="364"/>
      <c r="V137" s="364"/>
      <c r="W137" s="364"/>
      <c r="X137" s="364"/>
      <c r="Y137" s="364"/>
      <c r="Z137" s="364"/>
    </row>
    <row r="138" spans="1:26" ht="15.75" customHeight="1" x14ac:dyDescent="0.25">
      <c r="A138" s="364"/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</row>
    <row r="139" spans="1:26" ht="15.75" customHeight="1" x14ac:dyDescent="0.25">
      <c r="A139" s="364"/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</row>
    <row r="140" spans="1:26" ht="15.75" customHeight="1" x14ac:dyDescent="0.25">
      <c r="A140" s="364"/>
      <c r="B140" s="364"/>
      <c r="C140" s="364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4"/>
      <c r="O140" s="364"/>
      <c r="P140" s="364"/>
      <c r="Q140" s="364"/>
      <c r="R140" s="364"/>
      <c r="S140" s="364"/>
      <c r="T140" s="364"/>
      <c r="U140" s="364"/>
      <c r="V140" s="364"/>
      <c r="W140" s="364"/>
      <c r="X140" s="364"/>
      <c r="Y140" s="364"/>
      <c r="Z140" s="364"/>
    </row>
    <row r="141" spans="1:26" ht="15.75" customHeight="1" x14ac:dyDescent="0.25">
      <c r="A141" s="364"/>
      <c r="B141" s="364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</row>
    <row r="142" spans="1:26" ht="15.75" customHeight="1" x14ac:dyDescent="0.25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4"/>
      <c r="P142" s="364"/>
      <c r="Q142" s="364"/>
      <c r="R142" s="364"/>
      <c r="S142" s="364"/>
      <c r="T142" s="364"/>
      <c r="U142" s="364"/>
      <c r="V142" s="364"/>
      <c r="W142" s="364"/>
      <c r="X142" s="364"/>
      <c r="Y142" s="364"/>
      <c r="Z142" s="364"/>
    </row>
    <row r="143" spans="1:26" ht="15.75" customHeight="1" x14ac:dyDescent="0.25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4"/>
      <c r="P143" s="364"/>
      <c r="Q143" s="364"/>
      <c r="R143" s="364"/>
      <c r="S143" s="364"/>
      <c r="T143" s="364"/>
      <c r="U143" s="364"/>
      <c r="V143" s="364"/>
      <c r="W143" s="364"/>
      <c r="X143" s="364"/>
      <c r="Y143" s="364"/>
      <c r="Z143" s="364"/>
    </row>
    <row r="144" spans="1:26" ht="15.75" customHeight="1" x14ac:dyDescent="0.25">
      <c r="A144" s="364"/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</row>
    <row r="145" spans="1:26" ht="15.75" customHeight="1" x14ac:dyDescent="0.25">
      <c r="A145" s="364"/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</row>
    <row r="146" spans="1:26" ht="15.75" customHeight="1" x14ac:dyDescent="0.25">
      <c r="A146" s="364"/>
      <c r="B146" s="364"/>
      <c r="C146" s="364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  <c r="N146" s="364"/>
      <c r="O146" s="364"/>
      <c r="P146" s="364"/>
      <c r="Q146" s="364"/>
      <c r="R146" s="364"/>
      <c r="S146" s="364"/>
      <c r="T146" s="364"/>
      <c r="U146" s="364"/>
      <c r="V146" s="364"/>
      <c r="W146" s="364"/>
      <c r="X146" s="364"/>
      <c r="Y146" s="364"/>
      <c r="Z146" s="364"/>
    </row>
    <row r="147" spans="1:26" ht="15.75" customHeight="1" x14ac:dyDescent="0.25">
      <c r="A147" s="364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4"/>
      <c r="P147" s="364"/>
      <c r="Q147" s="364"/>
      <c r="R147" s="364"/>
      <c r="S147" s="364"/>
      <c r="T147" s="364"/>
      <c r="U147" s="364"/>
      <c r="V147" s="364"/>
      <c r="W147" s="364"/>
      <c r="X147" s="364"/>
      <c r="Y147" s="364"/>
      <c r="Z147" s="364"/>
    </row>
    <row r="148" spans="1:26" ht="15.75" customHeight="1" x14ac:dyDescent="0.25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4"/>
      <c r="P148" s="364"/>
      <c r="Q148" s="364"/>
      <c r="R148" s="364"/>
      <c r="S148" s="364"/>
      <c r="T148" s="364"/>
      <c r="U148" s="364"/>
      <c r="V148" s="364"/>
      <c r="W148" s="364"/>
      <c r="X148" s="364"/>
      <c r="Y148" s="364"/>
      <c r="Z148" s="364"/>
    </row>
    <row r="149" spans="1:26" ht="15.75" customHeight="1" x14ac:dyDescent="0.25">
      <c r="A149" s="364"/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</row>
    <row r="150" spans="1:26" ht="15.75" customHeight="1" x14ac:dyDescent="0.25">
      <c r="A150" s="364"/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</row>
    <row r="151" spans="1:26" ht="15.75" customHeight="1" x14ac:dyDescent="0.25">
      <c r="A151" s="364"/>
      <c r="B151" s="364"/>
      <c r="C151" s="364"/>
      <c r="D151" s="364"/>
      <c r="E151" s="364"/>
      <c r="F151" s="364"/>
      <c r="G151" s="364"/>
      <c r="H151" s="364"/>
      <c r="I151" s="364"/>
      <c r="J151" s="364"/>
      <c r="K151" s="364"/>
      <c r="L151" s="364"/>
      <c r="M151" s="364"/>
      <c r="N151" s="364"/>
      <c r="O151" s="364"/>
      <c r="P151" s="364"/>
      <c r="Q151" s="364"/>
      <c r="R151" s="364"/>
      <c r="S151" s="364"/>
      <c r="T151" s="364"/>
      <c r="U151" s="364"/>
      <c r="V151" s="364"/>
      <c r="W151" s="364"/>
      <c r="X151" s="364"/>
      <c r="Y151" s="364"/>
      <c r="Z151" s="364"/>
    </row>
    <row r="152" spans="1:26" ht="15.75" customHeight="1" x14ac:dyDescent="0.25">
      <c r="A152" s="364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4"/>
      <c r="P152" s="364"/>
      <c r="Q152" s="364"/>
      <c r="R152" s="364"/>
      <c r="S152" s="364"/>
      <c r="T152" s="364"/>
      <c r="U152" s="364"/>
      <c r="V152" s="364"/>
      <c r="W152" s="364"/>
      <c r="X152" s="364"/>
      <c r="Y152" s="364"/>
      <c r="Z152" s="364"/>
    </row>
    <row r="153" spans="1:26" ht="15.75" customHeight="1" x14ac:dyDescent="0.25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4"/>
      <c r="P153" s="364"/>
      <c r="Q153" s="364"/>
      <c r="R153" s="364"/>
      <c r="S153" s="364"/>
      <c r="T153" s="364"/>
      <c r="U153" s="364"/>
      <c r="V153" s="364"/>
      <c r="W153" s="364"/>
      <c r="X153" s="364"/>
      <c r="Y153" s="364"/>
      <c r="Z153" s="364"/>
    </row>
    <row r="154" spans="1:26" ht="15.75" customHeight="1" x14ac:dyDescent="0.25">
      <c r="A154" s="364"/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</row>
    <row r="155" spans="1:26" ht="15.75" customHeight="1" x14ac:dyDescent="0.25">
      <c r="A155" s="364"/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</row>
    <row r="156" spans="1:26" ht="15.75" customHeight="1" x14ac:dyDescent="0.25">
      <c r="A156" s="364"/>
      <c r="B156" s="364"/>
      <c r="C156" s="364"/>
      <c r="D156" s="364"/>
      <c r="E156" s="364"/>
      <c r="F156" s="364"/>
      <c r="G156" s="364"/>
      <c r="H156" s="364"/>
      <c r="I156" s="364"/>
      <c r="J156" s="364"/>
      <c r="K156" s="364"/>
      <c r="L156" s="364"/>
      <c r="M156" s="364"/>
      <c r="N156" s="364"/>
      <c r="O156" s="364"/>
      <c r="P156" s="364"/>
      <c r="Q156" s="364"/>
      <c r="R156" s="364"/>
      <c r="S156" s="364"/>
      <c r="T156" s="364"/>
      <c r="U156" s="364"/>
      <c r="V156" s="364"/>
      <c r="W156" s="364"/>
      <c r="X156" s="364"/>
      <c r="Y156" s="364"/>
      <c r="Z156" s="364"/>
    </row>
    <row r="157" spans="1:26" ht="15.75" customHeight="1" x14ac:dyDescent="0.25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4"/>
      <c r="P157" s="364"/>
      <c r="Q157" s="364"/>
      <c r="R157" s="364"/>
      <c r="S157" s="364"/>
      <c r="T157" s="364"/>
      <c r="U157" s="364"/>
      <c r="V157" s="364"/>
      <c r="W157" s="364"/>
      <c r="X157" s="364"/>
      <c r="Y157" s="364"/>
      <c r="Z157" s="364"/>
    </row>
    <row r="158" spans="1:26" ht="15.75" customHeight="1" x14ac:dyDescent="0.25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4"/>
      <c r="P158" s="364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</row>
    <row r="159" spans="1:26" ht="15.75" customHeight="1" x14ac:dyDescent="0.25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4"/>
      <c r="P159" s="364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</row>
    <row r="160" spans="1:26" ht="15.75" customHeight="1" x14ac:dyDescent="0.25">
      <c r="A160" s="364"/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</row>
    <row r="161" spans="1:26" ht="15.75" customHeight="1" x14ac:dyDescent="0.25">
      <c r="A161" s="364"/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</row>
    <row r="162" spans="1:26" ht="15.75" customHeight="1" x14ac:dyDescent="0.25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4"/>
      <c r="P162" s="364"/>
      <c r="Q162" s="364"/>
      <c r="R162" s="364"/>
      <c r="S162" s="364"/>
      <c r="T162" s="364"/>
      <c r="U162" s="364"/>
      <c r="V162" s="364"/>
      <c r="W162" s="364"/>
      <c r="X162" s="364"/>
      <c r="Y162" s="364"/>
      <c r="Z162" s="364"/>
    </row>
    <row r="163" spans="1:26" ht="15.75" customHeight="1" x14ac:dyDescent="0.25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</row>
    <row r="164" spans="1:26" ht="15.75" customHeight="1" x14ac:dyDescent="0.25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4"/>
      <c r="P164" s="364"/>
      <c r="Q164" s="364"/>
      <c r="R164" s="364"/>
      <c r="S164" s="364"/>
      <c r="T164" s="364"/>
      <c r="U164" s="364"/>
      <c r="V164" s="364"/>
      <c r="W164" s="364"/>
      <c r="X164" s="364"/>
      <c r="Y164" s="364"/>
      <c r="Z164" s="364"/>
    </row>
    <row r="165" spans="1:26" ht="15.75" customHeight="1" x14ac:dyDescent="0.25">
      <c r="A165" s="364"/>
      <c r="B165" s="364"/>
      <c r="C165" s="364"/>
      <c r="D165" s="364"/>
      <c r="E165" s="364"/>
      <c r="F165" s="364"/>
      <c r="G165" s="364"/>
      <c r="H165" s="364"/>
      <c r="I165" s="364"/>
      <c r="J165" s="364"/>
      <c r="K165" s="364"/>
      <c r="L165" s="364"/>
      <c r="M165" s="364"/>
      <c r="N165" s="364"/>
      <c r="O165" s="364"/>
      <c r="P165" s="364"/>
      <c r="Q165" s="364"/>
      <c r="R165" s="364"/>
      <c r="S165" s="364"/>
      <c r="T165" s="364"/>
      <c r="U165" s="364"/>
      <c r="V165" s="364"/>
      <c r="W165" s="364"/>
      <c r="X165" s="364"/>
      <c r="Y165" s="364"/>
      <c r="Z165" s="364"/>
    </row>
    <row r="166" spans="1:26" ht="15.75" customHeight="1" x14ac:dyDescent="0.25">
      <c r="A166" s="364"/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</row>
    <row r="167" spans="1:26" ht="15.75" customHeight="1" x14ac:dyDescent="0.25">
      <c r="A167" s="364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</row>
    <row r="168" spans="1:26" ht="15.75" customHeight="1" x14ac:dyDescent="0.25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4"/>
      <c r="P168" s="364"/>
      <c r="Q168" s="364"/>
      <c r="R168" s="364"/>
      <c r="S168" s="364"/>
      <c r="T168" s="364"/>
      <c r="U168" s="364"/>
      <c r="V168" s="364"/>
      <c r="W168" s="364"/>
      <c r="X168" s="364"/>
      <c r="Y168" s="364"/>
      <c r="Z168" s="364"/>
    </row>
    <row r="169" spans="1:26" ht="15.75" customHeight="1" x14ac:dyDescent="0.25">
      <c r="A169" s="364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4"/>
      <c r="P169" s="364"/>
      <c r="Q169" s="364"/>
      <c r="R169" s="364"/>
      <c r="S169" s="364"/>
      <c r="T169" s="364"/>
      <c r="U169" s="364"/>
      <c r="V169" s="364"/>
      <c r="W169" s="364"/>
      <c r="X169" s="364"/>
      <c r="Y169" s="364"/>
      <c r="Z169" s="364"/>
    </row>
    <row r="170" spans="1:26" ht="15.75" customHeight="1" x14ac:dyDescent="0.25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4"/>
      <c r="P170" s="364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</row>
    <row r="171" spans="1:26" ht="15.75" customHeight="1" x14ac:dyDescent="0.25">
      <c r="A171" s="364"/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</row>
    <row r="172" spans="1:26" ht="15.75" customHeight="1" x14ac:dyDescent="0.25">
      <c r="A172" s="364"/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</row>
    <row r="173" spans="1:26" ht="15.75" customHeight="1" x14ac:dyDescent="0.25">
      <c r="A173" s="364"/>
      <c r="B173" s="364"/>
      <c r="C173" s="364"/>
      <c r="D173" s="364"/>
      <c r="E173" s="364"/>
      <c r="F173" s="364"/>
      <c r="G173" s="364"/>
      <c r="H173" s="364"/>
      <c r="I173" s="364"/>
      <c r="J173" s="364"/>
      <c r="K173" s="364"/>
      <c r="L173" s="364"/>
      <c r="M173" s="364"/>
      <c r="N173" s="364"/>
      <c r="O173" s="364"/>
      <c r="P173" s="364"/>
      <c r="Q173" s="364"/>
      <c r="R173" s="364"/>
      <c r="S173" s="364"/>
      <c r="T173" s="364"/>
      <c r="U173" s="364"/>
      <c r="V173" s="364"/>
      <c r="W173" s="364"/>
      <c r="X173" s="364"/>
      <c r="Y173" s="364"/>
      <c r="Z173" s="364"/>
    </row>
    <row r="174" spans="1:26" ht="15.75" customHeight="1" x14ac:dyDescent="0.25">
      <c r="A174" s="364"/>
      <c r="B174" s="364"/>
      <c r="C174" s="364"/>
      <c r="D174" s="364"/>
      <c r="E174" s="364"/>
      <c r="F174" s="364"/>
      <c r="G174" s="364"/>
      <c r="H174" s="364"/>
      <c r="I174" s="364"/>
      <c r="J174" s="364"/>
      <c r="K174" s="364"/>
      <c r="L174" s="364"/>
      <c r="M174" s="364"/>
      <c r="N174" s="364"/>
      <c r="O174" s="364"/>
      <c r="P174" s="364"/>
      <c r="Q174" s="364"/>
      <c r="R174" s="364"/>
      <c r="S174" s="364"/>
      <c r="T174" s="364"/>
      <c r="U174" s="364"/>
      <c r="V174" s="364"/>
      <c r="W174" s="364"/>
      <c r="X174" s="364"/>
      <c r="Y174" s="364"/>
      <c r="Z174" s="364"/>
    </row>
    <row r="175" spans="1:26" ht="15.75" customHeight="1" x14ac:dyDescent="0.25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</row>
    <row r="176" spans="1:26" ht="15.75" customHeight="1" x14ac:dyDescent="0.25">
      <c r="A176" s="364"/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4"/>
      <c r="P176" s="364"/>
      <c r="Q176" s="364"/>
      <c r="R176" s="364"/>
      <c r="S176" s="364"/>
      <c r="T176" s="364"/>
      <c r="U176" s="364"/>
      <c r="V176" s="364"/>
      <c r="W176" s="364"/>
      <c r="X176" s="364"/>
      <c r="Y176" s="364"/>
      <c r="Z176" s="364"/>
    </row>
    <row r="177" spans="1:26" ht="15.75" customHeight="1" x14ac:dyDescent="0.25">
      <c r="A177" s="364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4"/>
      <c r="P177" s="364"/>
      <c r="Q177" s="364"/>
      <c r="R177" s="364"/>
      <c r="S177" s="364"/>
      <c r="T177" s="364"/>
      <c r="U177" s="364"/>
      <c r="V177" s="364"/>
      <c r="W177" s="364"/>
      <c r="X177" s="364"/>
      <c r="Y177" s="364"/>
      <c r="Z177" s="364"/>
    </row>
    <row r="178" spans="1:26" ht="15.75" customHeight="1" x14ac:dyDescent="0.25">
      <c r="A178" s="364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4"/>
      <c r="P178" s="364"/>
      <c r="Q178" s="364"/>
      <c r="R178" s="364"/>
      <c r="S178" s="364"/>
      <c r="T178" s="364"/>
      <c r="U178" s="364"/>
      <c r="V178" s="364"/>
      <c r="W178" s="364"/>
      <c r="X178" s="364"/>
      <c r="Y178" s="364"/>
      <c r="Z178" s="364"/>
    </row>
    <row r="179" spans="1:26" ht="15.75" customHeight="1" x14ac:dyDescent="0.25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</row>
    <row r="180" spans="1:26" ht="15.75" customHeight="1" x14ac:dyDescent="0.25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4"/>
      <c r="P180" s="364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</row>
    <row r="181" spans="1:26" ht="15.75" customHeight="1" x14ac:dyDescent="0.25">
      <c r="A181" s="364"/>
      <c r="B181" s="364"/>
      <c r="C181" s="364"/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4"/>
      <c r="P181" s="364"/>
      <c r="Q181" s="364"/>
      <c r="R181" s="364"/>
      <c r="S181" s="364"/>
      <c r="T181" s="364"/>
      <c r="U181" s="364"/>
      <c r="V181" s="364"/>
      <c r="W181" s="364"/>
      <c r="X181" s="364"/>
      <c r="Y181" s="364"/>
      <c r="Z181" s="364"/>
    </row>
    <row r="182" spans="1:26" ht="15.75" customHeight="1" x14ac:dyDescent="0.25">
      <c r="A182" s="364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4"/>
      <c r="P182" s="364"/>
      <c r="Q182" s="364"/>
      <c r="R182" s="364"/>
      <c r="S182" s="364"/>
      <c r="T182" s="364"/>
      <c r="U182" s="364"/>
      <c r="V182" s="364"/>
      <c r="W182" s="364"/>
      <c r="X182" s="364"/>
      <c r="Y182" s="364"/>
      <c r="Z182" s="364"/>
    </row>
    <row r="183" spans="1:26" ht="15.75" customHeight="1" x14ac:dyDescent="0.25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4"/>
      <c r="P183" s="364"/>
      <c r="Q183" s="364"/>
      <c r="R183" s="364"/>
      <c r="S183" s="364"/>
      <c r="T183" s="364"/>
      <c r="U183" s="364"/>
      <c r="V183" s="364"/>
      <c r="W183" s="364"/>
      <c r="X183" s="364"/>
      <c r="Y183" s="364"/>
      <c r="Z183" s="364"/>
    </row>
    <row r="184" spans="1:26" ht="15.75" customHeight="1" x14ac:dyDescent="0.25">
      <c r="A184" s="364"/>
      <c r="B184" s="364"/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64"/>
      <c r="P184" s="364"/>
      <c r="Q184" s="364"/>
      <c r="R184" s="364"/>
      <c r="S184" s="364"/>
      <c r="T184" s="364"/>
      <c r="U184" s="364"/>
      <c r="V184" s="364"/>
      <c r="W184" s="364"/>
      <c r="X184" s="364"/>
      <c r="Y184" s="364"/>
      <c r="Z184" s="364"/>
    </row>
    <row r="185" spans="1:26" ht="15.75" customHeight="1" x14ac:dyDescent="0.25">
      <c r="A185" s="364"/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</row>
    <row r="186" spans="1:26" ht="15.75" customHeight="1" x14ac:dyDescent="0.25">
      <c r="A186" s="364"/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</row>
    <row r="187" spans="1:26" ht="15.75" customHeight="1" x14ac:dyDescent="0.25">
      <c r="A187" s="364"/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</row>
    <row r="188" spans="1:26" ht="15.75" customHeight="1" x14ac:dyDescent="0.25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4"/>
      <c r="P188" s="364"/>
      <c r="Q188" s="364"/>
      <c r="R188" s="364"/>
      <c r="S188" s="364"/>
      <c r="T188" s="364"/>
      <c r="U188" s="364"/>
      <c r="V188" s="364"/>
      <c r="W188" s="364"/>
      <c r="X188" s="364"/>
      <c r="Y188" s="364"/>
      <c r="Z188" s="364"/>
    </row>
    <row r="189" spans="1:26" ht="15.75" customHeight="1" x14ac:dyDescent="0.25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4"/>
      <c r="P189" s="364"/>
      <c r="Q189" s="364"/>
      <c r="R189" s="364"/>
      <c r="S189" s="364"/>
      <c r="T189" s="364"/>
      <c r="U189" s="364"/>
      <c r="V189" s="364"/>
      <c r="W189" s="364"/>
      <c r="X189" s="364"/>
      <c r="Y189" s="364"/>
      <c r="Z189" s="364"/>
    </row>
    <row r="190" spans="1:26" ht="15.75" customHeight="1" x14ac:dyDescent="0.25">
      <c r="A190" s="364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4"/>
      <c r="P190" s="364"/>
      <c r="Q190" s="364"/>
      <c r="R190" s="364"/>
      <c r="S190" s="364"/>
      <c r="T190" s="364"/>
      <c r="U190" s="364"/>
      <c r="V190" s="364"/>
      <c r="W190" s="364"/>
      <c r="X190" s="364"/>
      <c r="Y190" s="364"/>
      <c r="Z190" s="364"/>
    </row>
    <row r="191" spans="1:26" ht="15.75" customHeight="1" x14ac:dyDescent="0.25">
      <c r="A191" s="364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4"/>
      <c r="P191" s="364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</row>
    <row r="192" spans="1:26" ht="15.75" customHeight="1" x14ac:dyDescent="0.25">
      <c r="A192" s="364"/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</row>
    <row r="193" spans="1:26" ht="15.75" customHeight="1" x14ac:dyDescent="0.25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4"/>
      <c r="P193" s="364"/>
      <c r="Q193" s="364"/>
      <c r="R193" s="364"/>
      <c r="S193" s="364"/>
      <c r="T193" s="364"/>
      <c r="U193" s="364"/>
      <c r="V193" s="364"/>
      <c r="W193" s="364"/>
      <c r="X193" s="364"/>
      <c r="Y193" s="364"/>
      <c r="Z193" s="364"/>
    </row>
    <row r="194" spans="1:26" ht="15.75" customHeight="1" x14ac:dyDescent="0.25">
      <c r="A194" s="364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4"/>
      <c r="P194" s="364"/>
      <c r="Q194" s="364"/>
      <c r="R194" s="364"/>
      <c r="S194" s="364"/>
      <c r="T194" s="364"/>
      <c r="U194" s="364"/>
      <c r="V194" s="364"/>
      <c r="W194" s="364"/>
      <c r="X194" s="364"/>
      <c r="Y194" s="364"/>
      <c r="Z194" s="364"/>
    </row>
    <row r="195" spans="1:26" ht="15.75" customHeight="1" x14ac:dyDescent="0.25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4"/>
      <c r="P195" s="364"/>
      <c r="Q195" s="364"/>
      <c r="R195" s="364"/>
      <c r="S195" s="364"/>
      <c r="T195" s="364"/>
      <c r="U195" s="364"/>
      <c r="V195" s="364"/>
      <c r="W195" s="364"/>
      <c r="X195" s="364"/>
      <c r="Y195" s="364"/>
      <c r="Z195" s="364"/>
    </row>
    <row r="196" spans="1:26" ht="15.75" customHeight="1" x14ac:dyDescent="0.25">
      <c r="A196" s="364"/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</row>
    <row r="197" spans="1:26" ht="15.75" customHeight="1" x14ac:dyDescent="0.25">
      <c r="A197" s="364"/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</row>
    <row r="198" spans="1:26" ht="15.75" customHeight="1" x14ac:dyDescent="0.25">
      <c r="A198" s="364"/>
      <c r="B198" s="364"/>
      <c r="C198" s="364"/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4"/>
      <c r="P198" s="364"/>
      <c r="Q198" s="364"/>
      <c r="R198" s="364"/>
      <c r="S198" s="364"/>
      <c r="T198" s="364"/>
      <c r="U198" s="364"/>
      <c r="V198" s="364"/>
      <c r="W198" s="364"/>
      <c r="X198" s="364"/>
      <c r="Y198" s="364"/>
      <c r="Z198" s="364"/>
    </row>
    <row r="199" spans="1:26" ht="15.75" customHeight="1" x14ac:dyDescent="0.25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4"/>
      <c r="P199" s="364"/>
      <c r="Q199" s="364"/>
      <c r="R199" s="364"/>
      <c r="S199" s="364"/>
      <c r="T199" s="364"/>
      <c r="U199" s="364"/>
      <c r="V199" s="364"/>
      <c r="W199" s="364"/>
      <c r="X199" s="364"/>
      <c r="Y199" s="364"/>
      <c r="Z199" s="364"/>
    </row>
    <row r="200" spans="1:26" ht="15.75" customHeight="1" x14ac:dyDescent="0.25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4"/>
      <c r="P200" s="364"/>
      <c r="Q200" s="364"/>
      <c r="R200" s="364"/>
      <c r="S200" s="364"/>
      <c r="T200" s="364"/>
      <c r="U200" s="364"/>
      <c r="V200" s="364"/>
      <c r="W200" s="364"/>
      <c r="X200" s="364"/>
      <c r="Y200" s="364"/>
      <c r="Z200" s="364"/>
    </row>
    <row r="201" spans="1:26" ht="15.75" customHeight="1" x14ac:dyDescent="0.25">
      <c r="A201" s="364"/>
      <c r="B201" s="364"/>
      <c r="C201" s="364"/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64"/>
      <c r="P201" s="364"/>
      <c r="Q201" s="364"/>
      <c r="R201" s="364"/>
      <c r="S201" s="364"/>
      <c r="T201" s="364"/>
      <c r="U201" s="364"/>
      <c r="V201" s="364"/>
      <c r="W201" s="364"/>
      <c r="X201" s="364"/>
      <c r="Y201" s="364"/>
      <c r="Z201" s="364"/>
    </row>
    <row r="202" spans="1:26" ht="15.75" customHeight="1" x14ac:dyDescent="0.25">
      <c r="A202" s="364"/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</row>
    <row r="203" spans="1:26" ht="15.75" customHeight="1" x14ac:dyDescent="0.25">
      <c r="A203" s="364"/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</row>
    <row r="204" spans="1:26" ht="15.75" customHeight="1" x14ac:dyDescent="0.25">
      <c r="A204" s="364"/>
      <c r="B204" s="364"/>
      <c r="C204" s="364"/>
      <c r="D204" s="364"/>
      <c r="E204" s="364"/>
      <c r="F204" s="364"/>
      <c r="G204" s="364"/>
      <c r="H204" s="364"/>
      <c r="I204" s="364"/>
      <c r="J204" s="364"/>
      <c r="K204" s="364"/>
      <c r="L204" s="364"/>
      <c r="M204" s="364"/>
      <c r="N204" s="364"/>
      <c r="O204" s="364"/>
      <c r="P204" s="364"/>
      <c r="Q204" s="364"/>
      <c r="R204" s="364"/>
      <c r="S204" s="364"/>
      <c r="T204" s="364"/>
      <c r="U204" s="364"/>
      <c r="V204" s="364"/>
      <c r="W204" s="364"/>
      <c r="X204" s="364"/>
      <c r="Y204" s="364"/>
      <c r="Z204" s="364"/>
    </row>
    <row r="205" spans="1:26" ht="15.75" customHeight="1" x14ac:dyDescent="0.25">
      <c r="A205" s="364"/>
      <c r="B205" s="364"/>
      <c r="C205" s="364"/>
      <c r="D205" s="364"/>
      <c r="E205" s="364"/>
      <c r="F205" s="364"/>
      <c r="G205" s="364"/>
      <c r="H205" s="364"/>
      <c r="I205" s="364"/>
      <c r="J205" s="364"/>
      <c r="K205" s="364"/>
      <c r="L205" s="364"/>
      <c r="M205" s="364"/>
      <c r="N205" s="364"/>
      <c r="O205" s="364"/>
      <c r="P205" s="364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</row>
    <row r="206" spans="1:26" ht="15.75" customHeight="1" x14ac:dyDescent="0.25">
      <c r="A206" s="364"/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4"/>
      <c r="P206" s="364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</row>
    <row r="207" spans="1:26" ht="15.75" customHeight="1" x14ac:dyDescent="0.25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4"/>
      <c r="P207" s="364"/>
      <c r="Q207" s="364"/>
      <c r="R207" s="364"/>
      <c r="S207" s="364"/>
      <c r="T207" s="364"/>
      <c r="U207" s="364"/>
      <c r="V207" s="364"/>
      <c r="W207" s="364"/>
      <c r="X207" s="364"/>
      <c r="Y207" s="364"/>
      <c r="Z207" s="364"/>
    </row>
    <row r="208" spans="1:26" ht="15.75" customHeight="1" x14ac:dyDescent="0.25">
      <c r="A208" s="364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4"/>
      <c r="P208" s="364"/>
      <c r="Q208" s="364"/>
      <c r="R208" s="364"/>
      <c r="S208" s="364"/>
      <c r="T208" s="364"/>
      <c r="U208" s="364"/>
      <c r="V208" s="364"/>
      <c r="W208" s="364"/>
      <c r="X208" s="364"/>
      <c r="Y208" s="364"/>
      <c r="Z208" s="364"/>
    </row>
    <row r="209" spans="1:26" ht="15.75" customHeight="1" x14ac:dyDescent="0.25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4"/>
      <c r="P209" s="364"/>
      <c r="Q209" s="364"/>
      <c r="R209" s="364"/>
      <c r="S209" s="364"/>
      <c r="T209" s="364"/>
      <c r="U209" s="364"/>
      <c r="V209" s="364"/>
      <c r="W209" s="364"/>
      <c r="X209" s="364"/>
      <c r="Y209" s="364"/>
      <c r="Z209" s="364"/>
    </row>
    <row r="210" spans="1:26" ht="15.75" customHeight="1" x14ac:dyDescent="0.25">
      <c r="A210" s="364"/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</row>
    <row r="211" spans="1:26" ht="15.75" customHeight="1" x14ac:dyDescent="0.25">
      <c r="A211" s="364"/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</row>
    <row r="212" spans="1:26" ht="15.75" customHeight="1" x14ac:dyDescent="0.25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4"/>
      <c r="P212" s="364"/>
      <c r="Q212" s="364"/>
      <c r="R212" s="364"/>
      <c r="S212" s="364"/>
      <c r="T212" s="364"/>
      <c r="U212" s="364"/>
      <c r="V212" s="364"/>
      <c r="W212" s="364"/>
      <c r="X212" s="364"/>
      <c r="Y212" s="364"/>
      <c r="Z212" s="364"/>
    </row>
    <row r="213" spans="1:26" ht="15.75" customHeight="1" x14ac:dyDescent="0.25">
      <c r="A213" s="364"/>
      <c r="B213" s="364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4"/>
      <c r="P213" s="364"/>
      <c r="Q213" s="364"/>
      <c r="R213" s="364"/>
      <c r="S213" s="364"/>
      <c r="T213" s="364"/>
      <c r="U213" s="364"/>
      <c r="V213" s="364"/>
      <c r="W213" s="364"/>
      <c r="X213" s="364"/>
      <c r="Y213" s="364"/>
      <c r="Z213" s="364"/>
    </row>
    <row r="214" spans="1:26" ht="15.75" customHeight="1" x14ac:dyDescent="0.25">
      <c r="A214" s="364"/>
      <c r="B214" s="364"/>
      <c r="C214" s="364"/>
      <c r="D214" s="364"/>
      <c r="E214" s="364"/>
      <c r="F214" s="364"/>
      <c r="G214" s="364"/>
      <c r="H214" s="364"/>
      <c r="I214" s="364"/>
      <c r="J214" s="364"/>
      <c r="K214" s="364"/>
      <c r="L214" s="364"/>
      <c r="M214" s="364"/>
      <c r="N214" s="364"/>
      <c r="O214" s="364"/>
      <c r="P214" s="364"/>
      <c r="Q214" s="364"/>
      <c r="R214" s="364"/>
      <c r="S214" s="364"/>
      <c r="T214" s="364"/>
      <c r="U214" s="364"/>
      <c r="V214" s="364"/>
      <c r="W214" s="364"/>
      <c r="X214" s="364"/>
      <c r="Y214" s="364"/>
      <c r="Z214" s="364"/>
    </row>
    <row r="215" spans="1:26" ht="15.75" customHeight="1" x14ac:dyDescent="0.25">
      <c r="A215" s="364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</row>
    <row r="216" spans="1:26" ht="15.75" customHeight="1" x14ac:dyDescent="0.25">
      <c r="A216" s="364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4"/>
      <c r="R216" s="364"/>
      <c r="S216" s="364"/>
      <c r="T216" s="364"/>
      <c r="U216" s="364"/>
      <c r="V216" s="364"/>
      <c r="W216" s="364"/>
      <c r="X216" s="364"/>
      <c r="Y216" s="364"/>
      <c r="Z216" s="364"/>
    </row>
    <row r="217" spans="1:26" ht="15.75" customHeight="1" x14ac:dyDescent="0.25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</row>
    <row r="218" spans="1:26" ht="15.75" customHeight="1" x14ac:dyDescent="0.25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</row>
    <row r="219" spans="1:26" ht="15.75" customHeight="1" x14ac:dyDescent="0.25">
      <c r="A219" s="364"/>
      <c r="B219" s="364"/>
      <c r="C219" s="364"/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4"/>
      <c r="P219" s="364"/>
      <c r="Q219" s="364"/>
      <c r="R219" s="364"/>
      <c r="S219" s="364"/>
      <c r="T219" s="364"/>
      <c r="U219" s="364"/>
      <c r="V219" s="364"/>
      <c r="W219" s="364"/>
      <c r="X219" s="364"/>
      <c r="Y219" s="364"/>
      <c r="Z219" s="364"/>
    </row>
    <row r="220" spans="1:26" ht="15.75" customHeight="1" x14ac:dyDescent="0.25">
      <c r="A220" s="364"/>
      <c r="B220" s="364"/>
      <c r="C220" s="364"/>
      <c r="D220" s="364"/>
      <c r="E220" s="364"/>
      <c r="F220" s="364"/>
      <c r="G220" s="364"/>
      <c r="H220" s="364"/>
      <c r="I220" s="364"/>
      <c r="J220" s="364"/>
      <c r="K220" s="364"/>
      <c r="L220" s="364"/>
      <c r="M220" s="364"/>
      <c r="N220" s="364"/>
      <c r="O220" s="364"/>
      <c r="P220" s="364"/>
      <c r="Q220" s="364"/>
      <c r="R220" s="364"/>
      <c r="S220" s="364"/>
      <c r="T220" s="364"/>
      <c r="U220" s="364"/>
      <c r="V220" s="364"/>
      <c r="W220" s="364"/>
      <c r="X220" s="364"/>
      <c r="Y220" s="364"/>
      <c r="Z220" s="364"/>
    </row>
    <row r="221" spans="1:26" ht="15.75" customHeight="1" x14ac:dyDescent="0.25">
      <c r="A221" s="364"/>
      <c r="B221" s="364"/>
      <c r="C221" s="364"/>
      <c r="D221" s="364"/>
      <c r="E221" s="364"/>
      <c r="F221" s="364"/>
      <c r="G221" s="364"/>
      <c r="H221" s="364"/>
      <c r="I221" s="364"/>
      <c r="J221" s="364"/>
      <c r="K221" s="364"/>
      <c r="L221" s="364"/>
      <c r="M221" s="364"/>
      <c r="N221" s="364"/>
      <c r="O221" s="364"/>
      <c r="P221" s="364"/>
      <c r="Q221" s="364"/>
      <c r="R221" s="364"/>
      <c r="S221" s="364"/>
      <c r="T221" s="364"/>
      <c r="U221" s="364"/>
      <c r="V221" s="364"/>
      <c r="W221" s="364"/>
      <c r="X221" s="364"/>
      <c r="Y221" s="364"/>
      <c r="Z221" s="364"/>
    </row>
    <row r="222" spans="1:26" ht="15.75" customHeight="1" x14ac:dyDescent="0.25">
      <c r="A222" s="364"/>
      <c r="B222" s="364"/>
      <c r="C222" s="364"/>
      <c r="D222" s="364"/>
      <c r="E222" s="364"/>
      <c r="F222" s="364"/>
      <c r="G222" s="364"/>
      <c r="H222" s="364"/>
      <c r="I222" s="364"/>
      <c r="J222" s="364"/>
      <c r="K222" s="364"/>
      <c r="L222" s="364"/>
      <c r="M222" s="364"/>
      <c r="N222" s="364"/>
      <c r="O222" s="364"/>
      <c r="P222" s="364"/>
      <c r="Q222" s="364"/>
      <c r="R222" s="364"/>
      <c r="S222" s="364"/>
      <c r="T222" s="364"/>
      <c r="U222" s="364"/>
      <c r="V222" s="364"/>
      <c r="W222" s="364"/>
      <c r="X222" s="364"/>
      <c r="Y222" s="364"/>
      <c r="Z222" s="364"/>
    </row>
    <row r="223" spans="1:26" ht="15.75" customHeight="1" x14ac:dyDescent="0.25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4"/>
      <c r="P223" s="364"/>
      <c r="Q223" s="364"/>
      <c r="R223" s="364"/>
      <c r="S223" s="364"/>
      <c r="T223" s="364"/>
      <c r="U223" s="364"/>
      <c r="V223" s="364"/>
      <c r="W223" s="364"/>
      <c r="X223" s="364"/>
      <c r="Y223" s="364"/>
      <c r="Z223" s="364"/>
    </row>
    <row r="224" spans="1:26" ht="15.75" customHeight="1" x14ac:dyDescent="0.25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</row>
    <row r="225" spans="1:26" ht="15.75" customHeight="1" x14ac:dyDescent="0.25">
      <c r="A225" s="364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4"/>
      <c r="P225" s="364"/>
      <c r="Q225" s="364"/>
      <c r="R225" s="364"/>
      <c r="S225" s="364"/>
      <c r="T225" s="364"/>
      <c r="U225" s="364"/>
      <c r="V225" s="364"/>
      <c r="W225" s="364"/>
      <c r="X225" s="364"/>
      <c r="Y225" s="364"/>
      <c r="Z225" s="364"/>
    </row>
    <row r="226" spans="1:26" ht="15.75" customHeight="1" x14ac:dyDescent="0.25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4"/>
      <c r="P226" s="364"/>
      <c r="Q226" s="364"/>
      <c r="R226" s="364"/>
      <c r="S226" s="364"/>
      <c r="T226" s="364"/>
      <c r="U226" s="364"/>
      <c r="V226" s="364"/>
      <c r="W226" s="364"/>
      <c r="X226" s="364"/>
      <c r="Y226" s="364"/>
      <c r="Z226" s="364"/>
    </row>
    <row r="227" spans="1:26" ht="15.75" customHeight="1" x14ac:dyDescent="0.25">
      <c r="A227" s="364"/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</row>
    <row r="228" spans="1:26" ht="15.75" customHeight="1" x14ac:dyDescent="0.25">
      <c r="A228" s="364"/>
      <c r="B228" s="36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</row>
    <row r="229" spans="1:26" ht="15.75" customHeight="1" x14ac:dyDescent="0.25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4"/>
      <c r="P229" s="364"/>
      <c r="Q229" s="364"/>
      <c r="R229" s="364"/>
      <c r="S229" s="364"/>
      <c r="T229" s="364"/>
      <c r="U229" s="364"/>
      <c r="V229" s="364"/>
      <c r="W229" s="364"/>
      <c r="X229" s="364"/>
      <c r="Y229" s="364"/>
      <c r="Z229" s="364"/>
    </row>
    <row r="230" spans="1:26" ht="15.75" customHeight="1" x14ac:dyDescent="0.25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</row>
    <row r="231" spans="1:26" ht="15.75" customHeight="1" x14ac:dyDescent="0.25">
      <c r="A231" s="364"/>
      <c r="B231" s="364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364"/>
      <c r="U231" s="364"/>
      <c r="V231" s="364"/>
      <c r="W231" s="364"/>
      <c r="X231" s="364"/>
      <c r="Y231" s="364"/>
      <c r="Z231" s="364"/>
    </row>
    <row r="232" spans="1:26" ht="15.75" customHeight="1" x14ac:dyDescent="0.25">
      <c r="A232" s="364"/>
      <c r="B232" s="364"/>
      <c r="C232" s="364"/>
      <c r="D232" s="364"/>
      <c r="E232" s="364"/>
      <c r="F232" s="364"/>
      <c r="G232" s="364"/>
      <c r="H232" s="364"/>
      <c r="I232" s="364"/>
      <c r="J232" s="364"/>
      <c r="K232" s="364"/>
      <c r="L232" s="364"/>
      <c r="M232" s="364"/>
      <c r="N232" s="364"/>
      <c r="O232" s="364"/>
      <c r="P232" s="364"/>
      <c r="Q232" s="364"/>
      <c r="R232" s="364"/>
      <c r="S232" s="364"/>
      <c r="T232" s="364"/>
      <c r="U232" s="364"/>
      <c r="V232" s="364"/>
      <c r="W232" s="364"/>
      <c r="X232" s="364"/>
      <c r="Y232" s="364"/>
      <c r="Z232" s="364"/>
    </row>
    <row r="233" spans="1:26" ht="15.75" customHeight="1" x14ac:dyDescent="0.25">
      <c r="A233" s="364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4"/>
      <c r="P233" s="364"/>
      <c r="Q233" s="364"/>
      <c r="R233" s="364"/>
      <c r="S233" s="364"/>
      <c r="T233" s="364"/>
      <c r="U233" s="364"/>
      <c r="V233" s="364"/>
      <c r="W233" s="364"/>
      <c r="X233" s="364"/>
      <c r="Y233" s="364"/>
      <c r="Z233" s="364"/>
    </row>
    <row r="234" spans="1:26" ht="15.75" customHeight="1" x14ac:dyDescent="0.25">
      <c r="A234" s="364"/>
      <c r="B234" s="364"/>
      <c r="C234" s="364"/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4"/>
      <c r="P234" s="364"/>
      <c r="Q234" s="364"/>
      <c r="R234" s="364"/>
      <c r="S234" s="364"/>
      <c r="T234" s="364"/>
      <c r="U234" s="364"/>
      <c r="V234" s="364"/>
      <c r="W234" s="364"/>
      <c r="X234" s="364"/>
      <c r="Y234" s="364"/>
      <c r="Z234" s="364"/>
    </row>
    <row r="235" spans="1:26" ht="15.75" customHeight="1" x14ac:dyDescent="0.25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</row>
    <row r="236" spans="1:26" ht="15.75" customHeight="1" x14ac:dyDescent="0.25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</row>
    <row r="237" spans="1:26" ht="15.75" customHeight="1" x14ac:dyDescent="0.25">
      <c r="A237" s="364"/>
      <c r="B237" s="364"/>
      <c r="C237" s="364"/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64"/>
      <c r="P237" s="364"/>
      <c r="Q237" s="364"/>
      <c r="R237" s="364"/>
      <c r="S237" s="364"/>
      <c r="T237" s="364"/>
      <c r="U237" s="364"/>
      <c r="V237" s="364"/>
      <c r="W237" s="364"/>
      <c r="X237" s="364"/>
      <c r="Y237" s="364"/>
      <c r="Z237" s="364"/>
    </row>
    <row r="238" spans="1:26" ht="15.75" customHeight="1" x14ac:dyDescent="0.25">
      <c r="A238" s="364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4"/>
      <c r="P238" s="364"/>
      <c r="Q238" s="364"/>
      <c r="R238" s="364"/>
      <c r="S238" s="364"/>
      <c r="T238" s="364"/>
      <c r="U238" s="364"/>
      <c r="V238" s="364"/>
      <c r="W238" s="364"/>
      <c r="X238" s="364"/>
      <c r="Y238" s="364"/>
      <c r="Z238" s="364"/>
    </row>
    <row r="239" spans="1:26" ht="15.75" customHeight="1" x14ac:dyDescent="0.25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4"/>
      <c r="P239" s="364"/>
      <c r="Q239" s="364"/>
      <c r="R239" s="364"/>
      <c r="S239" s="364"/>
      <c r="T239" s="364"/>
      <c r="U239" s="364"/>
      <c r="V239" s="364"/>
      <c r="W239" s="364"/>
      <c r="X239" s="364"/>
      <c r="Y239" s="364"/>
      <c r="Z239" s="364"/>
    </row>
    <row r="240" spans="1:26" ht="15.75" customHeight="1" x14ac:dyDescent="0.25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</row>
    <row r="241" spans="1:26" ht="15.75" customHeight="1" x14ac:dyDescent="0.25">
      <c r="A241" s="364"/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</row>
    <row r="242" spans="1:26" ht="15.75" customHeight="1" x14ac:dyDescent="0.25">
      <c r="A242" s="364"/>
      <c r="B242" s="364"/>
      <c r="C242" s="364"/>
      <c r="D242" s="364"/>
      <c r="E242" s="364"/>
      <c r="F242" s="364"/>
      <c r="G242" s="364"/>
      <c r="H242" s="364"/>
      <c r="I242" s="364"/>
      <c r="J242" s="364"/>
      <c r="K242" s="364"/>
      <c r="L242" s="364"/>
      <c r="M242" s="364"/>
      <c r="N242" s="364"/>
      <c r="O242" s="364"/>
      <c r="P242" s="364"/>
      <c r="Q242" s="364"/>
      <c r="R242" s="364"/>
      <c r="S242" s="364"/>
      <c r="T242" s="364"/>
      <c r="U242" s="364"/>
      <c r="V242" s="364"/>
      <c r="W242" s="364"/>
      <c r="X242" s="364"/>
      <c r="Y242" s="364"/>
      <c r="Z242" s="364"/>
    </row>
    <row r="243" spans="1:26" ht="15.75" customHeight="1" x14ac:dyDescent="0.25">
      <c r="A243" s="364"/>
      <c r="B243" s="364"/>
      <c r="C243" s="364"/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64"/>
      <c r="P243" s="364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</row>
    <row r="244" spans="1:26" ht="15.75" customHeight="1" x14ac:dyDescent="0.25">
      <c r="A244" s="364"/>
      <c r="B244" s="364"/>
      <c r="C244" s="364"/>
      <c r="D244" s="364"/>
      <c r="E244" s="364"/>
      <c r="F244" s="364"/>
      <c r="G244" s="364"/>
      <c r="H244" s="364"/>
      <c r="I244" s="364"/>
      <c r="J244" s="364"/>
      <c r="K244" s="364"/>
      <c r="L244" s="364"/>
      <c r="M244" s="364"/>
      <c r="N244" s="364"/>
      <c r="O244" s="364"/>
      <c r="P244" s="364"/>
      <c r="Q244" s="364"/>
      <c r="R244" s="364"/>
      <c r="S244" s="364"/>
      <c r="T244" s="364"/>
      <c r="U244" s="364"/>
      <c r="V244" s="364"/>
      <c r="W244" s="364"/>
      <c r="X244" s="364"/>
      <c r="Y244" s="364"/>
      <c r="Z244" s="364"/>
    </row>
    <row r="245" spans="1:26" ht="15.75" customHeight="1" x14ac:dyDescent="0.25">
      <c r="A245" s="364"/>
      <c r="B245" s="364"/>
      <c r="C245" s="364"/>
      <c r="D245" s="364"/>
      <c r="E245" s="364"/>
      <c r="F245" s="364"/>
      <c r="G245" s="364"/>
      <c r="H245" s="364"/>
      <c r="I245" s="364"/>
      <c r="J245" s="364"/>
      <c r="K245" s="364"/>
      <c r="L245" s="364"/>
      <c r="M245" s="364"/>
      <c r="N245" s="364"/>
      <c r="O245" s="364"/>
      <c r="P245" s="364"/>
      <c r="Q245" s="364"/>
      <c r="R245" s="364"/>
      <c r="S245" s="364"/>
      <c r="T245" s="364"/>
      <c r="U245" s="364"/>
      <c r="V245" s="364"/>
      <c r="W245" s="364"/>
      <c r="X245" s="364"/>
      <c r="Y245" s="364"/>
      <c r="Z245" s="364"/>
    </row>
    <row r="246" spans="1:26" ht="15.75" customHeight="1" x14ac:dyDescent="0.25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4"/>
      <c r="P246" s="364"/>
      <c r="Q246" s="364"/>
      <c r="R246" s="364"/>
      <c r="S246" s="364"/>
      <c r="T246" s="364"/>
      <c r="U246" s="364"/>
      <c r="V246" s="364"/>
      <c r="W246" s="364"/>
      <c r="X246" s="364"/>
      <c r="Y246" s="364"/>
      <c r="Z246" s="364"/>
    </row>
    <row r="247" spans="1:26" ht="15.75" customHeight="1" x14ac:dyDescent="0.25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</row>
    <row r="248" spans="1:26" ht="15.75" customHeight="1" x14ac:dyDescent="0.25">
      <c r="A248" s="364"/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</row>
    <row r="249" spans="1:26" ht="15.75" customHeight="1" x14ac:dyDescent="0.25">
      <c r="A249" s="364"/>
      <c r="B249" s="364"/>
      <c r="C249" s="364"/>
      <c r="D249" s="364"/>
      <c r="E249" s="364"/>
      <c r="F249" s="364"/>
      <c r="G249" s="364"/>
      <c r="H249" s="364"/>
      <c r="I249" s="364"/>
      <c r="J249" s="364"/>
      <c r="K249" s="364"/>
      <c r="L249" s="364"/>
      <c r="M249" s="364"/>
      <c r="N249" s="364"/>
      <c r="O249" s="364"/>
      <c r="P249" s="364"/>
      <c r="Q249" s="364"/>
      <c r="R249" s="364"/>
      <c r="S249" s="364"/>
      <c r="T249" s="364"/>
      <c r="U249" s="364"/>
      <c r="V249" s="364"/>
      <c r="W249" s="364"/>
      <c r="X249" s="364"/>
      <c r="Y249" s="364"/>
      <c r="Z249" s="364"/>
    </row>
    <row r="250" spans="1:26" ht="15.75" customHeight="1" x14ac:dyDescent="0.25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</row>
    <row r="251" spans="1:26" ht="15.75" customHeight="1" x14ac:dyDescent="0.25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4"/>
      <c r="P251" s="364"/>
      <c r="Q251" s="364"/>
      <c r="R251" s="364"/>
      <c r="S251" s="364"/>
      <c r="T251" s="364"/>
      <c r="U251" s="364"/>
      <c r="V251" s="364"/>
      <c r="W251" s="364"/>
      <c r="X251" s="364"/>
      <c r="Y251" s="364"/>
      <c r="Z251" s="364"/>
    </row>
    <row r="252" spans="1:26" ht="15.75" customHeight="1" x14ac:dyDescent="0.25">
      <c r="A252" s="364"/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</row>
    <row r="253" spans="1:26" ht="15.75" customHeight="1" x14ac:dyDescent="0.25">
      <c r="A253" s="364"/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</row>
    <row r="254" spans="1:26" ht="15.75" customHeight="1" x14ac:dyDescent="0.25">
      <c r="A254" s="364"/>
      <c r="B254" s="364"/>
      <c r="C254" s="364"/>
      <c r="D254" s="364"/>
      <c r="E254" s="364"/>
      <c r="F254" s="364"/>
      <c r="G254" s="364"/>
      <c r="H254" s="364"/>
      <c r="I254" s="364"/>
      <c r="J254" s="364"/>
      <c r="K254" s="364"/>
      <c r="L254" s="364"/>
      <c r="M254" s="364"/>
      <c r="N254" s="364"/>
      <c r="O254" s="364"/>
      <c r="P254" s="364"/>
      <c r="Q254" s="364"/>
      <c r="R254" s="364"/>
      <c r="S254" s="364"/>
      <c r="T254" s="364"/>
      <c r="U254" s="364"/>
      <c r="V254" s="364"/>
      <c r="W254" s="364"/>
      <c r="X254" s="364"/>
      <c r="Y254" s="364"/>
      <c r="Z254" s="364"/>
    </row>
    <row r="255" spans="1:26" ht="15.75" customHeight="1" x14ac:dyDescent="0.25">
      <c r="A255" s="364"/>
      <c r="B255" s="364"/>
      <c r="C255" s="364"/>
      <c r="D255" s="364"/>
      <c r="E255" s="364"/>
      <c r="F255" s="364"/>
      <c r="G255" s="364"/>
      <c r="H255" s="364"/>
      <c r="I255" s="364"/>
      <c r="J255" s="364"/>
      <c r="K255" s="364"/>
      <c r="L255" s="364"/>
      <c r="M255" s="364"/>
      <c r="N255" s="364"/>
      <c r="O255" s="364"/>
      <c r="P255" s="364"/>
      <c r="Q255" s="364"/>
      <c r="R255" s="364"/>
      <c r="S255" s="364"/>
      <c r="T255" s="364"/>
      <c r="U255" s="364"/>
      <c r="V255" s="364"/>
      <c r="W255" s="364"/>
      <c r="X255" s="364"/>
      <c r="Y255" s="364"/>
      <c r="Z255" s="364"/>
    </row>
    <row r="256" spans="1:26" ht="15.75" customHeight="1" x14ac:dyDescent="0.25">
      <c r="A256" s="364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4"/>
      <c r="P256" s="364"/>
      <c r="Q256" s="364"/>
      <c r="R256" s="364"/>
      <c r="S256" s="364"/>
      <c r="T256" s="364"/>
      <c r="U256" s="364"/>
      <c r="V256" s="364"/>
      <c r="W256" s="364"/>
      <c r="X256" s="364"/>
      <c r="Y256" s="364"/>
      <c r="Z256" s="364"/>
    </row>
    <row r="257" spans="1:26" ht="15.75" customHeight="1" x14ac:dyDescent="0.25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4"/>
      <c r="P257" s="364"/>
      <c r="Q257" s="364"/>
      <c r="R257" s="364"/>
      <c r="S257" s="364"/>
      <c r="T257" s="364"/>
      <c r="U257" s="364"/>
      <c r="V257" s="364"/>
      <c r="W257" s="364"/>
      <c r="X257" s="364"/>
      <c r="Y257" s="364"/>
      <c r="Z257" s="364"/>
    </row>
    <row r="258" spans="1:26" ht="15.75" customHeight="1" x14ac:dyDescent="0.25">
      <c r="A258" s="364"/>
      <c r="B258" s="364"/>
      <c r="C258" s="364"/>
      <c r="D258" s="364"/>
      <c r="E258" s="364"/>
      <c r="F258" s="364"/>
      <c r="G258" s="364"/>
      <c r="H258" s="364"/>
      <c r="I258" s="364"/>
      <c r="J258" s="364"/>
      <c r="K258" s="364"/>
      <c r="L258" s="364"/>
      <c r="M258" s="364"/>
      <c r="N258" s="364"/>
      <c r="O258" s="364"/>
      <c r="P258" s="364"/>
      <c r="Q258" s="364"/>
      <c r="R258" s="364"/>
      <c r="S258" s="364"/>
      <c r="T258" s="364"/>
      <c r="U258" s="364"/>
      <c r="V258" s="364"/>
      <c r="W258" s="364"/>
      <c r="X258" s="364"/>
      <c r="Y258" s="364"/>
      <c r="Z258" s="364"/>
    </row>
    <row r="259" spans="1:26" ht="15.75" customHeight="1" x14ac:dyDescent="0.25">
      <c r="A259" s="364"/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</row>
    <row r="260" spans="1:26" ht="15.75" customHeight="1" x14ac:dyDescent="0.25">
      <c r="A260" s="364"/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</row>
    <row r="261" spans="1:26" ht="15.75" customHeight="1" x14ac:dyDescent="0.25">
      <c r="A261" s="364"/>
      <c r="B261" s="364"/>
      <c r="C261" s="364"/>
      <c r="D261" s="364"/>
      <c r="E261" s="364"/>
      <c r="F261" s="364"/>
      <c r="G261" s="364"/>
      <c r="H261" s="364"/>
      <c r="I261" s="364"/>
      <c r="J261" s="364"/>
      <c r="K261" s="364"/>
      <c r="L261" s="364"/>
      <c r="M261" s="364"/>
      <c r="N261" s="364"/>
      <c r="O261" s="364"/>
      <c r="P261" s="364"/>
      <c r="Q261" s="364"/>
      <c r="R261" s="364"/>
      <c r="S261" s="364"/>
      <c r="T261" s="364"/>
      <c r="U261" s="364"/>
      <c r="V261" s="364"/>
      <c r="W261" s="364"/>
      <c r="X261" s="364"/>
      <c r="Y261" s="364"/>
      <c r="Z261" s="364"/>
    </row>
    <row r="262" spans="1:26" ht="15.75" customHeight="1" x14ac:dyDescent="0.25">
      <c r="A262" s="364"/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4"/>
      <c r="P262" s="364"/>
      <c r="Q262" s="364"/>
      <c r="R262" s="364"/>
      <c r="S262" s="364"/>
      <c r="T262" s="364"/>
      <c r="U262" s="364"/>
      <c r="V262" s="364"/>
      <c r="W262" s="364"/>
      <c r="X262" s="364"/>
      <c r="Y262" s="364"/>
      <c r="Z262" s="364"/>
    </row>
    <row r="263" spans="1:26" ht="15.75" customHeight="1" x14ac:dyDescent="0.25">
      <c r="A263" s="364"/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4"/>
      <c r="P263" s="364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</row>
    <row r="264" spans="1:26" ht="15.75" customHeight="1" x14ac:dyDescent="0.25">
      <c r="A264" s="364"/>
      <c r="B264" s="364"/>
      <c r="C264" s="364"/>
      <c r="D264" s="364"/>
      <c r="E264" s="364"/>
      <c r="F264" s="364"/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4"/>
      <c r="S264" s="364"/>
      <c r="T264" s="364"/>
      <c r="U264" s="364"/>
      <c r="V264" s="364"/>
      <c r="W264" s="364"/>
      <c r="X264" s="364"/>
      <c r="Y264" s="364"/>
      <c r="Z264" s="364"/>
    </row>
    <row r="265" spans="1:26" ht="15.75" customHeight="1" x14ac:dyDescent="0.25">
      <c r="A265" s="364"/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</row>
    <row r="266" spans="1:26" ht="15.75" customHeight="1" x14ac:dyDescent="0.25">
      <c r="A266" s="364"/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</row>
    <row r="267" spans="1:26" ht="15.75" customHeight="1" x14ac:dyDescent="0.25">
      <c r="A267" s="364"/>
      <c r="B267" s="364"/>
      <c r="C267" s="364"/>
      <c r="D267" s="364"/>
      <c r="E267" s="364"/>
      <c r="F267" s="364"/>
      <c r="G267" s="364"/>
      <c r="H267" s="364"/>
      <c r="I267" s="364"/>
      <c r="J267" s="364"/>
      <c r="K267" s="364"/>
      <c r="L267" s="364"/>
      <c r="M267" s="364"/>
      <c r="N267" s="364"/>
      <c r="O267" s="364"/>
      <c r="P267" s="364"/>
      <c r="Q267" s="364"/>
      <c r="R267" s="364"/>
      <c r="S267" s="364"/>
      <c r="T267" s="364"/>
      <c r="U267" s="364"/>
      <c r="V267" s="364"/>
      <c r="W267" s="364"/>
      <c r="X267" s="364"/>
      <c r="Y267" s="364"/>
      <c r="Z267" s="364"/>
    </row>
    <row r="268" spans="1:26" ht="15.75" customHeight="1" x14ac:dyDescent="0.25">
      <c r="A268" s="364"/>
      <c r="B268" s="364"/>
      <c r="C268" s="364"/>
      <c r="D268" s="364"/>
      <c r="E268" s="364"/>
      <c r="F268" s="364"/>
      <c r="G268" s="364"/>
      <c r="H268" s="364"/>
      <c r="I268" s="364"/>
      <c r="J268" s="364"/>
      <c r="K268" s="364"/>
      <c r="L268" s="364"/>
      <c r="M268" s="364"/>
      <c r="N268" s="364"/>
      <c r="O268" s="364"/>
      <c r="P268" s="364"/>
      <c r="Q268" s="364"/>
      <c r="R268" s="364"/>
      <c r="S268" s="364"/>
      <c r="T268" s="364"/>
      <c r="U268" s="364"/>
      <c r="V268" s="364"/>
      <c r="W268" s="364"/>
      <c r="X268" s="364"/>
      <c r="Y268" s="364"/>
      <c r="Z268" s="364"/>
    </row>
    <row r="269" spans="1:26" ht="15.75" customHeight="1" x14ac:dyDescent="0.25">
      <c r="A269" s="364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4"/>
      <c r="P269" s="364"/>
      <c r="Q269" s="364"/>
      <c r="R269" s="364"/>
      <c r="S269" s="364"/>
      <c r="T269" s="364"/>
      <c r="U269" s="364"/>
      <c r="V269" s="364"/>
      <c r="W269" s="364"/>
      <c r="X269" s="364"/>
      <c r="Y269" s="364"/>
      <c r="Z269" s="364"/>
    </row>
    <row r="270" spans="1:26" ht="15.75" customHeight="1" x14ac:dyDescent="0.25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4"/>
      <c r="P270" s="364"/>
      <c r="Q270" s="364"/>
      <c r="R270" s="364"/>
      <c r="S270" s="364"/>
      <c r="T270" s="364"/>
      <c r="U270" s="364"/>
      <c r="V270" s="364"/>
      <c r="W270" s="364"/>
      <c r="X270" s="364"/>
      <c r="Y270" s="364"/>
      <c r="Z270" s="364"/>
    </row>
    <row r="271" spans="1:26" ht="15.75" customHeight="1" x14ac:dyDescent="0.25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</row>
    <row r="272" spans="1:26" ht="15.75" customHeight="1" x14ac:dyDescent="0.25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</row>
    <row r="273" spans="1:26" ht="15.75" customHeight="1" x14ac:dyDescent="0.25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4"/>
      <c r="V273" s="364"/>
      <c r="W273" s="364"/>
      <c r="X273" s="364"/>
      <c r="Y273" s="364"/>
      <c r="Z273" s="364"/>
    </row>
    <row r="274" spans="1:26" ht="15.75" customHeight="1" x14ac:dyDescent="0.25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364"/>
      <c r="P274" s="364"/>
      <c r="Q274" s="364"/>
      <c r="R274" s="364"/>
      <c r="S274" s="364"/>
      <c r="T274" s="364"/>
      <c r="U274" s="364"/>
      <c r="V274" s="364"/>
      <c r="W274" s="364"/>
      <c r="X274" s="364"/>
      <c r="Y274" s="364"/>
      <c r="Z274" s="364"/>
    </row>
    <row r="275" spans="1:26" ht="15.75" customHeight="1" x14ac:dyDescent="0.25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4"/>
      <c r="P275" s="364"/>
      <c r="Q275" s="364"/>
      <c r="R275" s="364"/>
      <c r="S275" s="364"/>
      <c r="T275" s="364"/>
      <c r="U275" s="364"/>
      <c r="V275" s="364"/>
      <c r="W275" s="364"/>
      <c r="X275" s="364"/>
      <c r="Y275" s="364"/>
      <c r="Z275" s="364"/>
    </row>
    <row r="276" spans="1:26" ht="15.75" customHeight="1" x14ac:dyDescent="0.25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364"/>
      <c r="P276" s="364"/>
      <c r="Q276" s="364"/>
      <c r="R276" s="364"/>
      <c r="S276" s="364"/>
      <c r="T276" s="364"/>
      <c r="U276" s="364"/>
      <c r="V276" s="364"/>
      <c r="W276" s="364"/>
      <c r="X276" s="364"/>
      <c r="Y276" s="364"/>
      <c r="Z276" s="364"/>
    </row>
    <row r="277" spans="1:26" ht="15.75" customHeight="1" x14ac:dyDescent="0.25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</row>
    <row r="278" spans="1:26" ht="15.75" customHeight="1" x14ac:dyDescent="0.25">
      <c r="A278" s="364"/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</row>
    <row r="279" spans="1:26" ht="15.75" customHeight="1" x14ac:dyDescent="0.25">
      <c r="A279" s="364"/>
      <c r="B279" s="364"/>
      <c r="C279" s="364"/>
      <c r="D279" s="364"/>
      <c r="E279" s="364"/>
      <c r="F279" s="364"/>
      <c r="G279" s="364"/>
      <c r="H279" s="364"/>
      <c r="I279" s="364"/>
      <c r="J279" s="364"/>
      <c r="K279" s="364"/>
      <c r="L279" s="364"/>
      <c r="M279" s="364"/>
      <c r="N279" s="364"/>
      <c r="O279" s="364"/>
      <c r="P279" s="364"/>
      <c r="Q279" s="364"/>
      <c r="R279" s="364"/>
      <c r="S279" s="364"/>
      <c r="T279" s="364"/>
      <c r="U279" s="364"/>
      <c r="V279" s="364"/>
      <c r="W279" s="364"/>
      <c r="X279" s="364"/>
      <c r="Y279" s="364"/>
      <c r="Z279" s="364"/>
    </row>
    <row r="280" spans="1:26" ht="15.75" customHeight="1" x14ac:dyDescent="0.25">
      <c r="A280" s="364"/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4"/>
      <c r="P280" s="364"/>
      <c r="Q280" s="364"/>
      <c r="R280" s="364"/>
      <c r="S280" s="364"/>
      <c r="T280" s="364"/>
      <c r="U280" s="364"/>
      <c r="V280" s="364"/>
      <c r="W280" s="364"/>
      <c r="X280" s="364"/>
      <c r="Y280" s="364"/>
      <c r="Z280" s="364"/>
    </row>
    <row r="281" spans="1:26" ht="15.75" customHeight="1" x14ac:dyDescent="0.25">
      <c r="A281" s="364"/>
      <c r="B281" s="364"/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64"/>
      <c r="P281" s="364"/>
      <c r="Q281" s="364"/>
      <c r="R281" s="364"/>
      <c r="S281" s="364"/>
      <c r="T281" s="364"/>
      <c r="U281" s="364"/>
      <c r="V281" s="364"/>
      <c r="W281" s="364"/>
      <c r="X281" s="364"/>
      <c r="Y281" s="364"/>
      <c r="Z281" s="364"/>
    </row>
    <row r="282" spans="1:26" ht="15.75" customHeight="1" x14ac:dyDescent="0.25">
      <c r="A282" s="364"/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</row>
    <row r="283" spans="1:26" ht="15.75" customHeight="1" x14ac:dyDescent="0.25">
      <c r="A283" s="364"/>
      <c r="B283" s="364"/>
      <c r="C283" s="364"/>
      <c r="D283" s="364"/>
      <c r="E283" s="364"/>
      <c r="F283" s="364"/>
      <c r="G283" s="364"/>
      <c r="H283" s="364"/>
      <c r="I283" s="364"/>
      <c r="J283" s="364"/>
      <c r="K283" s="364"/>
      <c r="L283" s="364"/>
      <c r="M283" s="364"/>
      <c r="N283" s="364"/>
      <c r="O283" s="364"/>
      <c r="P283" s="364"/>
      <c r="Q283" s="364"/>
      <c r="R283" s="364"/>
      <c r="S283" s="364"/>
      <c r="T283" s="364"/>
      <c r="U283" s="364"/>
      <c r="V283" s="364"/>
      <c r="W283" s="364"/>
      <c r="X283" s="364"/>
      <c r="Y283" s="364"/>
      <c r="Z283" s="364"/>
    </row>
    <row r="284" spans="1:26" ht="15.75" customHeight="1" x14ac:dyDescent="0.25">
      <c r="A284" s="364"/>
      <c r="B284" s="364"/>
      <c r="C284" s="364"/>
      <c r="D284" s="364"/>
      <c r="E284" s="364"/>
      <c r="F284" s="364"/>
      <c r="G284" s="364"/>
      <c r="H284" s="364"/>
      <c r="I284" s="364"/>
      <c r="J284" s="364"/>
      <c r="K284" s="364"/>
      <c r="L284" s="364"/>
      <c r="M284" s="364"/>
      <c r="N284" s="364"/>
      <c r="O284" s="364"/>
      <c r="P284" s="364"/>
      <c r="Q284" s="364"/>
      <c r="R284" s="364"/>
      <c r="S284" s="364"/>
      <c r="T284" s="364"/>
      <c r="U284" s="364"/>
      <c r="V284" s="364"/>
      <c r="W284" s="364"/>
      <c r="X284" s="364"/>
      <c r="Y284" s="364"/>
      <c r="Z284" s="364"/>
    </row>
    <row r="285" spans="1:26" ht="15.75" customHeight="1" x14ac:dyDescent="0.25">
      <c r="A285" s="364"/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4"/>
      <c r="P285" s="364"/>
      <c r="Q285" s="364"/>
      <c r="R285" s="364"/>
      <c r="S285" s="364"/>
      <c r="T285" s="364"/>
      <c r="U285" s="364"/>
      <c r="V285" s="364"/>
      <c r="W285" s="364"/>
      <c r="X285" s="364"/>
      <c r="Y285" s="364"/>
      <c r="Z285" s="364"/>
    </row>
    <row r="286" spans="1:26" ht="15.75" customHeight="1" x14ac:dyDescent="0.25">
      <c r="A286" s="364"/>
      <c r="B286" s="364"/>
      <c r="C286" s="364"/>
      <c r="D286" s="364"/>
      <c r="E286" s="364"/>
      <c r="F286" s="364"/>
      <c r="G286" s="364"/>
      <c r="H286" s="364"/>
      <c r="I286" s="364"/>
      <c r="J286" s="364"/>
      <c r="K286" s="364"/>
      <c r="L286" s="364"/>
      <c r="M286" s="364"/>
      <c r="N286" s="364"/>
      <c r="O286" s="364"/>
      <c r="P286" s="364"/>
      <c r="Q286" s="364"/>
      <c r="R286" s="364"/>
      <c r="S286" s="364"/>
      <c r="T286" s="364"/>
      <c r="U286" s="364"/>
      <c r="V286" s="364"/>
      <c r="W286" s="364"/>
      <c r="X286" s="364"/>
      <c r="Y286" s="364"/>
      <c r="Z286" s="364"/>
    </row>
    <row r="287" spans="1:26" ht="15.75" customHeight="1" x14ac:dyDescent="0.25">
      <c r="A287" s="364"/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</row>
    <row r="288" spans="1:26" ht="15.75" customHeight="1" x14ac:dyDescent="0.25">
      <c r="A288" s="364"/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</row>
    <row r="289" spans="1:26" ht="15.75" customHeight="1" x14ac:dyDescent="0.25">
      <c r="A289" s="364"/>
      <c r="B289" s="364"/>
      <c r="C289" s="364"/>
      <c r="D289" s="364"/>
      <c r="E289" s="364"/>
      <c r="F289" s="364"/>
      <c r="G289" s="364"/>
      <c r="H289" s="364"/>
      <c r="I289" s="364"/>
      <c r="J289" s="364"/>
      <c r="K289" s="364"/>
      <c r="L289" s="364"/>
      <c r="M289" s="364"/>
      <c r="N289" s="364"/>
      <c r="O289" s="364"/>
      <c r="P289" s="364"/>
      <c r="Q289" s="364"/>
      <c r="R289" s="364"/>
      <c r="S289" s="364"/>
      <c r="T289" s="364"/>
      <c r="U289" s="364"/>
      <c r="V289" s="364"/>
      <c r="W289" s="364"/>
      <c r="X289" s="364"/>
      <c r="Y289" s="364"/>
      <c r="Z289" s="364"/>
    </row>
    <row r="290" spans="1:26" ht="15.75" customHeight="1" x14ac:dyDescent="0.25">
      <c r="A290" s="364"/>
      <c r="B290" s="364"/>
      <c r="C290" s="364"/>
      <c r="D290" s="364"/>
      <c r="E290" s="364"/>
      <c r="F290" s="364"/>
      <c r="G290" s="364"/>
      <c r="H290" s="364"/>
      <c r="I290" s="364"/>
      <c r="J290" s="364"/>
      <c r="K290" s="364"/>
      <c r="L290" s="364"/>
      <c r="M290" s="364"/>
      <c r="N290" s="364"/>
      <c r="O290" s="364"/>
      <c r="P290" s="364"/>
      <c r="Q290" s="364"/>
      <c r="R290" s="364"/>
      <c r="S290" s="364"/>
      <c r="T290" s="364"/>
      <c r="U290" s="364"/>
      <c r="V290" s="364"/>
      <c r="W290" s="364"/>
      <c r="X290" s="364"/>
      <c r="Y290" s="364"/>
      <c r="Z290" s="364"/>
    </row>
    <row r="291" spans="1:26" ht="15.75" customHeight="1" x14ac:dyDescent="0.25">
      <c r="A291" s="364"/>
      <c r="B291" s="364"/>
      <c r="C291" s="364"/>
      <c r="D291" s="364"/>
      <c r="E291" s="364"/>
      <c r="F291" s="364"/>
      <c r="G291" s="364"/>
      <c r="H291" s="364"/>
      <c r="I291" s="364"/>
      <c r="J291" s="364"/>
      <c r="K291" s="364"/>
      <c r="L291" s="364"/>
      <c r="M291" s="364"/>
      <c r="N291" s="364"/>
      <c r="O291" s="364"/>
      <c r="P291" s="364"/>
      <c r="Q291" s="364"/>
      <c r="R291" s="364"/>
      <c r="S291" s="364"/>
      <c r="T291" s="364"/>
      <c r="U291" s="364"/>
      <c r="V291" s="364"/>
      <c r="W291" s="364"/>
      <c r="X291" s="364"/>
      <c r="Y291" s="364"/>
      <c r="Z291" s="364"/>
    </row>
    <row r="292" spans="1:26" ht="15.75" customHeight="1" x14ac:dyDescent="0.25">
      <c r="A292" s="364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</row>
    <row r="293" spans="1:26" ht="15.75" customHeight="1" x14ac:dyDescent="0.25">
      <c r="A293" s="364"/>
      <c r="B293" s="364"/>
      <c r="C293" s="364"/>
      <c r="D293" s="364"/>
      <c r="E293" s="364"/>
      <c r="F293" s="364"/>
      <c r="G293" s="364"/>
      <c r="H293" s="364"/>
      <c r="I293" s="364"/>
      <c r="J293" s="364"/>
      <c r="K293" s="364"/>
      <c r="L293" s="364"/>
      <c r="M293" s="364"/>
      <c r="N293" s="364"/>
      <c r="O293" s="364"/>
      <c r="P293" s="364"/>
      <c r="Q293" s="364"/>
      <c r="R293" s="364"/>
      <c r="S293" s="364"/>
      <c r="T293" s="364"/>
      <c r="U293" s="364"/>
      <c r="V293" s="364"/>
      <c r="W293" s="364"/>
      <c r="X293" s="364"/>
      <c r="Y293" s="364"/>
      <c r="Z293" s="364"/>
    </row>
    <row r="294" spans="1:26" ht="15.75" customHeight="1" x14ac:dyDescent="0.25">
      <c r="A294" s="364"/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</row>
    <row r="295" spans="1:26" ht="15.75" customHeight="1" x14ac:dyDescent="0.25">
      <c r="A295" s="364"/>
      <c r="B295" s="364"/>
      <c r="C295" s="364"/>
      <c r="D295" s="364"/>
      <c r="E295" s="364"/>
      <c r="F295" s="364"/>
      <c r="G295" s="364"/>
      <c r="H295" s="364"/>
      <c r="I295" s="364"/>
      <c r="J295" s="364"/>
      <c r="K295" s="364"/>
      <c r="L295" s="364"/>
      <c r="M295" s="364"/>
      <c r="N295" s="364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</row>
    <row r="296" spans="1:26" ht="15.75" customHeight="1" x14ac:dyDescent="0.25">
      <c r="A296" s="364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</row>
    <row r="297" spans="1:26" ht="15.75" customHeight="1" x14ac:dyDescent="0.25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4"/>
      <c r="P297" s="364"/>
      <c r="Q297" s="364"/>
      <c r="R297" s="364"/>
      <c r="S297" s="364"/>
      <c r="T297" s="364"/>
      <c r="U297" s="364"/>
      <c r="V297" s="364"/>
      <c r="W297" s="364"/>
      <c r="X297" s="364"/>
      <c r="Y297" s="364"/>
      <c r="Z297" s="364"/>
    </row>
    <row r="298" spans="1:26" ht="15.75" customHeight="1" x14ac:dyDescent="0.25">
      <c r="A298" s="364"/>
      <c r="B298" s="364"/>
      <c r="C298" s="364"/>
      <c r="D298" s="364"/>
      <c r="E298" s="364"/>
      <c r="F298" s="364"/>
      <c r="G298" s="364"/>
      <c r="H298" s="364"/>
      <c r="I298" s="364"/>
      <c r="J298" s="364"/>
      <c r="K298" s="364"/>
      <c r="L298" s="364"/>
      <c r="M298" s="364"/>
      <c r="N298" s="364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</row>
    <row r="299" spans="1:26" ht="15.75" customHeight="1" x14ac:dyDescent="0.25">
      <c r="A299" s="364"/>
      <c r="B299" s="364"/>
      <c r="C299" s="364"/>
      <c r="D299" s="364"/>
      <c r="E299" s="364"/>
      <c r="F299" s="364"/>
      <c r="G299" s="364"/>
      <c r="H299" s="364"/>
      <c r="I299" s="364"/>
      <c r="J299" s="364"/>
      <c r="K299" s="364"/>
      <c r="L299" s="364"/>
      <c r="M299" s="364"/>
      <c r="N299" s="364"/>
      <c r="O299" s="364"/>
      <c r="P299" s="364"/>
      <c r="Q299" s="364"/>
      <c r="R299" s="364"/>
      <c r="S299" s="364"/>
      <c r="T299" s="364"/>
      <c r="U299" s="364"/>
      <c r="V299" s="364"/>
      <c r="W299" s="364"/>
      <c r="X299" s="364"/>
      <c r="Y299" s="364"/>
      <c r="Z299" s="364"/>
    </row>
    <row r="300" spans="1:26" ht="15.75" customHeight="1" x14ac:dyDescent="0.25">
      <c r="A300" s="364"/>
      <c r="B300" s="364"/>
      <c r="C300" s="364"/>
      <c r="D300" s="364"/>
      <c r="E300" s="364"/>
      <c r="F300" s="364"/>
      <c r="G300" s="364"/>
      <c r="H300" s="364"/>
      <c r="I300" s="364"/>
      <c r="J300" s="364"/>
      <c r="K300" s="364"/>
      <c r="L300" s="364"/>
      <c r="M300" s="364"/>
      <c r="N300" s="364"/>
      <c r="O300" s="364"/>
      <c r="P300" s="364"/>
      <c r="Q300" s="364"/>
      <c r="R300" s="364"/>
      <c r="S300" s="364"/>
      <c r="T300" s="364"/>
      <c r="U300" s="364"/>
      <c r="V300" s="364"/>
      <c r="W300" s="364"/>
      <c r="X300" s="364"/>
      <c r="Y300" s="364"/>
      <c r="Z300" s="364"/>
    </row>
    <row r="301" spans="1:26" ht="15.75" customHeight="1" x14ac:dyDescent="0.25">
      <c r="A301" s="364"/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4"/>
      <c r="P301" s="364"/>
      <c r="Q301" s="364"/>
      <c r="R301" s="364"/>
      <c r="S301" s="364"/>
      <c r="T301" s="364"/>
      <c r="U301" s="364"/>
      <c r="V301" s="364"/>
      <c r="W301" s="364"/>
      <c r="X301" s="364"/>
      <c r="Y301" s="364"/>
      <c r="Z301" s="364"/>
    </row>
    <row r="302" spans="1:26" ht="15.75" customHeight="1" x14ac:dyDescent="0.25">
      <c r="A302" s="364"/>
      <c r="B302" s="364"/>
      <c r="C302" s="364"/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4"/>
      <c r="P302" s="364"/>
      <c r="Q302" s="364"/>
      <c r="R302" s="364"/>
      <c r="S302" s="364"/>
      <c r="T302" s="364"/>
      <c r="U302" s="364"/>
      <c r="V302" s="364"/>
      <c r="W302" s="364"/>
      <c r="X302" s="364"/>
      <c r="Y302" s="364"/>
      <c r="Z302" s="364"/>
    </row>
    <row r="303" spans="1:26" ht="15.75" customHeight="1" x14ac:dyDescent="0.25">
      <c r="A303" s="364"/>
      <c r="B303" s="364"/>
      <c r="C303" s="364"/>
      <c r="D303" s="364"/>
      <c r="E303" s="364"/>
      <c r="F303" s="364"/>
      <c r="G303" s="364"/>
      <c r="H303" s="364"/>
      <c r="I303" s="364"/>
      <c r="J303" s="364"/>
      <c r="K303" s="364"/>
      <c r="L303" s="364"/>
      <c r="M303" s="364"/>
      <c r="N303" s="364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</row>
    <row r="304" spans="1:26" ht="15.75" customHeight="1" x14ac:dyDescent="0.25">
      <c r="A304" s="364"/>
      <c r="B304" s="364"/>
      <c r="C304" s="364"/>
      <c r="D304" s="364"/>
      <c r="E304" s="364"/>
      <c r="F304" s="364"/>
      <c r="G304" s="364"/>
      <c r="H304" s="364"/>
      <c r="I304" s="364"/>
      <c r="J304" s="364"/>
      <c r="K304" s="364"/>
      <c r="L304" s="364"/>
      <c r="M304" s="364"/>
      <c r="N304" s="364"/>
      <c r="O304" s="364"/>
      <c r="P304" s="364"/>
      <c r="Q304" s="364"/>
      <c r="R304" s="364"/>
      <c r="S304" s="364"/>
      <c r="T304" s="364"/>
      <c r="U304" s="364"/>
      <c r="V304" s="364"/>
      <c r="W304" s="364"/>
      <c r="X304" s="364"/>
      <c r="Y304" s="364"/>
      <c r="Z304" s="364"/>
    </row>
    <row r="305" spans="1:26" ht="15.75" customHeight="1" x14ac:dyDescent="0.25">
      <c r="A305" s="364"/>
      <c r="B305" s="364"/>
      <c r="C305" s="364"/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4"/>
      <c r="P305" s="364"/>
      <c r="Q305" s="364"/>
      <c r="R305" s="364"/>
      <c r="S305" s="364"/>
      <c r="T305" s="364"/>
      <c r="U305" s="364"/>
      <c r="V305" s="364"/>
      <c r="W305" s="364"/>
      <c r="X305" s="364"/>
      <c r="Y305" s="364"/>
      <c r="Z305" s="364"/>
    </row>
    <row r="306" spans="1:26" ht="15.75" customHeight="1" x14ac:dyDescent="0.25">
      <c r="A306" s="364"/>
      <c r="B306" s="364"/>
      <c r="C306" s="364"/>
      <c r="D306" s="364"/>
      <c r="E306" s="364"/>
      <c r="F306" s="364"/>
      <c r="G306" s="364"/>
      <c r="H306" s="364"/>
      <c r="I306" s="364"/>
      <c r="J306" s="364"/>
      <c r="K306" s="364"/>
      <c r="L306" s="364"/>
      <c r="M306" s="364"/>
      <c r="N306" s="364"/>
      <c r="O306" s="364"/>
      <c r="P306" s="364"/>
      <c r="Q306" s="364"/>
      <c r="R306" s="364"/>
      <c r="S306" s="364"/>
      <c r="T306" s="364"/>
      <c r="U306" s="364"/>
      <c r="V306" s="364"/>
      <c r="W306" s="364"/>
      <c r="X306" s="364"/>
      <c r="Y306" s="364"/>
      <c r="Z306" s="364"/>
    </row>
    <row r="307" spans="1:26" ht="15.75" customHeight="1" x14ac:dyDescent="0.25">
      <c r="A307" s="364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4"/>
      <c r="P307" s="364"/>
      <c r="Q307" s="364"/>
      <c r="R307" s="364"/>
      <c r="S307" s="364"/>
      <c r="T307" s="364"/>
      <c r="U307" s="364"/>
      <c r="V307" s="364"/>
      <c r="W307" s="364"/>
      <c r="X307" s="364"/>
      <c r="Y307" s="364"/>
      <c r="Z307" s="364"/>
    </row>
    <row r="308" spans="1:26" ht="15.75" customHeight="1" x14ac:dyDescent="0.25">
      <c r="A308" s="364"/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4"/>
      <c r="P308" s="364"/>
      <c r="Q308" s="364"/>
      <c r="R308" s="364"/>
      <c r="S308" s="364"/>
      <c r="T308" s="364"/>
      <c r="U308" s="364"/>
      <c r="V308" s="364"/>
      <c r="W308" s="364"/>
      <c r="X308" s="364"/>
      <c r="Y308" s="364"/>
      <c r="Z308" s="364"/>
    </row>
    <row r="309" spans="1:26" ht="15.75" customHeight="1" x14ac:dyDescent="0.25">
      <c r="A309" s="364"/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</row>
    <row r="310" spans="1:26" ht="15.75" customHeight="1" x14ac:dyDescent="0.25">
      <c r="A310" s="364"/>
      <c r="B310" s="364"/>
      <c r="C310" s="364"/>
      <c r="D310" s="364"/>
      <c r="E310" s="364"/>
      <c r="F310" s="364"/>
      <c r="G310" s="364"/>
      <c r="H310" s="364"/>
      <c r="I310" s="364"/>
      <c r="J310" s="364"/>
      <c r="K310" s="364"/>
      <c r="L310" s="364"/>
      <c r="M310" s="364"/>
      <c r="N310" s="364"/>
      <c r="O310" s="364"/>
      <c r="P310" s="364"/>
      <c r="Q310" s="364"/>
      <c r="R310" s="364"/>
      <c r="S310" s="364"/>
      <c r="T310" s="364"/>
      <c r="U310" s="364"/>
      <c r="V310" s="364"/>
      <c r="W310" s="364"/>
      <c r="X310" s="364"/>
      <c r="Y310" s="364"/>
      <c r="Z310" s="364"/>
    </row>
    <row r="311" spans="1:26" ht="15.75" customHeight="1" x14ac:dyDescent="0.25">
      <c r="A311" s="364"/>
      <c r="B311" s="364"/>
      <c r="C311" s="364"/>
      <c r="D311" s="364"/>
      <c r="E311" s="364"/>
      <c r="F311" s="364"/>
      <c r="G311" s="364"/>
      <c r="H311" s="364"/>
      <c r="I311" s="364"/>
      <c r="J311" s="364"/>
      <c r="K311" s="364"/>
      <c r="L311" s="364"/>
      <c r="M311" s="364"/>
      <c r="N311" s="364"/>
      <c r="O311" s="364"/>
      <c r="P311" s="364"/>
      <c r="Q311" s="364"/>
      <c r="R311" s="364"/>
      <c r="S311" s="364"/>
      <c r="T311" s="364"/>
      <c r="U311" s="364"/>
      <c r="V311" s="364"/>
      <c r="W311" s="364"/>
      <c r="X311" s="364"/>
      <c r="Y311" s="364"/>
      <c r="Z311" s="364"/>
    </row>
    <row r="312" spans="1:26" ht="15.75" customHeight="1" x14ac:dyDescent="0.25">
      <c r="A312" s="364"/>
      <c r="B312" s="364"/>
      <c r="C312" s="364"/>
      <c r="D312" s="364"/>
      <c r="E312" s="364"/>
      <c r="F312" s="364"/>
      <c r="G312" s="364"/>
      <c r="H312" s="364"/>
      <c r="I312" s="364"/>
      <c r="J312" s="364"/>
      <c r="K312" s="364"/>
      <c r="L312" s="364"/>
      <c r="M312" s="364"/>
      <c r="N312" s="364"/>
      <c r="O312" s="364"/>
      <c r="P312" s="364"/>
      <c r="Q312" s="364"/>
      <c r="R312" s="364"/>
      <c r="S312" s="364"/>
      <c r="T312" s="364"/>
      <c r="U312" s="364"/>
      <c r="V312" s="364"/>
      <c r="W312" s="364"/>
      <c r="X312" s="364"/>
      <c r="Y312" s="364"/>
      <c r="Z312" s="364"/>
    </row>
    <row r="313" spans="1:26" ht="15.75" customHeight="1" x14ac:dyDescent="0.25">
      <c r="A313" s="364"/>
      <c r="B313" s="364"/>
      <c r="C313" s="364"/>
      <c r="D313" s="364"/>
      <c r="E313" s="364"/>
      <c r="F313" s="364"/>
      <c r="G313" s="364"/>
      <c r="H313" s="364"/>
      <c r="I313" s="364"/>
      <c r="J313" s="364"/>
      <c r="K313" s="364"/>
      <c r="L313" s="364"/>
      <c r="M313" s="364"/>
      <c r="N313" s="364"/>
      <c r="O313" s="364"/>
      <c r="P313" s="364"/>
      <c r="Q313" s="364"/>
      <c r="R313" s="364"/>
      <c r="S313" s="364"/>
      <c r="T313" s="364"/>
      <c r="U313" s="364"/>
      <c r="V313" s="364"/>
      <c r="W313" s="364"/>
      <c r="X313" s="364"/>
      <c r="Y313" s="364"/>
      <c r="Z313" s="364"/>
    </row>
    <row r="314" spans="1:26" ht="15.75" customHeight="1" x14ac:dyDescent="0.25">
      <c r="A314" s="364"/>
      <c r="B314" s="364"/>
      <c r="C314" s="364"/>
      <c r="D314" s="364"/>
      <c r="E314" s="364"/>
      <c r="F314" s="364"/>
      <c r="G314" s="364"/>
      <c r="H314" s="364"/>
      <c r="I314" s="364"/>
      <c r="J314" s="364"/>
      <c r="K314" s="364"/>
      <c r="L314" s="364"/>
      <c r="M314" s="364"/>
      <c r="N314" s="364"/>
      <c r="O314" s="364"/>
      <c r="P314" s="364"/>
      <c r="Q314" s="364"/>
      <c r="R314" s="364"/>
      <c r="S314" s="364"/>
      <c r="T314" s="364"/>
      <c r="U314" s="364"/>
      <c r="V314" s="364"/>
      <c r="W314" s="364"/>
      <c r="X314" s="364"/>
      <c r="Y314" s="364"/>
      <c r="Z314" s="364"/>
    </row>
    <row r="315" spans="1:26" ht="15.75" customHeight="1" x14ac:dyDescent="0.25">
      <c r="A315" s="364"/>
      <c r="B315" s="364"/>
      <c r="C315" s="364"/>
      <c r="D315" s="364"/>
      <c r="E315" s="364"/>
      <c r="F315" s="364"/>
      <c r="G315" s="364"/>
      <c r="H315" s="364"/>
      <c r="I315" s="364"/>
      <c r="J315" s="364"/>
      <c r="K315" s="364"/>
      <c r="L315" s="364"/>
      <c r="M315" s="364"/>
      <c r="N315" s="364"/>
      <c r="O315" s="364"/>
      <c r="P315" s="364"/>
      <c r="Q315" s="364"/>
      <c r="R315" s="364"/>
      <c r="S315" s="364"/>
      <c r="T315" s="364"/>
      <c r="U315" s="364"/>
      <c r="V315" s="364"/>
      <c r="W315" s="364"/>
      <c r="X315" s="364"/>
      <c r="Y315" s="364"/>
      <c r="Z315" s="364"/>
    </row>
    <row r="316" spans="1:26" ht="15.75" customHeight="1" x14ac:dyDescent="0.25">
      <c r="A316" s="364"/>
      <c r="B316" s="364"/>
      <c r="C316" s="364"/>
      <c r="D316" s="364"/>
      <c r="E316" s="364"/>
      <c r="F316" s="364"/>
      <c r="G316" s="364"/>
      <c r="H316" s="364"/>
      <c r="I316" s="364"/>
      <c r="J316" s="364"/>
      <c r="K316" s="364"/>
      <c r="L316" s="364"/>
      <c r="M316" s="364"/>
      <c r="N316" s="364"/>
      <c r="O316" s="364"/>
      <c r="P316" s="364"/>
      <c r="Q316" s="364"/>
      <c r="R316" s="364"/>
      <c r="S316" s="364"/>
      <c r="T316" s="364"/>
      <c r="U316" s="364"/>
      <c r="V316" s="364"/>
      <c r="W316" s="364"/>
      <c r="X316" s="364"/>
      <c r="Y316" s="364"/>
      <c r="Z316" s="364"/>
    </row>
    <row r="317" spans="1:26" ht="15.75" customHeight="1" x14ac:dyDescent="0.25">
      <c r="A317" s="364"/>
      <c r="B317" s="364"/>
      <c r="C317" s="364"/>
      <c r="D317" s="364"/>
      <c r="E317" s="364"/>
      <c r="F317" s="364"/>
      <c r="G317" s="364"/>
      <c r="H317" s="364"/>
      <c r="I317" s="364"/>
      <c r="J317" s="364"/>
      <c r="K317" s="364"/>
      <c r="L317" s="364"/>
      <c r="M317" s="364"/>
      <c r="N317" s="364"/>
      <c r="O317" s="364"/>
      <c r="P317" s="364"/>
      <c r="Q317" s="364"/>
      <c r="R317" s="364"/>
      <c r="S317" s="364"/>
      <c r="T317" s="364"/>
      <c r="U317" s="364"/>
      <c r="V317" s="364"/>
      <c r="W317" s="364"/>
      <c r="X317" s="364"/>
      <c r="Y317" s="364"/>
      <c r="Z317" s="364"/>
    </row>
    <row r="318" spans="1:26" ht="15.75" customHeight="1" x14ac:dyDescent="0.25">
      <c r="A318" s="364"/>
      <c r="B318" s="364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64"/>
      <c r="R318" s="364"/>
      <c r="S318" s="364"/>
      <c r="T318" s="364"/>
      <c r="U318" s="364"/>
      <c r="V318" s="364"/>
      <c r="W318" s="364"/>
      <c r="X318" s="364"/>
      <c r="Y318" s="364"/>
      <c r="Z318" s="364"/>
    </row>
    <row r="319" spans="1:26" ht="15.75" customHeight="1" x14ac:dyDescent="0.25">
      <c r="A319" s="364"/>
      <c r="B319" s="364"/>
      <c r="C319" s="364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64"/>
      <c r="R319" s="364"/>
      <c r="S319" s="364"/>
      <c r="T319" s="364"/>
      <c r="U319" s="364"/>
      <c r="V319" s="364"/>
      <c r="W319" s="364"/>
      <c r="X319" s="364"/>
      <c r="Y319" s="364"/>
      <c r="Z319" s="364"/>
    </row>
    <row r="320" spans="1:26" ht="15.75" customHeight="1" x14ac:dyDescent="0.25">
      <c r="A320" s="364"/>
      <c r="B320" s="364"/>
      <c r="C320" s="364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64"/>
      <c r="R320" s="364"/>
      <c r="S320" s="364"/>
      <c r="T320" s="364"/>
      <c r="U320" s="364"/>
      <c r="V320" s="364"/>
      <c r="W320" s="364"/>
      <c r="X320" s="364"/>
      <c r="Y320" s="364"/>
      <c r="Z320" s="364"/>
    </row>
    <row r="321" spans="1:26" ht="15.75" customHeight="1" x14ac:dyDescent="0.25">
      <c r="A321" s="364"/>
      <c r="B321" s="364"/>
      <c r="C321" s="364"/>
      <c r="D321" s="364"/>
      <c r="E321" s="364"/>
      <c r="F321" s="364"/>
      <c r="G321" s="364"/>
      <c r="H321" s="364"/>
      <c r="I321" s="364"/>
      <c r="J321" s="364"/>
      <c r="K321" s="364"/>
      <c r="L321" s="364"/>
      <c r="M321" s="364"/>
      <c r="N321" s="364"/>
      <c r="O321" s="364"/>
      <c r="P321" s="364"/>
      <c r="Q321" s="364"/>
      <c r="R321" s="364"/>
      <c r="S321" s="364"/>
      <c r="T321" s="364"/>
      <c r="U321" s="364"/>
      <c r="V321" s="364"/>
      <c r="W321" s="364"/>
      <c r="X321" s="364"/>
      <c r="Y321" s="364"/>
      <c r="Z321" s="364"/>
    </row>
    <row r="322" spans="1:26" ht="15.75" customHeight="1" x14ac:dyDescent="0.25">
      <c r="A322" s="364"/>
      <c r="B322" s="364"/>
      <c r="C322" s="364"/>
      <c r="D322" s="364"/>
      <c r="E322" s="364"/>
      <c r="F322" s="364"/>
      <c r="G322" s="364"/>
      <c r="H322" s="364"/>
      <c r="I322" s="364"/>
      <c r="J322" s="364"/>
      <c r="K322" s="364"/>
      <c r="L322" s="364"/>
      <c r="M322" s="364"/>
      <c r="N322" s="364"/>
      <c r="O322" s="364"/>
      <c r="P322" s="364"/>
      <c r="Q322" s="364"/>
      <c r="R322" s="364"/>
      <c r="S322" s="364"/>
      <c r="T322" s="364"/>
      <c r="U322" s="364"/>
      <c r="V322" s="364"/>
      <c r="W322" s="364"/>
      <c r="X322" s="364"/>
      <c r="Y322" s="364"/>
      <c r="Z322" s="364"/>
    </row>
    <row r="323" spans="1:26" ht="15.75" customHeight="1" x14ac:dyDescent="0.25">
      <c r="A323" s="364"/>
      <c r="B323" s="364"/>
      <c r="C323" s="364"/>
      <c r="D323" s="364"/>
      <c r="E323" s="364"/>
      <c r="F323" s="364"/>
      <c r="G323" s="364"/>
      <c r="H323" s="364"/>
      <c r="I323" s="364"/>
      <c r="J323" s="364"/>
      <c r="K323" s="364"/>
      <c r="L323" s="364"/>
      <c r="M323" s="364"/>
      <c r="N323" s="364"/>
      <c r="O323" s="364"/>
      <c r="P323" s="364"/>
      <c r="Q323" s="364"/>
      <c r="R323" s="364"/>
      <c r="S323" s="364"/>
      <c r="T323" s="364"/>
      <c r="U323" s="364"/>
      <c r="V323" s="364"/>
      <c r="W323" s="364"/>
      <c r="X323" s="364"/>
      <c r="Y323" s="364"/>
      <c r="Z323" s="364"/>
    </row>
    <row r="324" spans="1:26" ht="15.75" customHeight="1" x14ac:dyDescent="0.25">
      <c r="A324" s="364"/>
      <c r="B324" s="364"/>
      <c r="C324" s="364"/>
      <c r="D324" s="364"/>
      <c r="E324" s="364"/>
      <c r="F324" s="364"/>
      <c r="G324" s="364"/>
      <c r="H324" s="364"/>
      <c r="I324" s="364"/>
      <c r="J324" s="364"/>
      <c r="K324" s="364"/>
      <c r="L324" s="364"/>
      <c r="M324" s="364"/>
      <c r="N324" s="364"/>
      <c r="O324" s="364"/>
      <c r="P324" s="364"/>
      <c r="Q324" s="364"/>
      <c r="R324" s="364"/>
      <c r="S324" s="364"/>
      <c r="T324" s="364"/>
      <c r="U324" s="364"/>
      <c r="V324" s="364"/>
      <c r="W324" s="364"/>
      <c r="X324" s="364"/>
      <c r="Y324" s="364"/>
      <c r="Z324" s="364"/>
    </row>
    <row r="325" spans="1:26" ht="15.75" customHeight="1" x14ac:dyDescent="0.25">
      <c r="A325" s="364"/>
      <c r="B325" s="364"/>
      <c r="C325" s="364"/>
      <c r="D325" s="364"/>
      <c r="E325" s="364"/>
      <c r="F325" s="364"/>
      <c r="G325" s="364"/>
      <c r="H325" s="364"/>
      <c r="I325" s="364"/>
      <c r="J325" s="364"/>
      <c r="K325" s="364"/>
      <c r="L325" s="364"/>
      <c r="M325" s="364"/>
      <c r="N325" s="364"/>
      <c r="O325" s="364"/>
      <c r="P325" s="364"/>
      <c r="Q325" s="364"/>
      <c r="R325" s="364"/>
      <c r="S325" s="364"/>
      <c r="T325" s="364"/>
      <c r="U325" s="364"/>
      <c r="V325" s="364"/>
      <c r="W325" s="364"/>
      <c r="X325" s="364"/>
      <c r="Y325" s="364"/>
      <c r="Z325" s="364"/>
    </row>
    <row r="326" spans="1:26" ht="15.75" customHeight="1" x14ac:dyDescent="0.25">
      <c r="A326" s="364"/>
      <c r="B326" s="364"/>
      <c r="C326" s="364"/>
      <c r="D326" s="364"/>
      <c r="E326" s="364"/>
      <c r="F326" s="364"/>
      <c r="G326" s="364"/>
      <c r="H326" s="364"/>
      <c r="I326" s="364"/>
      <c r="J326" s="364"/>
      <c r="K326" s="364"/>
      <c r="L326" s="364"/>
      <c r="M326" s="364"/>
      <c r="N326" s="364"/>
      <c r="O326" s="364"/>
      <c r="P326" s="364"/>
      <c r="Q326" s="364"/>
      <c r="R326" s="364"/>
      <c r="S326" s="364"/>
      <c r="T326" s="364"/>
      <c r="U326" s="364"/>
      <c r="V326" s="364"/>
      <c r="W326" s="364"/>
      <c r="X326" s="364"/>
      <c r="Y326" s="364"/>
      <c r="Z326" s="364"/>
    </row>
    <row r="327" spans="1:26" ht="15.75" customHeight="1" x14ac:dyDescent="0.25">
      <c r="A327" s="364"/>
      <c r="B327" s="364"/>
      <c r="C327" s="364"/>
      <c r="D327" s="364"/>
      <c r="E327" s="364"/>
      <c r="F327" s="364"/>
      <c r="G327" s="364"/>
      <c r="H327" s="364"/>
      <c r="I327" s="364"/>
      <c r="J327" s="364"/>
      <c r="K327" s="364"/>
      <c r="L327" s="364"/>
      <c r="M327" s="364"/>
      <c r="N327" s="364"/>
      <c r="O327" s="364"/>
      <c r="P327" s="364"/>
      <c r="Q327" s="364"/>
      <c r="R327" s="364"/>
      <c r="S327" s="364"/>
      <c r="T327" s="364"/>
      <c r="U327" s="364"/>
      <c r="V327" s="364"/>
      <c r="W327" s="364"/>
      <c r="X327" s="364"/>
      <c r="Y327" s="364"/>
      <c r="Z327" s="364"/>
    </row>
    <row r="328" spans="1:26" ht="15.75" customHeight="1" x14ac:dyDescent="0.25">
      <c r="A328" s="364"/>
      <c r="B328" s="364"/>
      <c r="C328" s="364"/>
      <c r="D328" s="364"/>
      <c r="E328" s="364"/>
      <c r="F328" s="364"/>
      <c r="G328" s="364"/>
      <c r="H328" s="364"/>
      <c r="I328" s="364"/>
      <c r="J328" s="364"/>
      <c r="K328" s="364"/>
      <c r="L328" s="364"/>
      <c r="M328" s="364"/>
      <c r="N328" s="364"/>
      <c r="O328" s="364"/>
      <c r="P328" s="364"/>
      <c r="Q328" s="364"/>
      <c r="R328" s="364"/>
      <c r="S328" s="364"/>
      <c r="T328" s="364"/>
      <c r="U328" s="364"/>
      <c r="V328" s="364"/>
      <c r="W328" s="364"/>
      <c r="X328" s="364"/>
      <c r="Y328" s="364"/>
      <c r="Z328" s="364"/>
    </row>
    <row r="329" spans="1:26" ht="15.75" customHeight="1" x14ac:dyDescent="0.25">
      <c r="A329" s="364"/>
      <c r="B329" s="364"/>
      <c r="C329" s="364"/>
      <c r="D329" s="364"/>
      <c r="E329" s="364"/>
      <c r="F329" s="364"/>
      <c r="G329" s="364"/>
      <c r="H329" s="364"/>
      <c r="I329" s="364"/>
      <c r="J329" s="364"/>
      <c r="K329" s="364"/>
      <c r="L329" s="364"/>
      <c r="M329" s="364"/>
      <c r="N329" s="364"/>
      <c r="O329" s="364"/>
      <c r="P329" s="364"/>
      <c r="Q329" s="364"/>
      <c r="R329" s="364"/>
      <c r="S329" s="364"/>
      <c r="T329" s="364"/>
      <c r="U329" s="364"/>
      <c r="V329" s="364"/>
      <c r="W329" s="364"/>
      <c r="X329" s="364"/>
      <c r="Y329" s="364"/>
      <c r="Z329" s="364"/>
    </row>
    <row r="330" spans="1:26" ht="15.75" customHeight="1" x14ac:dyDescent="0.25">
      <c r="A330" s="364"/>
      <c r="B330" s="364"/>
      <c r="C330" s="364"/>
      <c r="D330" s="364"/>
      <c r="E330" s="364"/>
      <c r="F330" s="364"/>
      <c r="G330" s="364"/>
      <c r="H330" s="364"/>
      <c r="I330" s="364"/>
      <c r="J330" s="364"/>
      <c r="K330" s="364"/>
      <c r="L330" s="364"/>
      <c r="M330" s="364"/>
      <c r="N330" s="364"/>
      <c r="O330" s="364"/>
      <c r="P330" s="364"/>
      <c r="Q330" s="364"/>
      <c r="R330" s="364"/>
      <c r="S330" s="364"/>
      <c r="T330" s="364"/>
      <c r="U330" s="364"/>
      <c r="V330" s="364"/>
      <c r="W330" s="364"/>
      <c r="X330" s="364"/>
      <c r="Y330" s="364"/>
      <c r="Z330" s="364"/>
    </row>
    <row r="331" spans="1:26" ht="15.75" customHeight="1" x14ac:dyDescent="0.25">
      <c r="A331" s="364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4"/>
      <c r="P331" s="364"/>
      <c r="Q331" s="364"/>
      <c r="R331" s="364"/>
      <c r="S331" s="364"/>
      <c r="T331" s="364"/>
      <c r="U331" s="364"/>
      <c r="V331" s="364"/>
      <c r="W331" s="364"/>
      <c r="X331" s="364"/>
      <c r="Y331" s="364"/>
      <c r="Z331" s="364"/>
    </row>
    <row r="332" spans="1:26" ht="15.75" customHeight="1" x14ac:dyDescent="0.25">
      <c r="A332" s="364"/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4"/>
      <c r="P332" s="364"/>
      <c r="Q332" s="364"/>
      <c r="R332" s="364"/>
      <c r="S332" s="364"/>
      <c r="T332" s="364"/>
      <c r="U332" s="364"/>
      <c r="V332" s="364"/>
      <c r="W332" s="364"/>
      <c r="X332" s="364"/>
      <c r="Y332" s="364"/>
      <c r="Z332" s="364"/>
    </row>
    <row r="333" spans="1:26" ht="15.75" customHeight="1" x14ac:dyDescent="0.25">
      <c r="A333" s="364"/>
      <c r="B333" s="364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</row>
    <row r="334" spans="1:26" ht="15.75" customHeight="1" x14ac:dyDescent="0.25">
      <c r="A334" s="364"/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</row>
    <row r="335" spans="1:26" ht="15.75" customHeight="1" x14ac:dyDescent="0.25">
      <c r="A335" s="364"/>
      <c r="B335" s="364"/>
      <c r="C335" s="364"/>
      <c r="D335" s="364"/>
      <c r="E335" s="364"/>
      <c r="F335" s="364"/>
      <c r="G335" s="364"/>
      <c r="H335" s="364"/>
      <c r="I335" s="364"/>
      <c r="J335" s="364"/>
      <c r="K335" s="364"/>
      <c r="L335" s="364"/>
      <c r="M335" s="364"/>
      <c r="N335" s="364"/>
      <c r="O335" s="364"/>
      <c r="P335" s="364"/>
      <c r="Q335" s="364"/>
      <c r="R335" s="364"/>
      <c r="S335" s="364"/>
      <c r="T335" s="364"/>
      <c r="U335" s="364"/>
      <c r="V335" s="364"/>
      <c r="W335" s="364"/>
      <c r="X335" s="364"/>
      <c r="Y335" s="364"/>
      <c r="Z335" s="364"/>
    </row>
    <row r="336" spans="1:26" ht="15.75" customHeight="1" x14ac:dyDescent="0.25">
      <c r="A336" s="364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4"/>
      <c r="P336" s="364"/>
      <c r="Q336" s="364"/>
      <c r="R336" s="364"/>
      <c r="S336" s="364"/>
      <c r="T336" s="364"/>
      <c r="U336" s="364"/>
      <c r="V336" s="364"/>
      <c r="W336" s="364"/>
      <c r="X336" s="364"/>
      <c r="Y336" s="364"/>
      <c r="Z336" s="364"/>
    </row>
    <row r="337" spans="1:26" ht="15.75" customHeight="1" x14ac:dyDescent="0.25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4"/>
      <c r="P337" s="364"/>
      <c r="Q337" s="364"/>
      <c r="R337" s="364"/>
      <c r="S337" s="364"/>
      <c r="T337" s="364"/>
      <c r="U337" s="364"/>
      <c r="V337" s="364"/>
      <c r="W337" s="364"/>
      <c r="X337" s="364"/>
      <c r="Y337" s="364"/>
      <c r="Z337" s="364"/>
    </row>
    <row r="338" spans="1:26" ht="15.75" customHeight="1" x14ac:dyDescent="0.25">
      <c r="A338" s="364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364"/>
      <c r="P338" s="364"/>
      <c r="Q338" s="364"/>
      <c r="R338" s="364"/>
      <c r="S338" s="364"/>
      <c r="T338" s="364"/>
      <c r="U338" s="364"/>
      <c r="V338" s="364"/>
      <c r="W338" s="364"/>
      <c r="X338" s="364"/>
      <c r="Y338" s="364"/>
      <c r="Z338" s="364"/>
    </row>
    <row r="339" spans="1:26" ht="15.75" customHeight="1" x14ac:dyDescent="0.25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364"/>
      <c r="P339" s="364"/>
      <c r="Q339" s="364"/>
      <c r="R339" s="364"/>
      <c r="S339" s="364"/>
      <c r="T339" s="364"/>
      <c r="U339" s="364"/>
      <c r="V339" s="364"/>
      <c r="W339" s="364"/>
      <c r="X339" s="364"/>
      <c r="Y339" s="364"/>
      <c r="Z339" s="364"/>
    </row>
    <row r="340" spans="1:26" ht="15.75" customHeight="1" x14ac:dyDescent="0.25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364"/>
      <c r="P340" s="364"/>
      <c r="Q340" s="364"/>
      <c r="R340" s="364"/>
      <c r="S340" s="364"/>
      <c r="T340" s="364"/>
      <c r="U340" s="364"/>
      <c r="V340" s="364"/>
      <c r="W340" s="364"/>
      <c r="X340" s="364"/>
      <c r="Y340" s="364"/>
      <c r="Z340" s="364"/>
    </row>
    <row r="341" spans="1:26" ht="15.75" customHeight="1" x14ac:dyDescent="0.25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364"/>
      <c r="P341" s="364"/>
      <c r="Q341" s="364"/>
      <c r="R341" s="364"/>
      <c r="S341" s="364"/>
      <c r="T341" s="364"/>
      <c r="U341" s="364"/>
      <c r="V341" s="364"/>
      <c r="W341" s="364"/>
      <c r="X341" s="364"/>
      <c r="Y341" s="364"/>
      <c r="Z341" s="364"/>
    </row>
    <row r="342" spans="1:26" ht="15.75" customHeight="1" x14ac:dyDescent="0.25">
      <c r="A342" s="364"/>
      <c r="B342" s="364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364"/>
      <c r="P342" s="364"/>
      <c r="Q342" s="364"/>
      <c r="R342" s="364"/>
      <c r="S342" s="364"/>
      <c r="T342" s="364"/>
      <c r="U342" s="364"/>
      <c r="V342" s="364"/>
      <c r="W342" s="364"/>
      <c r="X342" s="364"/>
      <c r="Y342" s="364"/>
      <c r="Z342" s="364"/>
    </row>
    <row r="343" spans="1:26" ht="15.75" customHeight="1" x14ac:dyDescent="0.25">
      <c r="A343" s="364"/>
      <c r="B343" s="364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364"/>
      <c r="P343" s="364"/>
      <c r="Q343" s="364"/>
      <c r="R343" s="364"/>
      <c r="S343" s="364"/>
      <c r="T343" s="364"/>
      <c r="U343" s="364"/>
      <c r="V343" s="364"/>
      <c r="W343" s="364"/>
      <c r="X343" s="364"/>
      <c r="Y343" s="364"/>
      <c r="Z343" s="364"/>
    </row>
    <row r="344" spans="1:26" ht="15.75" customHeight="1" x14ac:dyDescent="0.25">
      <c r="A344" s="364"/>
      <c r="B344" s="364"/>
      <c r="C344" s="364"/>
      <c r="D344" s="364"/>
      <c r="E344" s="364"/>
      <c r="F344" s="364"/>
      <c r="G344" s="364"/>
      <c r="H344" s="364"/>
      <c r="I344" s="364"/>
      <c r="J344" s="364"/>
      <c r="K344" s="364"/>
      <c r="L344" s="364"/>
      <c r="M344" s="364"/>
      <c r="N344" s="364"/>
      <c r="O344" s="364"/>
      <c r="P344" s="364"/>
      <c r="Q344" s="364"/>
      <c r="R344" s="364"/>
      <c r="S344" s="364"/>
      <c r="T344" s="364"/>
      <c r="U344" s="364"/>
      <c r="V344" s="364"/>
      <c r="W344" s="364"/>
      <c r="X344" s="364"/>
      <c r="Y344" s="364"/>
      <c r="Z344" s="364"/>
    </row>
    <row r="345" spans="1:26" ht="15.75" customHeight="1" x14ac:dyDescent="0.25">
      <c r="A345" s="364"/>
      <c r="B345" s="364"/>
      <c r="C345" s="364"/>
      <c r="D345" s="364"/>
      <c r="E345" s="364"/>
      <c r="F345" s="364"/>
      <c r="G345" s="364"/>
      <c r="H345" s="364"/>
      <c r="I345" s="364"/>
      <c r="J345" s="364"/>
      <c r="K345" s="364"/>
      <c r="L345" s="364"/>
      <c r="M345" s="364"/>
      <c r="N345" s="364"/>
      <c r="O345" s="364"/>
      <c r="P345" s="364"/>
      <c r="Q345" s="364"/>
      <c r="R345" s="364"/>
      <c r="S345" s="364"/>
      <c r="T345" s="364"/>
      <c r="U345" s="364"/>
      <c r="V345" s="364"/>
      <c r="W345" s="364"/>
      <c r="X345" s="364"/>
      <c r="Y345" s="364"/>
      <c r="Z345" s="364"/>
    </row>
    <row r="346" spans="1:26" ht="15.75" customHeight="1" x14ac:dyDescent="0.25">
      <c r="A346" s="364"/>
      <c r="B346" s="364"/>
      <c r="C346" s="364"/>
      <c r="D346" s="364"/>
      <c r="E346" s="364"/>
      <c r="F346" s="364"/>
      <c r="G346" s="364"/>
      <c r="H346" s="364"/>
      <c r="I346" s="364"/>
      <c r="J346" s="364"/>
      <c r="K346" s="364"/>
      <c r="L346" s="364"/>
      <c r="M346" s="364"/>
      <c r="N346" s="364"/>
      <c r="O346" s="364"/>
      <c r="P346" s="364"/>
      <c r="Q346" s="364"/>
      <c r="R346" s="364"/>
      <c r="S346" s="364"/>
      <c r="T346" s="364"/>
      <c r="U346" s="364"/>
      <c r="V346" s="364"/>
      <c r="W346" s="364"/>
      <c r="X346" s="364"/>
      <c r="Y346" s="364"/>
      <c r="Z346" s="364"/>
    </row>
    <row r="347" spans="1:26" ht="15.75" customHeight="1" x14ac:dyDescent="0.25">
      <c r="A347" s="364"/>
      <c r="B347" s="364"/>
      <c r="C347" s="364"/>
      <c r="D347" s="364"/>
      <c r="E347" s="364"/>
      <c r="F347" s="364"/>
      <c r="G347" s="364"/>
      <c r="H347" s="364"/>
      <c r="I347" s="364"/>
      <c r="J347" s="364"/>
      <c r="K347" s="364"/>
      <c r="L347" s="364"/>
      <c r="M347" s="364"/>
      <c r="N347" s="364"/>
      <c r="O347" s="364"/>
      <c r="P347" s="364"/>
      <c r="Q347" s="364"/>
      <c r="R347" s="364"/>
      <c r="S347" s="364"/>
      <c r="T347" s="364"/>
      <c r="U347" s="364"/>
      <c r="V347" s="364"/>
      <c r="W347" s="364"/>
      <c r="X347" s="364"/>
      <c r="Y347" s="364"/>
      <c r="Z347" s="364"/>
    </row>
    <row r="348" spans="1:26" ht="15.75" customHeight="1" x14ac:dyDescent="0.25">
      <c r="A348" s="364"/>
      <c r="B348" s="364"/>
      <c r="C348" s="364"/>
      <c r="D348" s="364"/>
      <c r="E348" s="364"/>
      <c r="F348" s="364"/>
      <c r="G348" s="364"/>
      <c r="H348" s="364"/>
      <c r="I348" s="364"/>
      <c r="J348" s="364"/>
      <c r="K348" s="364"/>
      <c r="L348" s="364"/>
      <c r="M348" s="364"/>
      <c r="N348" s="364"/>
      <c r="O348" s="364"/>
      <c r="P348" s="364"/>
      <c r="Q348" s="364"/>
      <c r="R348" s="364"/>
      <c r="S348" s="364"/>
      <c r="T348" s="364"/>
      <c r="U348" s="364"/>
      <c r="V348" s="364"/>
      <c r="W348" s="364"/>
      <c r="X348" s="364"/>
      <c r="Y348" s="364"/>
      <c r="Z348" s="364"/>
    </row>
    <row r="349" spans="1:26" ht="15.75" customHeight="1" x14ac:dyDescent="0.25">
      <c r="A349" s="364"/>
      <c r="B349" s="364"/>
      <c r="C349" s="364"/>
      <c r="D349" s="364"/>
      <c r="E349" s="364"/>
      <c r="F349" s="364"/>
      <c r="G349" s="364"/>
      <c r="H349" s="364"/>
      <c r="I349" s="364"/>
      <c r="J349" s="364"/>
      <c r="K349" s="364"/>
      <c r="L349" s="364"/>
      <c r="M349" s="364"/>
      <c r="N349" s="364"/>
      <c r="O349" s="364"/>
      <c r="P349" s="364"/>
      <c r="Q349" s="364"/>
      <c r="R349" s="364"/>
      <c r="S349" s="364"/>
      <c r="T349" s="364"/>
      <c r="U349" s="364"/>
      <c r="V349" s="364"/>
      <c r="W349" s="364"/>
      <c r="X349" s="364"/>
      <c r="Y349" s="364"/>
      <c r="Z349" s="364"/>
    </row>
    <row r="350" spans="1:26" ht="15.75" customHeight="1" x14ac:dyDescent="0.25">
      <c r="A350" s="364"/>
      <c r="B350" s="364"/>
      <c r="C350" s="364"/>
      <c r="D350" s="364"/>
      <c r="E350" s="364"/>
      <c r="F350" s="364"/>
      <c r="G350" s="364"/>
      <c r="H350" s="364"/>
      <c r="I350" s="364"/>
      <c r="J350" s="364"/>
      <c r="K350" s="364"/>
      <c r="L350" s="364"/>
      <c r="M350" s="364"/>
      <c r="N350" s="364"/>
      <c r="O350" s="364"/>
      <c r="P350" s="364"/>
      <c r="Q350" s="364"/>
      <c r="R350" s="364"/>
      <c r="S350" s="364"/>
      <c r="T350" s="364"/>
      <c r="U350" s="364"/>
      <c r="V350" s="364"/>
      <c r="W350" s="364"/>
      <c r="X350" s="364"/>
      <c r="Y350" s="364"/>
      <c r="Z350" s="364"/>
    </row>
    <row r="351" spans="1:26" ht="15.75" customHeight="1" x14ac:dyDescent="0.25">
      <c r="A351" s="364"/>
      <c r="B351" s="364"/>
      <c r="C351" s="364"/>
      <c r="D351" s="364"/>
      <c r="E351" s="364"/>
      <c r="F351" s="364"/>
      <c r="G351" s="364"/>
      <c r="H351" s="364"/>
      <c r="I351" s="364"/>
      <c r="J351" s="364"/>
      <c r="K351" s="364"/>
      <c r="L351" s="364"/>
      <c r="M351" s="364"/>
      <c r="N351" s="364"/>
      <c r="O351" s="364"/>
      <c r="P351" s="364"/>
      <c r="Q351" s="364"/>
      <c r="R351" s="364"/>
      <c r="S351" s="364"/>
      <c r="T351" s="364"/>
      <c r="U351" s="364"/>
      <c r="V351" s="364"/>
      <c r="W351" s="364"/>
      <c r="X351" s="364"/>
      <c r="Y351" s="364"/>
      <c r="Z351" s="364"/>
    </row>
    <row r="352" spans="1:26" ht="15.75" customHeight="1" x14ac:dyDescent="0.25">
      <c r="A352" s="364"/>
      <c r="B352" s="364"/>
      <c r="C352" s="364"/>
      <c r="D352" s="364"/>
      <c r="E352" s="364"/>
      <c r="F352" s="364"/>
      <c r="G352" s="364"/>
      <c r="H352" s="364"/>
      <c r="I352" s="364"/>
      <c r="J352" s="364"/>
      <c r="K352" s="364"/>
      <c r="L352" s="364"/>
      <c r="M352" s="364"/>
      <c r="N352" s="364"/>
      <c r="O352" s="364"/>
      <c r="P352" s="364"/>
      <c r="Q352" s="364"/>
      <c r="R352" s="364"/>
      <c r="S352" s="364"/>
      <c r="T352" s="364"/>
      <c r="U352" s="364"/>
      <c r="V352" s="364"/>
      <c r="W352" s="364"/>
      <c r="X352" s="364"/>
      <c r="Y352" s="364"/>
      <c r="Z352" s="364"/>
    </row>
    <row r="353" spans="1:26" ht="15.75" customHeight="1" x14ac:dyDescent="0.25">
      <c r="A353" s="364"/>
      <c r="B353" s="364"/>
      <c r="C353" s="364"/>
      <c r="D353" s="364"/>
      <c r="E353" s="364"/>
      <c r="F353" s="364"/>
      <c r="G353" s="364"/>
      <c r="H353" s="364"/>
      <c r="I353" s="364"/>
      <c r="J353" s="364"/>
      <c r="K353" s="364"/>
      <c r="L353" s="364"/>
      <c r="M353" s="364"/>
      <c r="N353" s="364"/>
      <c r="O353" s="364"/>
      <c r="P353" s="364"/>
      <c r="Q353" s="364"/>
      <c r="R353" s="364"/>
      <c r="S353" s="364"/>
      <c r="T353" s="364"/>
      <c r="U353" s="364"/>
      <c r="V353" s="364"/>
      <c r="W353" s="364"/>
      <c r="X353" s="364"/>
      <c r="Y353" s="364"/>
      <c r="Z353" s="364"/>
    </row>
    <row r="354" spans="1:26" ht="15.75" customHeight="1" x14ac:dyDescent="0.25">
      <c r="A354" s="364"/>
      <c r="B354" s="364"/>
      <c r="C354" s="364"/>
      <c r="D354" s="364"/>
      <c r="E354" s="364"/>
      <c r="F354" s="364"/>
      <c r="G354" s="364"/>
      <c r="H354" s="364"/>
      <c r="I354" s="364"/>
      <c r="J354" s="364"/>
      <c r="K354" s="364"/>
      <c r="L354" s="364"/>
      <c r="M354" s="364"/>
      <c r="N354" s="364"/>
      <c r="O354" s="364"/>
      <c r="P354" s="364"/>
      <c r="Q354" s="364"/>
      <c r="R354" s="364"/>
      <c r="S354" s="364"/>
      <c r="T354" s="364"/>
      <c r="U354" s="364"/>
      <c r="V354" s="364"/>
      <c r="W354" s="364"/>
      <c r="X354" s="364"/>
      <c r="Y354" s="364"/>
      <c r="Z354" s="364"/>
    </row>
    <row r="355" spans="1:26" ht="15.75" customHeight="1" x14ac:dyDescent="0.25">
      <c r="A355" s="364"/>
      <c r="B355" s="364"/>
      <c r="C355" s="364"/>
      <c r="D355" s="364"/>
      <c r="E355" s="364"/>
      <c r="F355" s="364"/>
      <c r="G355" s="364"/>
      <c r="H355" s="364"/>
      <c r="I355" s="364"/>
      <c r="J355" s="364"/>
      <c r="K355" s="364"/>
      <c r="L355" s="364"/>
      <c r="M355" s="364"/>
      <c r="N355" s="364"/>
      <c r="O355" s="364"/>
      <c r="P355" s="364"/>
      <c r="Q355" s="364"/>
      <c r="R355" s="364"/>
      <c r="S355" s="364"/>
      <c r="T355" s="364"/>
      <c r="U355" s="364"/>
      <c r="V355" s="364"/>
      <c r="W355" s="364"/>
      <c r="X355" s="364"/>
      <c r="Y355" s="364"/>
      <c r="Z355" s="364"/>
    </row>
    <row r="356" spans="1:26" ht="15.75" customHeight="1" x14ac:dyDescent="0.25">
      <c r="A356" s="364"/>
      <c r="B356" s="364"/>
      <c r="C356" s="364"/>
      <c r="D356" s="364"/>
      <c r="E356" s="364"/>
      <c r="F356" s="364"/>
      <c r="G356" s="364"/>
      <c r="H356" s="364"/>
      <c r="I356" s="364"/>
      <c r="J356" s="364"/>
      <c r="K356" s="364"/>
      <c r="L356" s="364"/>
      <c r="M356" s="364"/>
      <c r="N356" s="364"/>
      <c r="O356" s="364"/>
      <c r="P356" s="364"/>
      <c r="Q356" s="364"/>
      <c r="R356" s="364"/>
      <c r="S356" s="364"/>
      <c r="T356" s="364"/>
      <c r="U356" s="364"/>
      <c r="V356" s="364"/>
      <c r="W356" s="364"/>
      <c r="X356" s="364"/>
      <c r="Y356" s="364"/>
      <c r="Z356" s="364"/>
    </row>
    <row r="357" spans="1:26" ht="15.75" customHeight="1" x14ac:dyDescent="0.25">
      <c r="A357" s="364"/>
      <c r="B357" s="364"/>
      <c r="C357" s="364"/>
      <c r="D357" s="364"/>
      <c r="E357" s="364"/>
      <c r="F357" s="364"/>
      <c r="G357" s="364"/>
      <c r="H357" s="364"/>
      <c r="I357" s="364"/>
      <c r="J357" s="364"/>
      <c r="K357" s="364"/>
      <c r="L357" s="364"/>
      <c r="M357" s="364"/>
      <c r="N357" s="364"/>
      <c r="O357" s="364"/>
      <c r="P357" s="364"/>
      <c r="Q357" s="364"/>
      <c r="R357" s="364"/>
      <c r="S357" s="364"/>
      <c r="T357" s="364"/>
      <c r="U357" s="364"/>
      <c r="V357" s="364"/>
      <c r="W357" s="364"/>
      <c r="X357" s="364"/>
      <c r="Y357" s="364"/>
      <c r="Z357" s="364"/>
    </row>
    <row r="358" spans="1:26" ht="15.75" customHeight="1" x14ac:dyDescent="0.25">
      <c r="A358" s="364"/>
      <c r="B358" s="364"/>
      <c r="C358" s="364"/>
      <c r="D358" s="364"/>
      <c r="E358" s="364"/>
      <c r="F358" s="364"/>
      <c r="G358" s="364"/>
      <c r="H358" s="364"/>
      <c r="I358" s="364"/>
      <c r="J358" s="364"/>
      <c r="K358" s="364"/>
      <c r="L358" s="364"/>
      <c r="M358" s="364"/>
      <c r="N358" s="364"/>
      <c r="O358" s="364"/>
      <c r="P358" s="364"/>
      <c r="Q358" s="364"/>
      <c r="R358" s="364"/>
      <c r="S358" s="364"/>
      <c r="T358" s="364"/>
      <c r="U358" s="364"/>
      <c r="V358" s="364"/>
      <c r="W358" s="364"/>
      <c r="X358" s="364"/>
      <c r="Y358" s="364"/>
      <c r="Z358" s="364"/>
    </row>
    <row r="359" spans="1:26" ht="15.75" customHeight="1" x14ac:dyDescent="0.25">
      <c r="A359" s="364"/>
      <c r="B359" s="364"/>
      <c r="C359" s="364"/>
      <c r="D359" s="364"/>
      <c r="E359" s="364"/>
      <c r="F359" s="364"/>
      <c r="G359" s="364"/>
      <c r="H359" s="364"/>
      <c r="I359" s="364"/>
      <c r="J359" s="364"/>
      <c r="K359" s="364"/>
      <c r="L359" s="364"/>
      <c r="M359" s="364"/>
      <c r="N359" s="364"/>
      <c r="O359" s="364"/>
      <c r="P359" s="364"/>
      <c r="Q359" s="364"/>
      <c r="R359" s="364"/>
      <c r="S359" s="364"/>
      <c r="T359" s="364"/>
      <c r="U359" s="364"/>
      <c r="V359" s="364"/>
      <c r="W359" s="364"/>
      <c r="X359" s="364"/>
      <c r="Y359" s="364"/>
      <c r="Z359" s="364"/>
    </row>
    <row r="360" spans="1:26" ht="15.75" customHeight="1" x14ac:dyDescent="0.25">
      <c r="A360" s="364"/>
      <c r="B360" s="364"/>
      <c r="C360" s="364"/>
      <c r="D360" s="364"/>
      <c r="E360" s="364"/>
      <c r="F360" s="364"/>
      <c r="G360" s="364"/>
      <c r="H360" s="364"/>
      <c r="I360" s="364"/>
      <c r="J360" s="364"/>
      <c r="K360" s="364"/>
      <c r="L360" s="364"/>
      <c r="M360" s="364"/>
      <c r="N360" s="364"/>
      <c r="O360" s="364"/>
      <c r="P360" s="364"/>
      <c r="Q360" s="364"/>
      <c r="R360" s="364"/>
      <c r="S360" s="364"/>
      <c r="T360" s="364"/>
      <c r="U360" s="364"/>
      <c r="V360" s="364"/>
      <c r="W360" s="364"/>
      <c r="X360" s="364"/>
      <c r="Y360" s="364"/>
      <c r="Z360" s="364"/>
    </row>
    <row r="361" spans="1:26" ht="15.75" customHeight="1" x14ac:dyDescent="0.25">
      <c r="A361" s="364"/>
      <c r="B361" s="364"/>
      <c r="C361" s="364"/>
      <c r="D361" s="364"/>
      <c r="E361" s="364"/>
      <c r="F361" s="364"/>
      <c r="G361" s="364"/>
      <c r="H361" s="364"/>
      <c r="I361" s="364"/>
      <c r="J361" s="364"/>
      <c r="K361" s="364"/>
      <c r="L361" s="364"/>
      <c r="M361" s="364"/>
      <c r="N361" s="364"/>
      <c r="O361" s="364"/>
      <c r="P361" s="364"/>
      <c r="Q361" s="364"/>
      <c r="R361" s="364"/>
      <c r="S361" s="364"/>
      <c r="T361" s="364"/>
      <c r="U361" s="364"/>
      <c r="V361" s="364"/>
      <c r="W361" s="364"/>
      <c r="X361" s="364"/>
      <c r="Y361" s="364"/>
      <c r="Z361" s="364"/>
    </row>
    <row r="362" spans="1:26" ht="15.75" customHeight="1" x14ac:dyDescent="0.25">
      <c r="A362" s="364"/>
      <c r="B362" s="364"/>
      <c r="C362" s="364"/>
      <c r="D362" s="364"/>
      <c r="E362" s="364"/>
      <c r="F362" s="364"/>
      <c r="G362" s="364"/>
      <c r="H362" s="364"/>
      <c r="I362" s="364"/>
      <c r="J362" s="364"/>
      <c r="K362" s="364"/>
      <c r="L362" s="364"/>
      <c r="M362" s="364"/>
      <c r="N362" s="364"/>
      <c r="O362" s="364"/>
      <c r="P362" s="364"/>
      <c r="Q362" s="364"/>
      <c r="R362" s="364"/>
      <c r="S362" s="364"/>
      <c r="T362" s="364"/>
      <c r="U362" s="364"/>
      <c r="V362" s="364"/>
      <c r="W362" s="364"/>
      <c r="X362" s="364"/>
      <c r="Y362" s="364"/>
      <c r="Z362" s="364"/>
    </row>
    <row r="363" spans="1:26" ht="15.75" customHeight="1" x14ac:dyDescent="0.25">
      <c r="A363" s="364"/>
      <c r="B363" s="364"/>
      <c r="C363" s="364"/>
      <c r="D363" s="364"/>
      <c r="E363" s="364"/>
      <c r="F363" s="364"/>
      <c r="G363" s="364"/>
      <c r="H363" s="364"/>
      <c r="I363" s="364"/>
      <c r="J363" s="364"/>
      <c r="K363" s="364"/>
      <c r="L363" s="364"/>
      <c r="M363" s="364"/>
      <c r="N363" s="364"/>
      <c r="O363" s="364"/>
      <c r="P363" s="364"/>
      <c r="Q363" s="364"/>
      <c r="R363" s="364"/>
      <c r="S363" s="364"/>
      <c r="T363" s="364"/>
      <c r="U363" s="364"/>
      <c r="V363" s="364"/>
      <c r="W363" s="364"/>
      <c r="X363" s="364"/>
      <c r="Y363" s="364"/>
      <c r="Z363" s="364"/>
    </row>
    <row r="364" spans="1:26" ht="15.75" customHeight="1" x14ac:dyDescent="0.25">
      <c r="A364" s="364"/>
      <c r="B364" s="364"/>
      <c r="C364" s="364"/>
      <c r="D364" s="364"/>
      <c r="E364" s="364"/>
      <c r="F364" s="364"/>
      <c r="G364" s="364"/>
      <c r="H364" s="364"/>
      <c r="I364" s="364"/>
      <c r="J364" s="364"/>
      <c r="K364" s="364"/>
      <c r="L364" s="364"/>
      <c r="M364" s="364"/>
      <c r="N364" s="364"/>
      <c r="O364" s="364"/>
      <c r="P364" s="364"/>
      <c r="Q364" s="364"/>
      <c r="R364" s="364"/>
      <c r="S364" s="364"/>
      <c r="T364" s="364"/>
      <c r="U364" s="364"/>
      <c r="V364" s="364"/>
      <c r="W364" s="364"/>
      <c r="X364" s="364"/>
      <c r="Y364" s="364"/>
      <c r="Z364" s="364"/>
    </row>
    <row r="365" spans="1:26" ht="15.75" customHeight="1" x14ac:dyDescent="0.25">
      <c r="A365" s="364"/>
      <c r="B365" s="364"/>
      <c r="C365" s="364"/>
      <c r="D365" s="364"/>
      <c r="E365" s="364"/>
      <c r="F365" s="364"/>
      <c r="G365" s="364"/>
      <c r="H365" s="364"/>
      <c r="I365" s="364"/>
      <c r="J365" s="364"/>
      <c r="K365" s="364"/>
      <c r="L365" s="364"/>
      <c r="M365" s="364"/>
      <c r="N365" s="364"/>
      <c r="O365" s="364"/>
      <c r="P365" s="364"/>
      <c r="Q365" s="364"/>
      <c r="R365" s="364"/>
      <c r="S365" s="364"/>
      <c r="T365" s="364"/>
      <c r="U365" s="364"/>
      <c r="V365" s="364"/>
      <c r="W365" s="364"/>
      <c r="X365" s="364"/>
      <c r="Y365" s="364"/>
      <c r="Z365" s="364"/>
    </row>
    <row r="366" spans="1:26" ht="15.75" customHeight="1" x14ac:dyDescent="0.25">
      <c r="A366" s="364"/>
      <c r="B366" s="364"/>
      <c r="C366" s="364"/>
      <c r="D366" s="364"/>
      <c r="E366" s="364"/>
      <c r="F366" s="364"/>
      <c r="G366" s="364"/>
      <c r="H366" s="364"/>
      <c r="I366" s="364"/>
      <c r="J366" s="364"/>
      <c r="K366" s="364"/>
      <c r="L366" s="364"/>
      <c r="M366" s="364"/>
      <c r="N366" s="364"/>
      <c r="O366" s="364"/>
      <c r="P366" s="364"/>
      <c r="Q366" s="364"/>
      <c r="R366" s="364"/>
      <c r="S366" s="364"/>
      <c r="T366" s="364"/>
      <c r="U366" s="364"/>
      <c r="V366" s="364"/>
      <c r="W366" s="364"/>
      <c r="X366" s="364"/>
      <c r="Y366" s="364"/>
      <c r="Z366" s="364"/>
    </row>
    <row r="367" spans="1:26" ht="15.75" customHeight="1" x14ac:dyDescent="0.25">
      <c r="A367" s="364"/>
      <c r="B367" s="364"/>
      <c r="C367" s="364"/>
      <c r="D367" s="364"/>
      <c r="E367" s="364"/>
      <c r="F367" s="364"/>
      <c r="G367" s="364"/>
      <c r="H367" s="364"/>
      <c r="I367" s="364"/>
      <c r="J367" s="364"/>
      <c r="K367" s="364"/>
      <c r="L367" s="364"/>
      <c r="M367" s="364"/>
      <c r="N367" s="364"/>
      <c r="O367" s="364"/>
      <c r="P367" s="364"/>
      <c r="Q367" s="364"/>
      <c r="R367" s="364"/>
      <c r="S367" s="364"/>
      <c r="T367" s="364"/>
      <c r="U367" s="364"/>
      <c r="V367" s="364"/>
      <c r="W367" s="364"/>
      <c r="X367" s="364"/>
      <c r="Y367" s="364"/>
      <c r="Z367" s="364"/>
    </row>
    <row r="368" spans="1:26" ht="15.75" customHeight="1" x14ac:dyDescent="0.25">
      <c r="A368" s="364"/>
      <c r="B368" s="364"/>
      <c r="C368" s="364"/>
      <c r="D368" s="364"/>
      <c r="E368" s="364"/>
      <c r="F368" s="364"/>
      <c r="G368" s="364"/>
      <c r="H368" s="364"/>
      <c r="I368" s="364"/>
      <c r="J368" s="364"/>
      <c r="K368" s="364"/>
      <c r="L368" s="364"/>
      <c r="M368" s="364"/>
      <c r="N368" s="364"/>
      <c r="O368" s="364"/>
      <c r="P368" s="364"/>
      <c r="Q368" s="364"/>
      <c r="R368" s="364"/>
      <c r="S368" s="364"/>
      <c r="T368" s="364"/>
      <c r="U368" s="364"/>
      <c r="V368" s="364"/>
      <c r="W368" s="364"/>
      <c r="X368" s="364"/>
      <c r="Y368" s="364"/>
      <c r="Z368" s="364"/>
    </row>
    <row r="369" spans="1:26" ht="15.75" customHeight="1" x14ac:dyDescent="0.25">
      <c r="A369" s="364"/>
      <c r="B369" s="364"/>
      <c r="C369" s="364"/>
      <c r="D369" s="364"/>
      <c r="E369" s="364"/>
      <c r="F369" s="364"/>
      <c r="G369" s="364"/>
      <c r="H369" s="364"/>
      <c r="I369" s="364"/>
      <c r="J369" s="364"/>
      <c r="K369" s="364"/>
      <c r="L369" s="364"/>
      <c r="M369" s="364"/>
      <c r="N369" s="364"/>
      <c r="O369" s="364"/>
      <c r="P369" s="364"/>
      <c r="Q369" s="364"/>
      <c r="R369" s="364"/>
      <c r="S369" s="364"/>
      <c r="T369" s="364"/>
      <c r="U369" s="364"/>
      <c r="V369" s="364"/>
      <c r="W369" s="364"/>
      <c r="X369" s="364"/>
      <c r="Y369" s="364"/>
      <c r="Z369" s="364"/>
    </row>
    <row r="370" spans="1:26" ht="15.75" customHeight="1" x14ac:dyDescent="0.25">
      <c r="A370" s="364"/>
      <c r="B370" s="364"/>
      <c r="C370" s="364"/>
      <c r="D370" s="364"/>
      <c r="E370" s="364"/>
      <c r="F370" s="364"/>
      <c r="G370" s="364"/>
      <c r="H370" s="364"/>
      <c r="I370" s="364"/>
      <c r="J370" s="364"/>
      <c r="K370" s="364"/>
      <c r="L370" s="364"/>
      <c r="M370" s="364"/>
      <c r="N370" s="364"/>
      <c r="O370" s="364"/>
      <c r="P370" s="364"/>
      <c r="Q370" s="364"/>
      <c r="R370" s="364"/>
      <c r="S370" s="364"/>
      <c r="T370" s="364"/>
      <c r="U370" s="364"/>
      <c r="V370" s="364"/>
      <c r="W370" s="364"/>
      <c r="X370" s="364"/>
      <c r="Y370" s="364"/>
      <c r="Z370" s="364"/>
    </row>
    <row r="371" spans="1:26" ht="15.75" customHeight="1" x14ac:dyDescent="0.25">
      <c r="A371" s="364"/>
      <c r="B371" s="364"/>
      <c r="C371" s="364"/>
      <c r="D371" s="364"/>
      <c r="E371" s="364"/>
      <c r="F371" s="364"/>
      <c r="G371" s="364"/>
      <c r="H371" s="364"/>
      <c r="I371" s="364"/>
      <c r="J371" s="364"/>
      <c r="K371" s="364"/>
      <c r="L371" s="364"/>
      <c r="M371" s="364"/>
      <c r="N371" s="364"/>
      <c r="O371" s="364"/>
      <c r="P371" s="364"/>
      <c r="Q371" s="364"/>
      <c r="R371" s="364"/>
      <c r="S371" s="364"/>
      <c r="T371" s="364"/>
      <c r="U371" s="364"/>
      <c r="V371" s="364"/>
      <c r="W371" s="364"/>
      <c r="X371" s="364"/>
      <c r="Y371" s="364"/>
      <c r="Z371" s="364"/>
    </row>
    <row r="372" spans="1:26" ht="15.75" customHeight="1" x14ac:dyDescent="0.25">
      <c r="A372" s="364"/>
      <c r="B372" s="364"/>
      <c r="C372" s="364"/>
      <c r="D372" s="364"/>
      <c r="E372" s="364"/>
      <c r="F372" s="364"/>
      <c r="G372" s="364"/>
      <c r="H372" s="364"/>
      <c r="I372" s="364"/>
      <c r="J372" s="364"/>
      <c r="K372" s="364"/>
      <c r="L372" s="364"/>
      <c r="M372" s="364"/>
      <c r="N372" s="364"/>
      <c r="O372" s="364"/>
      <c r="P372" s="364"/>
      <c r="Q372" s="364"/>
      <c r="R372" s="364"/>
      <c r="S372" s="364"/>
      <c r="T372" s="364"/>
      <c r="U372" s="364"/>
      <c r="V372" s="364"/>
      <c r="W372" s="364"/>
      <c r="X372" s="364"/>
      <c r="Y372" s="364"/>
      <c r="Z372" s="364"/>
    </row>
    <row r="373" spans="1:26" ht="15.75" customHeight="1" x14ac:dyDescent="0.25">
      <c r="A373" s="364"/>
      <c r="B373" s="364"/>
      <c r="C373" s="364"/>
      <c r="D373" s="364"/>
      <c r="E373" s="364"/>
      <c r="F373" s="364"/>
      <c r="G373" s="364"/>
      <c r="H373" s="364"/>
      <c r="I373" s="364"/>
      <c r="J373" s="364"/>
      <c r="K373" s="364"/>
      <c r="L373" s="364"/>
      <c r="M373" s="364"/>
      <c r="N373" s="364"/>
      <c r="O373" s="364"/>
      <c r="P373" s="364"/>
      <c r="Q373" s="364"/>
      <c r="R373" s="364"/>
      <c r="S373" s="364"/>
      <c r="T373" s="364"/>
      <c r="U373" s="364"/>
      <c r="V373" s="364"/>
      <c r="W373" s="364"/>
      <c r="X373" s="364"/>
      <c r="Y373" s="364"/>
      <c r="Z373" s="364"/>
    </row>
    <row r="374" spans="1:26" ht="15.75" customHeight="1" x14ac:dyDescent="0.25">
      <c r="A374" s="364"/>
      <c r="B374" s="364"/>
      <c r="C374" s="364"/>
      <c r="D374" s="364"/>
      <c r="E374" s="364"/>
      <c r="F374" s="364"/>
      <c r="G374" s="364"/>
      <c r="H374" s="364"/>
      <c r="I374" s="364"/>
      <c r="J374" s="364"/>
      <c r="K374" s="364"/>
      <c r="L374" s="364"/>
      <c r="M374" s="364"/>
      <c r="N374" s="364"/>
      <c r="O374" s="364"/>
      <c r="P374" s="364"/>
      <c r="Q374" s="364"/>
      <c r="R374" s="364"/>
      <c r="S374" s="364"/>
      <c r="T374" s="364"/>
      <c r="U374" s="364"/>
      <c r="V374" s="364"/>
      <c r="W374" s="364"/>
      <c r="X374" s="364"/>
      <c r="Y374" s="364"/>
      <c r="Z374" s="364"/>
    </row>
    <row r="375" spans="1:26" ht="15.75" customHeight="1" x14ac:dyDescent="0.25">
      <c r="A375" s="364"/>
      <c r="B375" s="364"/>
      <c r="C375" s="364"/>
      <c r="D375" s="364"/>
      <c r="E375" s="364"/>
      <c r="F375" s="364"/>
      <c r="G375" s="364"/>
      <c r="H375" s="364"/>
      <c r="I375" s="364"/>
      <c r="J375" s="364"/>
      <c r="K375" s="364"/>
      <c r="L375" s="364"/>
      <c r="M375" s="364"/>
      <c r="N375" s="364"/>
      <c r="O375" s="364"/>
      <c r="P375" s="364"/>
      <c r="Q375" s="364"/>
      <c r="R375" s="364"/>
      <c r="S375" s="364"/>
      <c r="T375" s="364"/>
      <c r="U375" s="364"/>
      <c r="V375" s="364"/>
      <c r="W375" s="364"/>
      <c r="X375" s="364"/>
      <c r="Y375" s="364"/>
      <c r="Z375" s="364"/>
    </row>
    <row r="376" spans="1:26" ht="15.75" customHeight="1" x14ac:dyDescent="0.25">
      <c r="A376" s="364"/>
      <c r="B376" s="364"/>
      <c r="C376" s="364"/>
      <c r="D376" s="364"/>
      <c r="E376" s="364"/>
      <c r="F376" s="364"/>
      <c r="G376" s="364"/>
      <c r="H376" s="364"/>
      <c r="I376" s="364"/>
      <c r="J376" s="364"/>
      <c r="K376" s="364"/>
      <c r="L376" s="364"/>
      <c r="M376" s="364"/>
      <c r="N376" s="364"/>
      <c r="O376" s="364"/>
      <c r="P376" s="364"/>
      <c r="Q376" s="364"/>
      <c r="R376" s="364"/>
      <c r="S376" s="364"/>
      <c r="T376" s="364"/>
      <c r="U376" s="364"/>
      <c r="V376" s="364"/>
      <c r="W376" s="364"/>
      <c r="X376" s="364"/>
      <c r="Y376" s="364"/>
      <c r="Z376" s="364"/>
    </row>
    <row r="377" spans="1:26" ht="15.75" customHeight="1" x14ac:dyDescent="0.25">
      <c r="A377" s="364"/>
      <c r="B377" s="364"/>
      <c r="C377" s="364"/>
      <c r="D377" s="364"/>
      <c r="E377" s="364"/>
      <c r="F377" s="364"/>
      <c r="G377" s="364"/>
      <c r="H377" s="364"/>
      <c r="I377" s="364"/>
      <c r="J377" s="364"/>
      <c r="K377" s="364"/>
      <c r="L377" s="364"/>
      <c r="M377" s="364"/>
      <c r="N377" s="364"/>
      <c r="O377" s="364"/>
      <c r="P377" s="364"/>
      <c r="Q377" s="364"/>
      <c r="R377" s="364"/>
      <c r="S377" s="364"/>
      <c r="T377" s="364"/>
      <c r="U377" s="364"/>
      <c r="V377" s="364"/>
      <c r="W377" s="364"/>
      <c r="X377" s="364"/>
      <c r="Y377" s="364"/>
      <c r="Z377" s="364"/>
    </row>
    <row r="378" spans="1:26" ht="15.75" customHeight="1" x14ac:dyDescent="0.25">
      <c r="A378" s="364"/>
      <c r="B378" s="364"/>
      <c r="C378" s="364"/>
      <c r="D378" s="364"/>
      <c r="E378" s="364"/>
      <c r="F378" s="364"/>
      <c r="G378" s="364"/>
      <c r="H378" s="364"/>
      <c r="I378" s="364"/>
      <c r="J378" s="364"/>
      <c r="K378" s="364"/>
      <c r="L378" s="364"/>
      <c r="M378" s="364"/>
      <c r="N378" s="364"/>
      <c r="O378" s="364"/>
      <c r="P378" s="364"/>
      <c r="Q378" s="364"/>
      <c r="R378" s="364"/>
      <c r="S378" s="364"/>
      <c r="T378" s="364"/>
      <c r="U378" s="364"/>
      <c r="V378" s="364"/>
      <c r="W378" s="364"/>
      <c r="X378" s="364"/>
      <c r="Y378" s="364"/>
      <c r="Z378" s="364"/>
    </row>
    <row r="379" spans="1:26" ht="15.75" customHeight="1" x14ac:dyDescent="0.25">
      <c r="A379" s="364"/>
      <c r="B379" s="364"/>
      <c r="C379" s="364"/>
      <c r="D379" s="364"/>
      <c r="E379" s="364"/>
      <c r="F379" s="364"/>
      <c r="G379" s="364"/>
      <c r="H379" s="364"/>
      <c r="I379" s="364"/>
      <c r="J379" s="364"/>
      <c r="K379" s="364"/>
      <c r="L379" s="364"/>
      <c r="M379" s="364"/>
      <c r="N379" s="364"/>
      <c r="O379" s="364"/>
      <c r="P379" s="364"/>
      <c r="Q379" s="364"/>
      <c r="R379" s="364"/>
      <c r="S379" s="364"/>
      <c r="T379" s="364"/>
      <c r="U379" s="364"/>
      <c r="V379" s="364"/>
      <c r="W379" s="364"/>
      <c r="X379" s="364"/>
      <c r="Y379" s="364"/>
      <c r="Z379" s="364"/>
    </row>
    <row r="380" spans="1:26" ht="15.75" customHeight="1" x14ac:dyDescent="0.25">
      <c r="A380" s="364"/>
      <c r="B380" s="364"/>
      <c r="C380" s="364"/>
      <c r="D380" s="364"/>
      <c r="E380" s="364"/>
      <c r="F380" s="364"/>
      <c r="G380" s="364"/>
      <c r="H380" s="364"/>
      <c r="I380" s="364"/>
      <c r="J380" s="364"/>
      <c r="K380" s="364"/>
      <c r="L380" s="364"/>
      <c r="M380" s="364"/>
      <c r="N380" s="364"/>
      <c r="O380" s="364"/>
      <c r="P380" s="364"/>
      <c r="Q380" s="364"/>
      <c r="R380" s="364"/>
      <c r="S380" s="364"/>
      <c r="T380" s="364"/>
      <c r="U380" s="364"/>
      <c r="V380" s="364"/>
      <c r="W380" s="364"/>
      <c r="X380" s="364"/>
      <c r="Y380" s="364"/>
      <c r="Z380" s="364"/>
    </row>
    <row r="381" spans="1:26" ht="15.75" customHeight="1" x14ac:dyDescent="0.25">
      <c r="A381" s="364"/>
      <c r="B381" s="364"/>
      <c r="C381" s="364"/>
      <c r="D381" s="364"/>
      <c r="E381" s="364"/>
      <c r="F381" s="364"/>
      <c r="G381" s="364"/>
      <c r="H381" s="364"/>
      <c r="I381" s="364"/>
      <c r="J381" s="364"/>
      <c r="K381" s="364"/>
      <c r="L381" s="364"/>
      <c r="M381" s="364"/>
      <c r="N381" s="364"/>
      <c r="O381" s="364"/>
      <c r="P381" s="364"/>
      <c r="Q381" s="364"/>
      <c r="R381" s="364"/>
      <c r="S381" s="364"/>
      <c r="T381" s="364"/>
      <c r="U381" s="364"/>
      <c r="V381" s="364"/>
      <c r="W381" s="364"/>
      <c r="X381" s="364"/>
      <c r="Y381" s="364"/>
      <c r="Z381" s="364"/>
    </row>
    <row r="382" spans="1:26" ht="15.75" customHeight="1" x14ac:dyDescent="0.25">
      <c r="A382" s="364"/>
      <c r="B382" s="364"/>
      <c r="C382" s="364"/>
      <c r="D382" s="364"/>
      <c r="E382" s="364"/>
      <c r="F382" s="364"/>
      <c r="G382" s="364"/>
      <c r="H382" s="364"/>
      <c r="I382" s="364"/>
      <c r="J382" s="364"/>
      <c r="K382" s="364"/>
      <c r="L382" s="364"/>
      <c r="M382" s="364"/>
      <c r="N382" s="364"/>
      <c r="O382" s="364"/>
      <c r="P382" s="364"/>
      <c r="Q382" s="364"/>
      <c r="R382" s="364"/>
      <c r="S382" s="364"/>
      <c r="T382" s="364"/>
      <c r="U382" s="364"/>
      <c r="V382" s="364"/>
      <c r="W382" s="364"/>
      <c r="X382" s="364"/>
      <c r="Y382" s="364"/>
      <c r="Z382" s="364"/>
    </row>
    <row r="383" spans="1:26" ht="15.75" customHeight="1" x14ac:dyDescent="0.25">
      <c r="A383" s="364"/>
      <c r="B383" s="364"/>
      <c r="C383" s="364"/>
      <c r="D383" s="364"/>
      <c r="E383" s="364"/>
      <c r="F383" s="364"/>
      <c r="G383" s="364"/>
      <c r="H383" s="364"/>
      <c r="I383" s="364"/>
      <c r="J383" s="364"/>
      <c r="K383" s="364"/>
      <c r="L383" s="364"/>
      <c r="M383" s="364"/>
      <c r="N383" s="364"/>
      <c r="O383" s="364"/>
      <c r="P383" s="364"/>
      <c r="Q383" s="364"/>
      <c r="R383" s="364"/>
      <c r="S383" s="364"/>
      <c r="T383" s="364"/>
      <c r="U383" s="364"/>
      <c r="V383" s="364"/>
      <c r="W383" s="364"/>
      <c r="X383" s="364"/>
      <c r="Y383" s="364"/>
      <c r="Z383" s="364"/>
    </row>
    <row r="384" spans="1:26" ht="15.75" customHeight="1" x14ac:dyDescent="0.25">
      <c r="A384" s="364"/>
      <c r="B384" s="364"/>
      <c r="C384" s="364"/>
      <c r="D384" s="364"/>
      <c r="E384" s="364"/>
      <c r="F384" s="364"/>
      <c r="G384" s="364"/>
      <c r="H384" s="364"/>
      <c r="I384" s="364"/>
      <c r="J384" s="364"/>
      <c r="K384" s="364"/>
      <c r="L384" s="364"/>
      <c r="M384" s="364"/>
      <c r="N384" s="364"/>
      <c r="O384" s="364"/>
      <c r="P384" s="364"/>
      <c r="Q384" s="364"/>
      <c r="R384" s="364"/>
      <c r="S384" s="364"/>
      <c r="T384" s="364"/>
      <c r="U384" s="364"/>
      <c r="V384" s="364"/>
      <c r="W384" s="364"/>
      <c r="X384" s="364"/>
      <c r="Y384" s="364"/>
      <c r="Z384" s="364"/>
    </row>
    <row r="385" spans="1:26" ht="15.75" customHeight="1" x14ac:dyDescent="0.25">
      <c r="A385" s="364"/>
      <c r="B385" s="364"/>
      <c r="C385" s="364"/>
      <c r="D385" s="364"/>
      <c r="E385" s="364"/>
      <c r="F385" s="364"/>
      <c r="G385" s="364"/>
      <c r="H385" s="364"/>
      <c r="I385" s="364"/>
      <c r="J385" s="364"/>
      <c r="K385" s="364"/>
      <c r="L385" s="364"/>
      <c r="M385" s="364"/>
      <c r="N385" s="364"/>
      <c r="O385" s="364"/>
      <c r="P385" s="364"/>
      <c r="Q385" s="364"/>
      <c r="R385" s="364"/>
      <c r="S385" s="364"/>
      <c r="T385" s="364"/>
      <c r="U385" s="364"/>
      <c r="V385" s="364"/>
      <c r="W385" s="364"/>
      <c r="X385" s="364"/>
      <c r="Y385" s="364"/>
      <c r="Z385" s="364"/>
    </row>
    <row r="386" spans="1:26" ht="15.75" customHeight="1" x14ac:dyDescent="0.25">
      <c r="A386" s="364"/>
      <c r="B386" s="364"/>
      <c r="C386" s="364"/>
      <c r="D386" s="364"/>
      <c r="E386" s="364"/>
      <c r="F386" s="364"/>
      <c r="G386" s="364"/>
      <c r="H386" s="364"/>
      <c r="I386" s="364"/>
      <c r="J386" s="364"/>
      <c r="K386" s="364"/>
      <c r="L386" s="364"/>
      <c r="M386" s="364"/>
      <c r="N386" s="364"/>
      <c r="O386" s="364"/>
      <c r="P386" s="364"/>
      <c r="Q386" s="364"/>
      <c r="R386" s="364"/>
      <c r="S386" s="364"/>
      <c r="T386" s="364"/>
      <c r="U386" s="364"/>
      <c r="V386" s="364"/>
      <c r="W386" s="364"/>
      <c r="X386" s="364"/>
      <c r="Y386" s="364"/>
      <c r="Z386" s="364"/>
    </row>
    <row r="387" spans="1:26" ht="15.75" customHeight="1" x14ac:dyDescent="0.25">
      <c r="A387" s="364"/>
      <c r="B387" s="364"/>
      <c r="C387" s="364"/>
      <c r="D387" s="364"/>
      <c r="E387" s="364"/>
      <c r="F387" s="364"/>
      <c r="G387" s="364"/>
      <c r="H387" s="364"/>
      <c r="I387" s="364"/>
      <c r="J387" s="364"/>
      <c r="K387" s="364"/>
      <c r="L387" s="364"/>
      <c r="M387" s="364"/>
      <c r="N387" s="364"/>
      <c r="O387" s="364"/>
      <c r="P387" s="364"/>
      <c r="Q387" s="364"/>
      <c r="R387" s="364"/>
      <c r="S387" s="364"/>
      <c r="T387" s="364"/>
      <c r="U387" s="364"/>
      <c r="V387" s="364"/>
      <c r="W387" s="364"/>
      <c r="X387" s="364"/>
      <c r="Y387" s="364"/>
      <c r="Z387" s="364"/>
    </row>
    <row r="388" spans="1:26" ht="15.75" customHeight="1" x14ac:dyDescent="0.25">
      <c r="A388" s="364"/>
      <c r="B388" s="364"/>
      <c r="C388" s="364"/>
      <c r="D388" s="364"/>
      <c r="E388" s="364"/>
      <c r="F388" s="364"/>
      <c r="G388" s="364"/>
      <c r="H388" s="364"/>
      <c r="I388" s="364"/>
      <c r="J388" s="364"/>
      <c r="K388" s="364"/>
      <c r="L388" s="364"/>
      <c r="M388" s="364"/>
      <c r="N388" s="364"/>
      <c r="O388" s="364"/>
      <c r="P388" s="364"/>
      <c r="Q388" s="364"/>
      <c r="R388" s="364"/>
      <c r="S388" s="364"/>
      <c r="T388" s="364"/>
      <c r="U388" s="364"/>
      <c r="V388" s="364"/>
      <c r="W388" s="364"/>
      <c r="X388" s="364"/>
      <c r="Y388" s="364"/>
      <c r="Z388" s="364"/>
    </row>
    <row r="389" spans="1:26" ht="15.75" customHeight="1" x14ac:dyDescent="0.25">
      <c r="A389" s="364"/>
      <c r="B389" s="364"/>
      <c r="C389" s="364"/>
      <c r="D389" s="364"/>
      <c r="E389" s="364"/>
      <c r="F389" s="364"/>
      <c r="G389" s="364"/>
      <c r="H389" s="364"/>
      <c r="I389" s="364"/>
      <c r="J389" s="364"/>
      <c r="K389" s="364"/>
      <c r="L389" s="364"/>
      <c r="M389" s="364"/>
      <c r="N389" s="364"/>
      <c r="O389" s="364"/>
      <c r="P389" s="364"/>
      <c r="Q389" s="364"/>
      <c r="R389" s="364"/>
      <c r="S389" s="364"/>
      <c r="T389" s="364"/>
      <c r="U389" s="364"/>
      <c r="V389" s="364"/>
      <c r="W389" s="364"/>
      <c r="X389" s="364"/>
      <c r="Y389" s="364"/>
      <c r="Z389" s="364"/>
    </row>
    <row r="390" spans="1:26" ht="15.75" customHeight="1" x14ac:dyDescent="0.25">
      <c r="A390" s="364"/>
      <c r="B390" s="364"/>
      <c r="C390" s="364"/>
      <c r="D390" s="364"/>
      <c r="E390" s="364"/>
      <c r="F390" s="364"/>
      <c r="G390" s="364"/>
      <c r="H390" s="364"/>
      <c r="I390" s="364"/>
      <c r="J390" s="364"/>
      <c r="K390" s="364"/>
      <c r="L390" s="364"/>
      <c r="M390" s="364"/>
      <c r="N390" s="364"/>
      <c r="O390" s="364"/>
      <c r="P390" s="364"/>
      <c r="Q390" s="364"/>
      <c r="R390" s="364"/>
      <c r="S390" s="364"/>
      <c r="T390" s="364"/>
      <c r="U390" s="364"/>
      <c r="V390" s="364"/>
      <c r="W390" s="364"/>
      <c r="X390" s="364"/>
      <c r="Y390" s="364"/>
      <c r="Z390" s="364"/>
    </row>
    <row r="391" spans="1:26" ht="15.75" customHeight="1" x14ac:dyDescent="0.25">
      <c r="A391" s="364"/>
      <c r="B391" s="364"/>
      <c r="C391" s="364"/>
      <c r="D391" s="364"/>
      <c r="E391" s="364"/>
      <c r="F391" s="364"/>
      <c r="G391" s="364"/>
      <c r="H391" s="364"/>
      <c r="I391" s="364"/>
      <c r="J391" s="364"/>
      <c r="K391" s="364"/>
      <c r="L391" s="364"/>
      <c r="M391" s="364"/>
      <c r="N391" s="364"/>
      <c r="O391" s="364"/>
      <c r="P391" s="364"/>
      <c r="Q391" s="364"/>
      <c r="R391" s="364"/>
      <c r="S391" s="364"/>
      <c r="T391" s="364"/>
      <c r="U391" s="364"/>
      <c r="V391" s="364"/>
      <c r="W391" s="364"/>
      <c r="X391" s="364"/>
      <c r="Y391" s="364"/>
      <c r="Z391" s="364"/>
    </row>
    <row r="392" spans="1:26" ht="15.75" customHeight="1" x14ac:dyDescent="0.25">
      <c r="A392" s="364"/>
      <c r="B392" s="364"/>
      <c r="C392" s="364"/>
      <c r="D392" s="364"/>
      <c r="E392" s="364"/>
      <c r="F392" s="364"/>
      <c r="G392" s="364"/>
      <c r="H392" s="364"/>
      <c r="I392" s="364"/>
      <c r="J392" s="364"/>
      <c r="K392" s="364"/>
      <c r="L392" s="364"/>
      <c r="M392" s="364"/>
      <c r="N392" s="364"/>
      <c r="O392" s="364"/>
      <c r="P392" s="364"/>
      <c r="Q392" s="364"/>
      <c r="R392" s="364"/>
      <c r="S392" s="364"/>
      <c r="T392" s="364"/>
      <c r="U392" s="364"/>
      <c r="V392" s="364"/>
      <c r="W392" s="364"/>
      <c r="X392" s="364"/>
      <c r="Y392" s="364"/>
      <c r="Z392" s="364"/>
    </row>
    <row r="393" spans="1:26" ht="15.75" customHeight="1" x14ac:dyDescent="0.25">
      <c r="A393" s="364"/>
      <c r="B393" s="364"/>
      <c r="C393" s="364"/>
      <c r="D393" s="364"/>
      <c r="E393" s="364"/>
      <c r="F393" s="364"/>
      <c r="G393" s="364"/>
      <c r="H393" s="364"/>
      <c r="I393" s="364"/>
      <c r="J393" s="364"/>
      <c r="K393" s="364"/>
      <c r="L393" s="364"/>
      <c r="M393" s="364"/>
      <c r="N393" s="364"/>
      <c r="O393" s="364"/>
      <c r="P393" s="364"/>
      <c r="Q393" s="364"/>
      <c r="R393" s="364"/>
      <c r="S393" s="364"/>
      <c r="T393" s="364"/>
      <c r="U393" s="364"/>
      <c r="V393" s="364"/>
      <c r="W393" s="364"/>
      <c r="X393" s="364"/>
      <c r="Y393" s="364"/>
      <c r="Z393" s="364"/>
    </row>
    <row r="394" spans="1:26" ht="15.75" customHeight="1" x14ac:dyDescent="0.25">
      <c r="A394" s="364"/>
      <c r="B394" s="364"/>
      <c r="C394" s="364"/>
      <c r="D394" s="364"/>
      <c r="E394" s="364"/>
      <c r="F394" s="364"/>
      <c r="G394" s="364"/>
      <c r="H394" s="364"/>
      <c r="I394" s="364"/>
      <c r="J394" s="364"/>
      <c r="K394" s="364"/>
      <c r="L394" s="364"/>
      <c r="M394" s="364"/>
      <c r="N394" s="364"/>
      <c r="O394" s="364"/>
      <c r="P394" s="364"/>
      <c r="Q394" s="364"/>
      <c r="R394" s="364"/>
      <c r="S394" s="364"/>
      <c r="T394" s="364"/>
      <c r="U394" s="364"/>
      <c r="V394" s="364"/>
      <c r="W394" s="364"/>
      <c r="X394" s="364"/>
      <c r="Y394" s="364"/>
      <c r="Z394" s="364"/>
    </row>
    <row r="395" spans="1:26" ht="15.75" customHeight="1" x14ac:dyDescent="0.25">
      <c r="A395" s="364"/>
      <c r="B395" s="364"/>
      <c r="C395" s="364"/>
      <c r="D395" s="364"/>
      <c r="E395" s="364"/>
      <c r="F395" s="364"/>
      <c r="G395" s="364"/>
      <c r="H395" s="364"/>
      <c r="I395" s="364"/>
      <c r="J395" s="364"/>
      <c r="K395" s="364"/>
      <c r="L395" s="364"/>
      <c r="M395" s="364"/>
      <c r="N395" s="364"/>
      <c r="O395" s="364"/>
      <c r="P395" s="364"/>
      <c r="Q395" s="364"/>
      <c r="R395" s="364"/>
      <c r="S395" s="364"/>
      <c r="T395" s="364"/>
      <c r="U395" s="364"/>
      <c r="V395" s="364"/>
      <c r="W395" s="364"/>
      <c r="X395" s="364"/>
      <c r="Y395" s="364"/>
      <c r="Z395" s="364"/>
    </row>
    <row r="396" spans="1:26" ht="15.75" customHeight="1" x14ac:dyDescent="0.25">
      <c r="A396" s="364"/>
      <c r="B396" s="364"/>
      <c r="C396" s="364"/>
      <c r="D396" s="364"/>
      <c r="E396" s="364"/>
      <c r="F396" s="364"/>
      <c r="G396" s="364"/>
      <c r="H396" s="364"/>
      <c r="I396" s="364"/>
      <c r="J396" s="364"/>
      <c r="K396" s="364"/>
      <c r="L396" s="364"/>
      <c r="M396" s="364"/>
      <c r="N396" s="364"/>
      <c r="O396" s="364"/>
      <c r="P396" s="364"/>
      <c r="Q396" s="364"/>
      <c r="R396" s="364"/>
      <c r="S396" s="364"/>
      <c r="T396" s="364"/>
      <c r="U396" s="364"/>
      <c r="V396" s="364"/>
      <c r="W396" s="364"/>
      <c r="X396" s="364"/>
      <c r="Y396" s="364"/>
      <c r="Z396" s="364"/>
    </row>
    <row r="397" spans="1:26" ht="15.75" customHeight="1" x14ac:dyDescent="0.25">
      <c r="A397" s="364"/>
      <c r="B397" s="364"/>
      <c r="C397" s="364"/>
      <c r="D397" s="364"/>
      <c r="E397" s="364"/>
      <c r="F397" s="364"/>
      <c r="G397" s="364"/>
      <c r="H397" s="364"/>
      <c r="I397" s="364"/>
      <c r="J397" s="364"/>
      <c r="K397" s="364"/>
      <c r="L397" s="364"/>
      <c r="M397" s="364"/>
      <c r="N397" s="364"/>
      <c r="O397" s="364"/>
      <c r="P397" s="364"/>
      <c r="Q397" s="364"/>
      <c r="R397" s="364"/>
      <c r="S397" s="364"/>
      <c r="T397" s="364"/>
      <c r="U397" s="364"/>
      <c r="V397" s="364"/>
      <c r="W397" s="364"/>
      <c r="X397" s="364"/>
      <c r="Y397" s="364"/>
      <c r="Z397" s="364"/>
    </row>
    <row r="398" spans="1:26" ht="15.75" customHeight="1" x14ac:dyDescent="0.25">
      <c r="A398" s="364"/>
      <c r="B398" s="364"/>
      <c r="C398" s="364"/>
      <c r="D398" s="364"/>
      <c r="E398" s="364"/>
      <c r="F398" s="364"/>
      <c r="G398" s="364"/>
      <c r="H398" s="364"/>
      <c r="I398" s="364"/>
      <c r="J398" s="364"/>
      <c r="K398" s="364"/>
      <c r="L398" s="364"/>
      <c r="M398" s="364"/>
      <c r="N398" s="364"/>
      <c r="O398" s="364"/>
      <c r="P398" s="364"/>
      <c r="Q398" s="364"/>
      <c r="R398" s="364"/>
      <c r="S398" s="364"/>
      <c r="T398" s="364"/>
      <c r="U398" s="364"/>
      <c r="V398" s="364"/>
      <c r="W398" s="364"/>
      <c r="X398" s="364"/>
      <c r="Y398" s="364"/>
      <c r="Z398" s="364"/>
    </row>
    <row r="399" spans="1:26" ht="15.75" customHeight="1" x14ac:dyDescent="0.25">
      <c r="A399" s="364"/>
      <c r="B399" s="364"/>
      <c r="C399" s="364"/>
      <c r="D399" s="364"/>
      <c r="E399" s="364"/>
      <c r="F399" s="364"/>
      <c r="G399" s="364"/>
      <c r="H399" s="364"/>
      <c r="I399" s="364"/>
      <c r="J399" s="364"/>
      <c r="K399" s="364"/>
      <c r="L399" s="364"/>
      <c r="M399" s="364"/>
      <c r="N399" s="364"/>
      <c r="O399" s="364"/>
      <c r="P399" s="364"/>
      <c r="Q399" s="364"/>
      <c r="R399" s="364"/>
      <c r="S399" s="364"/>
      <c r="T399" s="364"/>
      <c r="U399" s="364"/>
      <c r="V399" s="364"/>
      <c r="W399" s="364"/>
      <c r="X399" s="364"/>
      <c r="Y399" s="364"/>
      <c r="Z399" s="364"/>
    </row>
    <row r="400" spans="1:26" ht="15.75" customHeight="1" x14ac:dyDescent="0.25">
      <c r="A400" s="364"/>
      <c r="B400" s="364"/>
      <c r="C400" s="364"/>
      <c r="D400" s="364"/>
      <c r="E400" s="364"/>
      <c r="F400" s="364"/>
      <c r="G400" s="364"/>
      <c r="H400" s="364"/>
      <c r="I400" s="364"/>
      <c r="J400" s="364"/>
      <c r="K400" s="364"/>
      <c r="L400" s="364"/>
      <c r="M400" s="364"/>
      <c r="N400" s="364"/>
      <c r="O400" s="364"/>
      <c r="P400" s="364"/>
      <c r="Q400" s="364"/>
      <c r="R400" s="364"/>
      <c r="S400" s="364"/>
      <c r="T400" s="364"/>
      <c r="U400" s="364"/>
      <c r="V400" s="364"/>
      <c r="W400" s="364"/>
      <c r="X400" s="364"/>
      <c r="Y400" s="364"/>
      <c r="Z400" s="364"/>
    </row>
    <row r="401" spans="1:26" ht="15.75" customHeight="1" x14ac:dyDescent="0.25">
      <c r="A401" s="364"/>
      <c r="B401" s="364"/>
      <c r="C401" s="364"/>
      <c r="D401" s="364"/>
      <c r="E401" s="364"/>
      <c r="F401" s="364"/>
      <c r="G401" s="364"/>
      <c r="H401" s="364"/>
      <c r="I401" s="364"/>
      <c r="J401" s="364"/>
      <c r="K401" s="364"/>
      <c r="L401" s="364"/>
      <c r="M401" s="364"/>
      <c r="N401" s="364"/>
      <c r="O401" s="364"/>
      <c r="P401" s="364"/>
      <c r="Q401" s="364"/>
      <c r="R401" s="364"/>
      <c r="S401" s="364"/>
      <c r="T401" s="364"/>
      <c r="U401" s="364"/>
      <c r="V401" s="364"/>
      <c r="W401" s="364"/>
      <c r="X401" s="364"/>
      <c r="Y401" s="364"/>
      <c r="Z401" s="364"/>
    </row>
    <row r="402" spans="1:26" ht="15.75" customHeight="1" x14ac:dyDescent="0.25">
      <c r="A402" s="364"/>
      <c r="B402" s="364"/>
      <c r="C402" s="364"/>
      <c r="D402" s="364"/>
      <c r="E402" s="364"/>
      <c r="F402" s="364"/>
      <c r="G402" s="364"/>
      <c r="H402" s="364"/>
      <c r="I402" s="364"/>
      <c r="J402" s="364"/>
      <c r="K402" s="364"/>
      <c r="L402" s="364"/>
      <c r="M402" s="364"/>
      <c r="N402" s="364"/>
      <c r="O402" s="364"/>
      <c r="P402" s="364"/>
      <c r="Q402" s="364"/>
      <c r="R402" s="364"/>
      <c r="S402" s="364"/>
      <c r="T402" s="364"/>
      <c r="U402" s="364"/>
      <c r="V402" s="364"/>
      <c r="W402" s="364"/>
      <c r="X402" s="364"/>
      <c r="Y402" s="364"/>
      <c r="Z402" s="364"/>
    </row>
    <row r="403" spans="1:26" ht="15.75" customHeight="1" x14ac:dyDescent="0.25">
      <c r="A403" s="364"/>
      <c r="B403" s="364"/>
      <c r="C403" s="364"/>
      <c r="D403" s="364"/>
      <c r="E403" s="364"/>
      <c r="F403" s="364"/>
      <c r="G403" s="364"/>
      <c r="H403" s="364"/>
      <c r="I403" s="364"/>
      <c r="J403" s="364"/>
      <c r="K403" s="364"/>
      <c r="L403" s="364"/>
      <c r="M403" s="364"/>
      <c r="N403" s="364"/>
      <c r="O403" s="364"/>
      <c r="P403" s="364"/>
      <c r="Q403" s="364"/>
      <c r="R403" s="364"/>
      <c r="S403" s="364"/>
      <c r="T403" s="364"/>
      <c r="U403" s="364"/>
      <c r="V403" s="364"/>
      <c r="W403" s="364"/>
      <c r="X403" s="364"/>
      <c r="Y403" s="364"/>
      <c r="Z403" s="364"/>
    </row>
    <row r="404" spans="1:26" ht="15.75" customHeight="1" x14ac:dyDescent="0.25">
      <c r="A404" s="364"/>
      <c r="B404" s="364"/>
      <c r="C404" s="364"/>
      <c r="D404" s="364"/>
      <c r="E404" s="364"/>
      <c r="F404" s="364"/>
      <c r="G404" s="364"/>
      <c r="H404" s="364"/>
      <c r="I404" s="364"/>
      <c r="J404" s="364"/>
      <c r="K404" s="364"/>
      <c r="L404" s="364"/>
      <c r="M404" s="364"/>
      <c r="N404" s="364"/>
      <c r="O404" s="364"/>
      <c r="P404" s="364"/>
      <c r="Q404" s="364"/>
      <c r="R404" s="364"/>
      <c r="S404" s="364"/>
      <c r="T404" s="364"/>
      <c r="U404" s="364"/>
      <c r="V404" s="364"/>
      <c r="W404" s="364"/>
      <c r="X404" s="364"/>
      <c r="Y404" s="364"/>
      <c r="Z404" s="364"/>
    </row>
    <row r="405" spans="1:26" ht="15.75" customHeight="1" x14ac:dyDescent="0.25">
      <c r="A405" s="364"/>
      <c r="B405" s="364"/>
      <c r="C405" s="364"/>
      <c r="D405" s="364"/>
      <c r="E405" s="364"/>
      <c r="F405" s="364"/>
      <c r="G405" s="364"/>
      <c r="H405" s="364"/>
      <c r="I405" s="364"/>
      <c r="J405" s="364"/>
      <c r="K405" s="364"/>
      <c r="L405" s="364"/>
      <c r="M405" s="364"/>
      <c r="N405" s="364"/>
      <c r="O405" s="364"/>
      <c r="P405" s="364"/>
      <c r="Q405" s="364"/>
      <c r="R405" s="364"/>
      <c r="S405" s="364"/>
      <c r="T405" s="364"/>
      <c r="U405" s="364"/>
      <c r="V405" s="364"/>
      <c r="W405" s="364"/>
      <c r="X405" s="364"/>
      <c r="Y405" s="364"/>
      <c r="Z405" s="364"/>
    </row>
    <row r="406" spans="1:26" ht="15.75" customHeight="1" x14ac:dyDescent="0.25">
      <c r="A406" s="364"/>
      <c r="B406" s="364"/>
      <c r="C406" s="364"/>
      <c r="D406" s="364"/>
      <c r="E406" s="364"/>
      <c r="F406" s="364"/>
      <c r="G406" s="364"/>
      <c r="H406" s="364"/>
      <c r="I406" s="364"/>
      <c r="J406" s="364"/>
      <c r="K406" s="364"/>
      <c r="L406" s="364"/>
      <c r="M406" s="364"/>
      <c r="N406" s="364"/>
      <c r="O406" s="364"/>
      <c r="P406" s="364"/>
      <c r="Q406" s="364"/>
      <c r="R406" s="364"/>
      <c r="S406" s="364"/>
      <c r="T406" s="364"/>
      <c r="U406" s="364"/>
      <c r="V406" s="364"/>
      <c r="W406" s="364"/>
      <c r="X406" s="364"/>
      <c r="Y406" s="364"/>
      <c r="Z406" s="364"/>
    </row>
    <row r="407" spans="1:26" ht="15.75" customHeight="1" x14ac:dyDescent="0.25">
      <c r="A407" s="364"/>
      <c r="B407" s="364"/>
      <c r="C407" s="364"/>
      <c r="D407" s="364"/>
      <c r="E407" s="364"/>
      <c r="F407" s="364"/>
      <c r="G407" s="364"/>
      <c r="H407" s="364"/>
      <c r="I407" s="364"/>
      <c r="J407" s="364"/>
      <c r="K407" s="364"/>
      <c r="L407" s="364"/>
      <c r="M407" s="364"/>
      <c r="N407" s="364"/>
      <c r="O407" s="364"/>
      <c r="P407" s="364"/>
      <c r="Q407" s="364"/>
      <c r="R407" s="364"/>
      <c r="S407" s="364"/>
      <c r="T407" s="364"/>
      <c r="U407" s="364"/>
      <c r="V407" s="364"/>
      <c r="W407" s="364"/>
      <c r="X407" s="364"/>
      <c r="Y407" s="364"/>
      <c r="Z407" s="364"/>
    </row>
    <row r="408" spans="1:26" ht="15.75" customHeight="1" x14ac:dyDescent="0.25">
      <c r="A408" s="364"/>
      <c r="B408" s="364"/>
      <c r="C408" s="364"/>
      <c r="D408" s="364"/>
      <c r="E408" s="364"/>
      <c r="F408" s="364"/>
      <c r="G408" s="364"/>
      <c r="H408" s="364"/>
      <c r="I408" s="364"/>
      <c r="J408" s="364"/>
      <c r="K408" s="364"/>
      <c r="L408" s="364"/>
      <c r="M408" s="364"/>
      <c r="N408" s="364"/>
      <c r="O408" s="364"/>
      <c r="P408" s="364"/>
      <c r="Q408" s="364"/>
      <c r="R408" s="364"/>
      <c r="S408" s="364"/>
      <c r="T408" s="364"/>
      <c r="U408" s="364"/>
      <c r="V408" s="364"/>
      <c r="W408" s="364"/>
      <c r="X408" s="364"/>
      <c r="Y408" s="364"/>
      <c r="Z408" s="364"/>
    </row>
    <row r="409" spans="1:26" ht="15.75" customHeight="1" x14ac:dyDescent="0.25">
      <c r="A409" s="364"/>
      <c r="B409" s="364"/>
      <c r="C409" s="364"/>
      <c r="D409" s="364"/>
      <c r="E409" s="364"/>
      <c r="F409" s="364"/>
      <c r="G409" s="364"/>
      <c r="H409" s="364"/>
      <c r="I409" s="364"/>
      <c r="J409" s="364"/>
      <c r="K409" s="364"/>
      <c r="L409" s="364"/>
      <c r="M409" s="364"/>
      <c r="N409" s="364"/>
      <c r="O409" s="364"/>
      <c r="P409" s="364"/>
      <c r="Q409" s="364"/>
      <c r="R409" s="364"/>
      <c r="S409" s="364"/>
      <c r="T409" s="364"/>
      <c r="U409" s="364"/>
      <c r="V409" s="364"/>
      <c r="W409" s="364"/>
      <c r="X409" s="364"/>
      <c r="Y409" s="364"/>
      <c r="Z409" s="364"/>
    </row>
    <row r="410" spans="1:26" ht="15.75" customHeight="1" x14ac:dyDescent="0.25">
      <c r="A410" s="364"/>
      <c r="B410" s="364"/>
      <c r="C410" s="364"/>
      <c r="D410" s="364"/>
      <c r="E410" s="364"/>
      <c r="F410" s="364"/>
      <c r="G410" s="364"/>
      <c r="H410" s="364"/>
      <c r="I410" s="364"/>
      <c r="J410" s="364"/>
      <c r="K410" s="364"/>
      <c r="L410" s="364"/>
      <c r="M410" s="364"/>
      <c r="N410" s="364"/>
      <c r="O410" s="364"/>
      <c r="P410" s="364"/>
      <c r="Q410" s="364"/>
      <c r="R410" s="364"/>
      <c r="S410" s="364"/>
      <c r="T410" s="364"/>
      <c r="U410" s="364"/>
      <c r="V410" s="364"/>
      <c r="W410" s="364"/>
      <c r="X410" s="364"/>
      <c r="Y410" s="364"/>
      <c r="Z410" s="364"/>
    </row>
    <row r="411" spans="1:26" ht="15.75" customHeight="1" x14ac:dyDescent="0.25">
      <c r="A411" s="364"/>
      <c r="B411" s="364"/>
      <c r="C411" s="364"/>
      <c r="D411" s="364"/>
      <c r="E411" s="364"/>
      <c r="F411" s="364"/>
      <c r="G411" s="364"/>
      <c r="H411" s="364"/>
      <c r="I411" s="364"/>
      <c r="J411" s="364"/>
      <c r="K411" s="364"/>
      <c r="L411" s="364"/>
      <c r="M411" s="364"/>
      <c r="N411" s="364"/>
      <c r="O411" s="364"/>
      <c r="P411" s="364"/>
      <c r="Q411" s="364"/>
      <c r="R411" s="364"/>
      <c r="S411" s="364"/>
      <c r="T411" s="364"/>
      <c r="U411" s="364"/>
      <c r="V411" s="364"/>
      <c r="W411" s="364"/>
      <c r="X411" s="364"/>
      <c r="Y411" s="364"/>
      <c r="Z411" s="364"/>
    </row>
    <row r="412" spans="1:26" ht="15.75" customHeight="1" x14ac:dyDescent="0.25">
      <c r="A412" s="364"/>
      <c r="B412" s="364"/>
      <c r="C412" s="364"/>
      <c r="D412" s="364"/>
      <c r="E412" s="364"/>
      <c r="F412" s="364"/>
      <c r="G412" s="364"/>
      <c r="H412" s="364"/>
      <c r="I412" s="364"/>
      <c r="J412" s="364"/>
      <c r="K412" s="364"/>
      <c r="L412" s="364"/>
      <c r="M412" s="364"/>
      <c r="N412" s="364"/>
      <c r="O412" s="364"/>
      <c r="P412" s="364"/>
      <c r="Q412" s="364"/>
      <c r="R412" s="364"/>
      <c r="S412" s="364"/>
      <c r="T412" s="364"/>
      <c r="U412" s="364"/>
      <c r="V412" s="364"/>
      <c r="W412" s="364"/>
      <c r="X412" s="364"/>
      <c r="Y412" s="364"/>
      <c r="Z412" s="364"/>
    </row>
    <row r="413" spans="1:26" ht="15.75" customHeight="1" x14ac:dyDescent="0.25">
      <c r="A413" s="364"/>
      <c r="B413" s="364"/>
      <c r="C413" s="364"/>
      <c r="D413" s="364"/>
      <c r="E413" s="364"/>
      <c r="F413" s="364"/>
      <c r="G413" s="364"/>
      <c r="H413" s="364"/>
      <c r="I413" s="364"/>
      <c r="J413" s="364"/>
      <c r="K413" s="364"/>
      <c r="L413" s="364"/>
      <c r="M413" s="364"/>
      <c r="N413" s="364"/>
      <c r="O413" s="364"/>
      <c r="P413" s="364"/>
      <c r="Q413" s="364"/>
      <c r="R413" s="364"/>
      <c r="S413" s="364"/>
      <c r="T413" s="364"/>
      <c r="U413" s="364"/>
      <c r="V413" s="364"/>
      <c r="W413" s="364"/>
      <c r="X413" s="364"/>
      <c r="Y413" s="364"/>
      <c r="Z413" s="364"/>
    </row>
    <row r="414" spans="1:26" ht="15.75" customHeight="1" x14ac:dyDescent="0.25">
      <c r="A414" s="364"/>
      <c r="B414" s="364"/>
      <c r="C414" s="364"/>
      <c r="D414" s="364"/>
      <c r="E414" s="364"/>
      <c r="F414" s="364"/>
      <c r="G414" s="364"/>
      <c r="H414" s="364"/>
      <c r="I414" s="364"/>
      <c r="J414" s="364"/>
      <c r="K414" s="364"/>
      <c r="L414" s="364"/>
      <c r="M414" s="364"/>
      <c r="N414" s="364"/>
      <c r="O414" s="364"/>
      <c r="P414" s="364"/>
      <c r="Q414" s="364"/>
      <c r="R414" s="364"/>
      <c r="S414" s="364"/>
      <c r="T414" s="364"/>
      <c r="U414" s="364"/>
      <c r="V414" s="364"/>
      <c r="W414" s="364"/>
      <c r="X414" s="364"/>
      <c r="Y414" s="364"/>
      <c r="Z414" s="364"/>
    </row>
    <row r="415" spans="1:26" ht="15.75" customHeight="1" x14ac:dyDescent="0.25">
      <c r="A415" s="364"/>
      <c r="B415" s="364"/>
      <c r="C415" s="364"/>
      <c r="D415" s="364"/>
      <c r="E415" s="364"/>
      <c r="F415" s="364"/>
      <c r="G415" s="364"/>
      <c r="H415" s="364"/>
      <c r="I415" s="364"/>
      <c r="J415" s="364"/>
      <c r="K415" s="364"/>
      <c r="L415" s="364"/>
      <c r="M415" s="364"/>
      <c r="N415" s="364"/>
      <c r="O415" s="364"/>
      <c r="P415" s="364"/>
      <c r="Q415" s="364"/>
      <c r="R415" s="364"/>
      <c r="S415" s="364"/>
      <c r="T415" s="364"/>
      <c r="U415" s="364"/>
      <c r="V415" s="364"/>
      <c r="W415" s="364"/>
      <c r="X415" s="364"/>
      <c r="Y415" s="364"/>
      <c r="Z415" s="364"/>
    </row>
    <row r="416" spans="1:26" ht="15.75" customHeight="1" x14ac:dyDescent="0.25">
      <c r="A416" s="364"/>
      <c r="B416" s="364"/>
      <c r="C416" s="364"/>
      <c r="D416" s="364"/>
      <c r="E416" s="364"/>
      <c r="F416" s="364"/>
      <c r="G416" s="364"/>
      <c r="H416" s="364"/>
      <c r="I416" s="364"/>
      <c r="J416" s="364"/>
      <c r="K416" s="364"/>
      <c r="L416" s="364"/>
      <c r="M416" s="364"/>
      <c r="N416" s="364"/>
      <c r="O416" s="364"/>
      <c r="P416" s="364"/>
      <c r="Q416" s="364"/>
      <c r="R416" s="364"/>
      <c r="S416" s="364"/>
      <c r="T416" s="364"/>
      <c r="U416" s="364"/>
      <c r="V416" s="364"/>
      <c r="W416" s="364"/>
      <c r="X416" s="364"/>
      <c r="Y416" s="364"/>
      <c r="Z416" s="364"/>
    </row>
    <row r="417" spans="1:26" ht="15.75" customHeight="1" x14ac:dyDescent="0.25">
      <c r="A417" s="364"/>
      <c r="B417" s="364"/>
      <c r="C417" s="364"/>
      <c r="D417" s="364"/>
      <c r="E417" s="364"/>
      <c r="F417" s="364"/>
      <c r="G417" s="364"/>
      <c r="H417" s="364"/>
      <c r="I417" s="364"/>
      <c r="J417" s="364"/>
      <c r="K417" s="364"/>
      <c r="L417" s="364"/>
      <c r="M417" s="364"/>
      <c r="N417" s="364"/>
      <c r="O417" s="364"/>
      <c r="P417" s="364"/>
      <c r="Q417" s="364"/>
      <c r="R417" s="364"/>
      <c r="S417" s="364"/>
      <c r="T417" s="364"/>
      <c r="U417" s="364"/>
      <c r="V417" s="364"/>
      <c r="W417" s="364"/>
      <c r="X417" s="364"/>
      <c r="Y417" s="364"/>
      <c r="Z417" s="364"/>
    </row>
    <row r="418" spans="1:26" ht="15.75" customHeight="1" x14ac:dyDescent="0.25">
      <c r="A418" s="364"/>
      <c r="B418" s="364"/>
      <c r="C418" s="364"/>
      <c r="D418" s="364"/>
      <c r="E418" s="364"/>
      <c r="F418" s="364"/>
      <c r="G418" s="364"/>
      <c r="H418" s="364"/>
      <c r="I418" s="364"/>
      <c r="J418" s="364"/>
      <c r="K418" s="364"/>
      <c r="L418" s="364"/>
      <c r="M418" s="364"/>
      <c r="N418" s="364"/>
      <c r="O418" s="364"/>
      <c r="P418" s="364"/>
      <c r="Q418" s="364"/>
      <c r="R418" s="364"/>
      <c r="S418" s="364"/>
      <c r="T418" s="364"/>
      <c r="U418" s="364"/>
      <c r="V418" s="364"/>
      <c r="W418" s="364"/>
      <c r="X418" s="364"/>
      <c r="Y418" s="364"/>
      <c r="Z418" s="364"/>
    </row>
    <row r="419" spans="1:26" ht="15.75" customHeight="1" x14ac:dyDescent="0.25">
      <c r="A419" s="364"/>
      <c r="B419" s="364"/>
      <c r="C419" s="364"/>
      <c r="D419" s="364"/>
      <c r="E419" s="364"/>
      <c r="F419" s="364"/>
      <c r="G419" s="364"/>
      <c r="H419" s="364"/>
      <c r="I419" s="364"/>
      <c r="J419" s="364"/>
      <c r="K419" s="364"/>
      <c r="L419" s="364"/>
      <c r="M419" s="364"/>
      <c r="N419" s="364"/>
      <c r="O419" s="364"/>
      <c r="P419" s="364"/>
      <c r="Q419" s="364"/>
      <c r="R419" s="364"/>
      <c r="S419" s="364"/>
      <c r="T419" s="364"/>
      <c r="U419" s="364"/>
      <c r="V419" s="364"/>
      <c r="W419" s="364"/>
      <c r="X419" s="364"/>
      <c r="Y419" s="364"/>
      <c r="Z419" s="364"/>
    </row>
    <row r="420" spans="1:26" ht="15.75" customHeight="1" x14ac:dyDescent="0.25">
      <c r="A420" s="364"/>
      <c r="B420" s="364"/>
      <c r="C420" s="364"/>
      <c r="D420" s="364"/>
      <c r="E420" s="364"/>
      <c r="F420" s="364"/>
      <c r="G420" s="364"/>
      <c r="H420" s="364"/>
      <c r="I420" s="364"/>
      <c r="J420" s="364"/>
      <c r="K420" s="364"/>
      <c r="L420" s="364"/>
      <c r="M420" s="364"/>
      <c r="N420" s="364"/>
      <c r="O420" s="364"/>
      <c r="P420" s="364"/>
      <c r="Q420" s="364"/>
      <c r="R420" s="364"/>
      <c r="S420" s="364"/>
      <c r="T420" s="364"/>
      <c r="U420" s="364"/>
      <c r="V420" s="364"/>
      <c r="W420" s="364"/>
      <c r="X420" s="364"/>
      <c r="Y420" s="364"/>
      <c r="Z420" s="364"/>
    </row>
    <row r="421" spans="1:26" ht="15.75" customHeight="1" x14ac:dyDescent="0.25">
      <c r="A421" s="364"/>
      <c r="B421" s="364"/>
      <c r="C421" s="364"/>
      <c r="D421" s="364"/>
      <c r="E421" s="364"/>
      <c r="F421" s="364"/>
      <c r="G421" s="364"/>
      <c r="H421" s="364"/>
      <c r="I421" s="364"/>
      <c r="J421" s="364"/>
      <c r="K421" s="364"/>
      <c r="L421" s="364"/>
      <c r="M421" s="364"/>
      <c r="N421" s="364"/>
      <c r="O421" s="364"/>
      <c r="P421" s="364"/>
      <c r="Q421" s="364"/>
      <c r="R421" s="364"/>
      <c r="S421" s="364"/>
      <c r="T421" s="364"/>
      <c r="U421" s="364"/>
      <c r="V421" s="364"/>
      <c r="W421" s="364"/>
      <c r="X421" s="364"/>
      <c r="Y421" s="364"/>
      <c r="Z421" s="364"/>
    </row>
    <row r="422" spans="1:26" ht="15.75" customHeight="1" x14ac:dyDescent="0.25">
      <c r="A422" s="364"/>
      <c r="B422" s="364"/>
      <c r="C422" s="364"/>
      <c r="D422" s="364"/>
      <c r="E422" s="364"/>
      <c r="F422" s="364"/>
      <c r="G422" s="364"/>
      <c r="H422" s="364"/>
      <c r="I422" s="364"/>
      <c r="J422" s="364"/>
      <c r="K422" s="364"/>
      <c r="L422" s="364"/>
      <c r="M422" s="364"/>
      <c r="N422" s="364"/>
      <c r="O422" s="364"/>
      <c r="P422" s="364"/>
      <c r="Q422" s="364"/>
      <c r="R422" s="364"/>
      <c r="S422" s="364"/>
      <c r="T422" s="364"/>
      <c r="U422" s="364"/>
      <c r="V422" s="364"/>
      <c r="W422" s="364"/>
      <c r="X422" s="364"/>
      <c r="Y422" s="364"/>
      <c r="Z422" s="364"/>
    </row>
    <row r="423" spans="1:26" ht="15.75" customHeight="1" x14ac:dyDescent="0.25">
      <c r="A423" s="364"/>
      <c r="B423" s="364"/>
      <c r="C423" s="364"/>
      <c r="D423" s="364"/>
      <c r="E423" s="364"/>
      <c r="F423" s="364"/>
      <c r="G423" s="364"/>
      <c r="H423" s="364"/>
      <c r="I423" s="364"/>
      <c r="J423" s="364"/>
      <c r="K423" s="364"/>
      <c r="L423" s="364"/>
      <c r="M423" s="364"/>
      <c r="N423" s="364"/>
      <c r="O423" s="364"/>
      <c r="P423" s="364"/>
      <c r="Q423" s="364"/>
      <c r="R423" s="364"/>
      <c r="S423" s="364"/>
      <c r="T423" s="364"/>
      <c r="U423" s="364"/>
      <c r="V423" s="364"/>
      <c r="W423" s="364"/>
      <c r="X423" s="364"/>
      <c r="Y423" s="364"/>
      <c r="Z423" s="364"/>
    </row>
    <row r="424" spans="1:26" ht="15.75" customHeight="1" x14ac:dyDescent="0.25">
      <c r="A424" s="364"/>
      <c r="B424" s="364"/>
      <c r="C424" s="364"/>
      <c r="D424" s="364"/>
      <c r="E424" s="364"/>
      <c r="F424" s="364"/>
      <c r="G424" s="364"/>
      <c r="H424" s="364"/>
      <c r="I424" s="364"/>
      <c r="J424" s="364"/>
      <c r="K424" s="364"/>
      <c r="L424" s="364"/>
      <c r="M424" s="364"/>
      <c r="N424" s="364"/>
      <c r="O424" s="364"/>
      <c r="P424" s="364"/>
      <c r="Q424" s="364"/>
      <c r="R424" s="364"/>
      <c r="S424" s="364"/>
      <c r="T424" s="364"/>
      <c r="U424" s="364"/>
      <c r="V424" s="364"/>
      <c r="W424" s="364"/>
      <c r="X424" s="364"/>
      <c r="Y424" s="364"/>
      <c r="Z424" s="364"/>
    </row>
    <row r="425" spans="1:26" ht="15.75" customHeight="1" x14ac:dyDescent="0.25">
      <c r="A425" s="364"/>
      <c r="B425" s="364"/>
      <c r="C425" s="364"/>
      <c r="D425" s="364"/>
      <c r="E425" s="364"/>
      <c r="F425" s="364"/>
      <c r="G425" s="364"/>
      <c r="H425" s="364"/>
      <c r="I425" s="364"/>
      <c r="J425" s="364"/>
      <c r="K425" s="364"/>
      <c r="L425" s="364"/>
      <c r="M425" s="364"/>
      <c r="N425" s="364"/>
      <c r="O425" s="364"/>
      <c r="P425" s="364"/>
      <c r="Q425" s="364"/>
      <c r="R425" s="364"/>
      <c r="S425" s="364"/>
      <c r="T425" s="364"/>
      <c r="U425" s="364"/>
      <c r="V425" s="364"/>
      <c r="W425" s="364"/>
      <c r="X425" s="364"/>
      <c r="Y425" s="364"/>
      <c r="Z425" s="364"/>
    </row>
    <row r="426" spans="1:26" ht="15.75" customHeight="1" x14ac:dyDescent="0.25">
      <c r="A426" s="364"/>
      <c r="B426" s="364"/>
      <c r="C426" s="364"/>
      <c r="D426" s="364"/>
      <c r="E426" s="364"/>
      <c r="F426" s="364"/>
      <c r="G426" s="364"/>
      <c r="H426" s="364"/>
      <c r="I426" s="364"/>
      <c r="J426" s="364"/>
      <c r="K426" s="364"/>
      <c r="L426" s="364"/>
      <c r="M426" s="364"/>
      <c r="N426" s="364"/>
      <c r="O426" s="364"/>
      <c r="P426" s="364"/>
      <c r="Q426" s="364"/>
      <c r="R426" s="364"/>
      <c r="S426" s="364"/>
      <c r="T426" s="364"/>
      <c r="U426" s="364"/>
      <c r="V426" s="364"/>
      <c r="W426" s="364"/>
      <c r="X426" s="364"/>
      <c r="Y426" s="364"/>
      <c r="Z426" s="364"/>
    </row>
    <row r="427" spans="1:26" ht="15.75" customHeight="1" x14ac:dyDescent="0.25">
      <c r="A427" s="364"/>
      <c r="B427" s="364"/>
      <c r="C427" s="364"/>
      <c r="D427" s="364"/>
      <c r="E427" s="364"/>
      <c r="F427" s="364"/>
      <c r="G427" s="364"/>
      <c r="H427" s="364"/>
      <c r="I427" s="364"/>
      <c r="J427" s="364"/>
      <c r="K427" s="364"/>
      <c r="L427" s="364"/>
      <c r="M427" s="364"/>
      <c r="N427" s="364"/>
      <c r="O427" s="364"/>
      <c r="P427" s="364"/>
      <c r="Q427" s="364"/>
      <c r="R427" s="364"/>
      <c r="S427" s="364"/>
      <c r="T427" s="364"/>
      <c r="U427" s="364"/>
      <c r="V427" s="364"/>
      <c r="W427" s="364"/>
      <c r="X427" s="364"/>
      <c r="Y427" s="364"/>
      <c r="Z427" s="364"/>
    </row>
    <row r="428" spans="1:26" ht="15.75" customHeight="1" x14ac:dyDescent="0.25">
      <c r="A428" s="364"/>
      <c r="B428" s="364"/>
      <c r="C428" s="364"/>
      <c r="D428" s="364"/>
      <c r="E428" s="364"/>
      <c r="F428" s="364"/>
      <c r="G428" s="364"/>
      <c r="H428" s="364"/>
      <c r="I428" s="364"/>
      <c r="J428" s="364"/>
      <c r="K428" s="364"/>
      <c r="L428" s="364"/>
      <c r="M428" s="364"/>
      <c r="N428" s="364"/>
      <c r="O428" s="364"/>
      <c r="P428" s="364"/>
      <c r="Q428" s="364"/>
      <c r="R428" s="364"/>
      <c r="S428" s="364"/>
      <c r="T428" s="364"/>
      <c r="U428" s="364"/>
      <c r="V428" s="364"/>
      <c r="W428" s="364"/>
      <c r="X428" s="364"/>
      <c r="Y428" s="364"/>
      <c r="Z428" s="364"/>
    </row>
    <row r="429" spans="1:26" ht="15.75" customHeight="1" x14ac:dyDescent="0.25">
      <c r="A429" s="364"/>
      <c r="B429" s="364"/>
      <c r="C429" s="364"/>
      <c r="D429" s="364"/>
      <c r="E429" s="364"/>
      <c r="F429" s="364"/>
      <c r="G429" s="364"/>
      <c r="H429" s="364"/>
      <c r="I429" s="364"/>
      <c r="J429" s="364"/>
      <c r="K429" s="364"/>
      <c r="L429" s="364"/>
      <c r="M429" s="364"/>
      <c r="N429" s="364"/>
      <c r="O429" s="364"/>
      <c r="P429" s="364"/>
      <c r="Q429" s="364"/>
      <c r="R429" s="364"/>
      <c r="S429" s="364"/>
      <c r="T429" s="364"/>
      <c r="U429" s="364"/>
      <c r="V429" s="364"/>
      <c r="W429" s="364"/>
      <c r="X429" s="364"/>
      <c r="Y429" s="364"/>
      <c r="Z429" s="364"/>
    </row>
    <row r="430" spans="1:26" ht="15.75" customHeight="1" x14ac:dyDescent="0.25">
      <c r="A430" s="364"/>
      <c r="B430" s="364"/>
      <c r="C430" s="364"/>
      <c r="D430" s="364"/>
      <c r="E430" s="364"/>
      <c r="F430" s="364"/>
      <c r="G430" s="364"/>
      <c r="H430" s="364"/>
      <c r="I430" s="364"/>
      <c r="J430" s="364"/>
      <c r="K430" s="364"/>
      <c r="L430" s="364"/>
      <c r="M430" s="364"/>
      <c r="N430" s="364"/>
      <c r="O430" s="364"/>
      <c r="P430" s="364"/>
      <c r="Q430" s="364"/>
      <c r="R430" s="364"/>
      <c r="S430" s="364"/>
      <c r="T430" s="364"/>
      <c r="U430" s="364"/>
      <c r="V430" s="364"/>
      <c r="W430" s="364"/>
      <c r="X430" s="364"/>
      <c r="Y430" s="364"/>
      <c r="Z430" s="364"/>
    </row>
    <row r="431" spans="1:26" ht="15.75" customHeight="1" x14ac:dyDescent="0.25">
      <c r="A431" s="364"/>
      <c r="B431" s="364"/>
      <c r="C431" s="364"/>
      <c r="D431" s="364"/>
      <c r="E431" s="364"/>
      <c r="F431" s="364"/>
      <c r="G431" s="364"/>
      <c r="H431" s="364"/>
      <c r="I431" s="364"/>
      <c r="J431" s="364"/>
      <c r="K431" s="364"/>
      <c r="L431" s="364"/>
      <c r="M431" s="364"/>
      <c r="N431" s="364"/>
      <c r="O431" s="364"/>
      <c r="P431" s="364"/>
      <c r="Q431" s="364"/>
      <c r="R431" s="364"/>
      <c r="S431" s="364"/>
      <c r="T431" s="364"/>
      <c r="U431" s="364"/>
      <c r="V431" s="364"/>
      <c r="W431" s="364"/>
      <c r="X431" s="364"/>
      <c r="Y431" s="364"/>
      <c r="Z431" s="364"/>
    </row>
    <row r="432" spans="1:26" ht="15.75" customHeight="1" x14ac:dyDescent="0.25">
      <c r="A432" s="364"/>
      <c r="B432" s="364"/>
      <c r="C432" s="364"/>
      <c r="D432" s="364"/>
      <c r="E432" s="364"/>
      <c r="F432" s="364"/>
      <c r="G432" s="364"/>
      <c r="H432" s="364"/>
      <c r="I432" s="364"/>
      <c r="J432" s="364"/>
      <c r="K432" s="364"/>
      <c r="L432" s="364"/>
      <c r="M432" s="364"/>
      <c r="N432" s="364"/>
      <c r="O432" s="364"/>
      <c r="P432" s="364"/>
      <c r="Q432" s="364"/>
      <c r="R432" s="364"/>
      <c r="S432" s="364"/>
      <c r="T432" s="364"/>
      <c r="U432" s="364"/>
      <c r="V432" s="364"/>
      <c r="W432" s="364"/>
      <c r="X432" s="364"/>
      <c r="Y432" s="364"/>
      <c r="Z432" s="364"/>
    </row>
    <row r="433" spans="1:26" ht="15.75" customHeight="1" x14ac:dyDescent="0.25">
      <c r="A433" s="364"/>
      <c r="B433" s="364"/>
      <c r="C433" s="364"/>
      <c r="D433" s="364"/>
      <c r="E433" s="364"/>
      <c r="F433" s="364"/>
      <c r="G433" s="364"/>
      <c r="H433" s="364"/>
      <c r="I433" s="364"/>
      <c r="J433" s="364"/>
      <c r="K433" s="364"/>
      <c r="L433" s="364"/>
      <c r="M433" s="364"/>
      <c r="N433" s="364"/>
      <c r="O433" s="364"/>
      <c r="P433" s="364"/>
      <c r="Q433" s="364"/>
      <c r="R433" s="364"/>
      <c r="S433" s="364"/>
      <c r="T433" s="364"/>
      <c r="U433" s="364"/>
      <c r="V433" s="364"/>
      <c r="W433" s="364"/>
      <c r="X433" s="364"/>
      <c r="Y433" s="364"/>
      <c r="Z433" s="364"/>
    </row>
    <row r="434" spans="1:26" ht="15.75" customHeight="1" x14ac:dyDescent="0.25">
      <c r="A434" s="364"/>
      <c r="B434" s="364"/>
      <c r="C434" s="364"/>
      <c r="D434" s="364"/>
      <c r="E434" s="364"/>
      <c r="F434" s="364"/>
      <c r="G434" s="364"/>
      <c r="H434" s="364"/>
      <c r="I434" s="364"/>
      <c r="J434" s="364"/>
      <c r="K434" s="364"/>
      <c r="L434" s="364"/>
      <c r="M434" s="364"/>
      <c r="N434" s="364"/>
      <c r="O434" s="364"/>
      <c r="P434" s="364"/>
      <c r="Q434" s="364"/>
      <c r="R434" s="364"/>
      <c r="S434" s="364"/>
      <c r="T434" s="364"/>
      <c r="U434" s="364"/>
      <c r="V434" s="364"/>
      <c r="W434" s="364"/>
      <c r="X434" s="364"/>
      <c r="Y434" s="364"/>
      <c r="Z434" s="364"/>
    </row>
    <row r="435" spans="1:26" ht="15.75" customHeight="1" x14ac:dyDescent="0.25">
      <c r="A435" s="364"/>
      <c r="B435" s="364"/>
      <c r="C435" s="364"/>
      <c r="D435" s="364"/>
      <c r="E435" s="364"/>
      <c r="F435" s="364"/>
      <c r="G435" s="364"/>
      <c r="H435" s="364"/>
      <c r="I435" s="364"/>
      <c r="J435" s="364"/>
      <c r="K435" s="364"/>
      <c r="L435" s="364"/>
      <c r="M435" s="364"/>
      <c r="N435" s="364"/>
      <c r="O435" s="364"/>
      <c r="P435" s="364"/>
      <c r="Q435" s="364"/>
      <c r="R435" s="364"/>
      <c r="S435" s="364"/>
      <c r="T435" s="364"/>
      <c r="U435" s="364"/>
      <c r="V435" s="364"/>
      <c r="W435" s="364"/>
      <c r="X435" s="364"/>
      <c r="Y435" s="364"/>
      <c r="Z435" s="364"/>
    </row>
    <row r="436" spans="1:26" ht="15.75" customHeight="1" x14ac:dyDescent="0.25">
      <c r="A436" s="364"/>
      <c r="B436" s="364"/>
      <c r="C436" s="364"/>
      <c r="D436" s="364"/>
      <c r="E436" s="364"/>
      <c r="F436" s="364"/>
      <c r="G436" s="364"/>
      <c r="H436" s="364"/>
      <c r="I436" s="364"/>
      <c r="J436" s="364"/>
      <c r="K436" s="364"/>
      <c r="L436" s="364"/>
      <c r="M436" s="364"/>
      <c r="N436" s="364"/>
      <c r="O436" s="364"/>
      <c r="P436" s="364"/>
      <c r="Q436" s="364"/>
      <c r="R436" s="364"/>
      <c r="S436" s="364"/>
      <c r="T436" s="364"/>
      <c r="U436" s="364"/>
      <c r="V436" s="364"/>
      <c r="W436" s="364"/>
      <c r="X436" s="364"/>
      <c r="Y436" s="364"/>
      <c r="Z436" s="364"/>
    </row>
    <row r="437" spans="1:26" ht="15.75" customHeight="1" x14ac:dyDescent="0.25">
      <c r="A437" s="364"/>
      <c r="B437" s="364"/>
      <c r="C437" s="364"/>
      <c r="D437" s="364"/>
      <c r="E437" s="364"/>
      <c r="F437" s="364"/>
      <c r="G437" s="364"/>
      <c r="H437" s="364"/>
      <c r="I437" s="364"/>
      <c r="J437" s="364"/>
      <c r="K437" s="364"/>
      <c r="L437" s="364"/>
      <c r="M437" s="364"/>
      <c r="N437" s="364"/>
      <c r="O437" s="364"/>
      <c r="P437" s="364"/>
      <c r="Q437" s="364"/>
      <c r="R437" s="364"/>
      <c r="S437" s="364"/>
      <c r="T437" s="364"/>
      <c r="U437" s="364"/>
      <c r="V437" s="364"/>
      <c r="W437" s="364"/>
      <c r="X437" s="364"/>
      <c r="Y437" s="364"/>
      <c r="Z437" s="364"/>
    </row>
    <row r="438" spans="1:26" ht="15.75" customHeight="1" x14ac:dyDescent="0.25">
      <c r="A438" s="364"/>
      <c r="B438" s="364"/>
      <c r="C438" s="364"/>
      <c r="D438" s="364"/>
      <c r="E438" s="364"/>
      <c r="F438" s="364"/>
      <c r="G438" s="364"/>
      <c r="H438" s="364"/>
      <c r="I438" s="364"/>
      <c r="J438" s="364"/>
      <c r="K438" s="364"/>
      <c r="L438" s="364"/>
      <c r="M438" s="364"/>
      <c r="N438" s="364"/>
      <c r="O438" s="364"/>
      <c r="P438" s="364"/>
      <c r="Q438" s="364"/>
      <c r="R438" s="364"/>
      <c r="S438" s="364"/>
      <c r="T438" s="364"/>
      <c r="U438" s="364"/>
      <c r="V438" s="364"/>
      <c r="W438" s="364"/>
      <c r="X438" s="364"/>
      <c r="Y438" s="364"/>
      <c r="Z438" s="364"/>
    </row>
    <row r="439" spans="1:26" ht="15.75" customHeight="1" x14ac:dyDescent="0.25">
      <c r="A439" s="364"/>
      <c r="B439" s="364"/>
      <c r="C439" s="364"/>
      <c r="D439" s="364"/>
      <c r="E439" s="364"/>
      <c r="F439" s="364"/>
      <c r="G439" s="364"/>
      <c r="H439" s="364"/>
      <c r="I439" s="364"/>
      <c r="J439" s="364"/>
      <c r="K439" s="364"/>
      <c r="L439" s="364"/>
      <c r="M439" s="364"/>
      <c r="N439" s="364"/>
      <c r="O439" s="364"/>
      <c r="P439" s="364"/>
      <c r="Q439" s="364"/>
      <c r="R439" s="364"/>
      <c r="S439" s="364"/>
      <c r="T439" s="364"/>
      <c r="U439" s="364"/>
      <c r="V439" s="364"/>
      <c r="W439" s="364"/>
      <c r="X439" s="364"/>
      <c r="Y439" s="364"/>
      <c r="Z439" s="364"/>
    </row>
    <row r="440" spans="1:26" ht="15.75" customHeight="1" x14ac:dyDescent="0.25">
      <c r="A440" s="364"/>
      <c r="B440" s="364"/>
      <c r="C440" s="364"/>
      <c r="D440" s="364"/>
      <c r="E440" s="364"/>
      <c r="F440" s="364"/>
      <c r="G440" s="364"/>
      <c r="H440" s="364"/>
      <c r="I440" s="364"/>
      <c r="J440" s="364"/>
      <c r="K440" s="364"/>
      <c r="L440" s="364"/>
      <c r="M440" s="364"/>
      <c r="N440" s="364"/>
      <c r="O440" s="364"/>
      <c r="P440" s="364"/>
      <c r="Q440" s="364"/>
      <c r="R440" s="364"/>
      <c r="S440" s="364"/>
      <c r="T440" s="364"/>
      <c r="U440" s="364"/>
      <c r="V440" s="364"/>
      <c r="W440" s="364"/>
      <c r="X440" s="364"/>
      <c r="Y440" s="364"/>
      <c r="Z440" s="364"/>
    </row>
    <row r="441" spans="1:26" ht="15.75" customHeight="1" x14ac:dyDescent="0.25">
      <c r="A441" s="364"/>
      <c r="B441" s="364"/>
      <c r="C441" s="364"/>
      <c r="D441" s="364"/>
      <c r="E441" s="364"/>
      <c r="F441" s="364"/>
      <c r="G441" s="364"/>
      <c r="H441" s="364"/>
      <c r="I441" s="364"/>
      <c r="J441" s="364"/>
      <c r="K441" s="364"/>
      <c r="L441" s="364"/>
      <c r="M441" s="364"/>
      <c r="N441" s="364"/>
      <c r="O441" s="364"/>
      <c r="P441" s="364"/>
      <c r="Q441" s="364"/>
      <c r="R441" s="364"/>
      <c r="S441" s="364"/>
      <c r="T441" s="364"/>
      <c r="U441" s="364"/>
      <c r="V441" s="364"/>
      <c r="W441" s="364"/>
      <c r="X441" s="364"/>
      <c r="Y441" s="364"/>
      <c r="Z441" s="364"/>
    </row>
    <row r="442" spans="1:26" ht="15.75" customHeight="1" x14ac:dyDescent="0.25">
      <c r="A442" s="364"/>
      <c r="B442" s="364"/>
      <c r="C442" s="364"/>
      <c r="D442" s="364"/>
      <c r="E442" s="364"/>
      <c r="F442" s="364"/>
      <c r="G442" s="364"/>
      <c r="H442" s="364"/>
      <c r="I442" s="364"/>
      <c r="J442" s="364"/>
      <c r="K442" s="364"/>
      <c r="L442" s="364"/>
      <c r="M442" s="364"/>
      <c r="N442" s="364"/>
      <c r="O442" s="364"/>
      <c r="P442" s="364"/>
      <c r="Q442" s="364"/>
      <c r="R442" s="364"/>
      <c r="S442" s="364"/>
      <c r="T442" s="364"/>
      <c r="U442" s="364"/>
      <c r="V442" s="364"/>
      <c r="W442" s="364"/>
      <c r="X442" s="364"/>
      <c r="Y442" s="364"/>
      <c r="Z442" s="364"/>
    </row>
    <row r="443" spans="1:26" ht="15.75" customHeight="1" x14ac:dyDescent="0.25">
      <c r="A443" s="364"/>
      <c r="B443" s="364"/>
      <c r="C443" s="364"/>
      <c r="D443" s="364"/>
      <c r="E443" s="364"/>
      <c r="F443" s="364"/>
      <c r="G443" s="364"/>
      <c r="H443" s="364"/>
      <c r="I443" s="364"/>
      <c r="J443" s="364"/>
      <c r="K443" s="364"/>
      <c r="L443" s="364"/>
      <c r="M443" s="364"/>
      <c r="N443" s="364"/>
      <c r="O443" s="364"/>
      <c r="P443" s="364"/>
      <c r="Q443" s="364"/>
      <c r="R443" s="364"/>
      <c r="S443" s="364"/>
      <c r="T443" s="364"/>
      <c r="U443" s="364"/>
      <c r="V443" s="364"/>
      <c r="W443" s="364"/>
      <c r="X443" s="364"/>
      <c r="Y443" s="364"/>
      <c r="Z443" s="364"/>
    </row>
    <row r="444" spans="1:26" ht="15.75" customHeight="1" x14ac:dyDescent="0.25">
      <c r="A444" s="364"/>
      <c r="B444" s="364"/>
      <c r="C444" s="364"/>
      <c r="D444" s="364"/>
      <c r="E444" s="364"/>
      <c r="F444" s="364"/>
      <c r="G444" s="364"/>
      <c r="H444" s="364"/>
      <c r="I444" s="364"/>
      <c r="J444" s="364"/>
      <c r="K444" s="364"/>
      <c r="L444" s="364"/>
      <c r="M444" s="364"/>
      <c r="N444" s="364"/>
      <c r="O444" s="364"/>
      <c r="P444" s="364"/>
      <c r="Q444" s="364"/>
      <c r="R444" s="364"/>
      <c r="S444" s="364"/>
      <c r="T444" s="364"/>
      <c r="U444" s="364"/>
      <c r="V444" s="364"/>
      <c r="W444" s="364"/>
      <c r="X444" s="364"/>
      <c r="Y444" s="364"/>
      <c r="Z444" s="364"/>
    </row>
    <row r="445" spans="1:26" ht="15.75" customHeight="1" x14ac:dyDescent="0.25">
      <c r="A445" s="364"/>
      <c r="B445" s="364"/>
      <c r="C445" s="364"/>
      <c r="D445" s="364"/>
      <c r="E445" s="364"/>
      <c r="F445" s="364"/>
      <c r="G445" s="364"/>
      <c r="H445" s="364"/>
      <c r="I445" s="364"/>
      <c r="J445" s="364"/>
      <c r="K445" s="364"/>
      <c r="L445" s="364"/>
      <c r="M445" s="364"/>
      <c r="N445" s="364"/>
      <c r="O445" s="364"/>
      <c r="P445" s="364"/>
      <c r="Q445" s="364"/>
      <c r="R445" s="364"/>
      <c r="S445" s="364"/>
      <c r="T445" s="364"/>
      <c r="U445" s="364"/>
      <c r="V445" s="364"/>
      <c r="W445" s="364"/>
      <c r="X445" s="364"/>
      <c r="Y445" s="364"/>
      <c r="Z445" s="364"/>
    </row>
    <row r="446" spans="1:26" ht="15.75" customHeight="1" x14ac:dyDescent="0.25">
      <c r="A446" s="364"/>
      <c r="B446" s="364"/>
      <c r="C446" s="364"/>
      <c r="D446" s="364"/>
      <c r="E446" s="364"/>
      <c r="F446" s="364"/>
      <c r="G446" s="364"/>
      <c r="H446" s="364"/>
      <c r="I446" s="364"/>
      <c r="J446" s="364"/>
      <c r="K446" s="364"/>
      <c r="L446" s="364"/>
      <c r="M446" s="364"/>
      <c r="N446" s="364"/>
      <c r="O446" s="364"/>
      <c r="P446" s="364"/>
      <c r="Q446" s="364"/>
      <c r="R446" s="364"/>
      <c r="S446" s="364"/>
      <c r="T446" s="364"/>
      <c r="U446" s="364"/>
      <c r="V446" s="364"/>
      <c r="W446" s="364"/>
      <c r="X446" s="364"/>
      <c r="Y446" s="364"/>
      <c r="Z446" s="364"/>
    </row>
    <row r="447" spans="1:26" ht="15.75" customHeight="1" x14ac:dyDescent="0.25">
      <c r="A447" s="364"/>
      <c r="B447" s="364"/>
      <c r="C447" s="364"/>
      <c r="D447" s="364"/>
      <c r="E447" s="364"/>
      <c r="F447" s="364"/>
      <c r="G447" s="364"/>
      <c r="H447" s="364"/>
      <c r="I447" s="364"/>
      <c r="J447" s="364"/>
      <c r="K447" s="364"/>
      <c r="L447" s="364"/>
      <c r="M447" s="364"/>
      <c r="N447" s="364"/>
      <c r="O447" s="364"/>
      <c r="P447" s="364"/>
      <c r="Q447" s="364"/>
      <c r="R447" s="364"/>
      <c r="S447" s="364"/>
      <c r="T447" s="364"/>
      <c r="U447" s="364"/>
      <c r="V447" s="364"/>
      <c r="W447" s="364"/>
      <c r="X447" s="364"/>
      <c r="Y447" s="364"/>
      <c r="Z447" s="364"/>
    </row>
    <row r="448" spans="1:26" ht="15.75" customHeight="1" x14ac:dyDescent="0.25">
      <c r="A448" s="364"/>
      <c r="B448" s="364"/>
      <c r="C448" s="364"/>
      <c r="D448" s="364"/>
      <c r="E448" s="364"/>
      <c r="F448" s="364"/>
      <c r="G448" s="364"/>
      <c r="H448" s="364"/>
      <c r="I448" s="364"/>
      <c r="J448" s="364"/>
      <c r="K448" s="364"/>
      <c r="L448" s="364"/>
      <c r="M448" s="364"/>
      <c r="N448" s="364"/>
      <c r="O448" s="364"/>
      <c r="P448" s="364"/>
      <c r="Q448" s="364"/>
      <c r="R448" s="364"/>
      <c r="S448" s="364"/>
      <c r="T448" s="364"/>
      <c r="U448" s="364"/>
      <c r="V448" s="364"/>
      <c r="W448" s="364"/>
      <c r="X448" s="364"/>
      <c r="Y448" s="364"/>
      <c r="Z448" s="364"/>
    </row>
    <row r="449" spans="1:26" ht="15.75" customHeight="1" x14ac:dyDescent="0.25">
      <c r="A449" s="364"/>
      <c r="B449" s="364"/>
      <c r="C449" s="364"/>
      <c r="D449" s="364"/>
      <c r="E449" s="364"/>
      <c r="F449" s="364"/>
      <c r="G449" s="364"/>
      <c r="H449" s="364"/>
      <c r="I449" s="364"/>
      <c r="J449" s="364"/>
      <c r="K449" s="364"/>
      <c r="L449" s="364"/>
      <c r="M449" s="364"/>
      <c r="N449" s="364"/>
      <c r="O449" s="364"/>
      <c r="P449" s="364"/>
      <c r="Q449" s="364"/>
      <c r="R449" s="364"/>
      <c r="S449" s="364"/>
      <c r="T449" s="364"/>
      <c r="U449" s="364"/>
      <c r="V449" s="364"/>
      <c r="W449" s="364"/>
      <c r="X449" s="364"/>
      <c r="Y449" s="364"/>
      <c r="Z449" s="364"/>
    </row>
    <row r="450" spans="1:26" ht="15.75" customHeight="1" x14ac:dyDescent="0.25">
      <c r="A450" s="364"/>
      <c r="B450" s="364"/>
      <c r="C450" s="364"/>
      <c r="D450" s="364"/>
      <c r="E450" s="364"/>
      <c r="F450" s="364"/>
      <c r="G450" s="364"/>
      <c r="H450" s="364"/>
      <c r="I450" s="364"/>
      <c r="J450" s="364"/>
      <c r="K450" s="364"/>
      <c r="L450" s="364"/>
      <c r="M450" s="364"/>
      <c r="N450" s="364"/>
      <c r="O450" s="364"/>
      <c r="P450" s="364"/>
      <c r="Q450" s="364"/>
      <c r="R450" s="364"/>
      <c r="S450" s="364"/>
      <c r="T450" s="364"/>
      <c r="U450" s="364"/>
      <c r="V450" s="364"/>
      <c r="W450" s="364"/>
      <c r="X450" s="364"/>
      <c r="Y450" s="364"/>
      <c r="Z450" s="364"/>
    </row>
    <row r="451" spans="1:26" ht="15.75" customHeight="1" x14ac:dyDescent="0.25">
      <c r="A451" s="364"/>
      <c r="B451" s="364"/>
      <c r="C451" s="364"/>
      <c r="D451" s="364"/>
      <c r="E451" s="364"/>
      <c r="F451" s="364"/>
      <c r="G451" s="364"/>
      <c r="H451" s="364"/>
      <c r="I451" s="364"/>
      <c r="J451" s="364"/>
      <c r="K451" s="364"/>
      <c r="L451" s="364"/>
      <c r="M451" s="364"/>
      <c r="N451" s="364"/>
      <c r="O451" s="364"/>
      <c r="P451" s="364"/>
      <c r="Q451" s="364"/>
      <c r="R451" s="364"/>
      <c r="S451" s="364"/>
      <c r="T451" s="364"/>
      <c r="U451" s="364"/>
      <c r="V451" s="364"/>
      <c r="W451" s="364"/>
      <c r="X451" s="364"/>
      <c r="Y451" s="364"/>
      <c r="Z451" s="364"/>
    </row>
    <row r="452" spans="1:26" ht="15.75" customHeight="1" x14ac:dyDescent="0.25">
      <c r="A452" s="364"/>
      <c r="B452" s="364"/>
      <c r="C452" s="364"/>
      <c r="D452" s="364"/>
      <c r="E452" s="364"/>
      <c r="F452" s="364"/>
      <c r="G452" s="364"/>
      <c r="H452" s="364"/>
      <c r="I452" s="364"/>
      <c r="J452" s="364"/>
      <c r="K452" s="364"/>
      <c r="L452" s="364"/>
      <c r="M452" s="364"/>
      <c r="N452" s="364"/>
      <c r="O452" s="364"/>
      <c r="P452" s="364"/>
      <c r="Q452" s="364"/>
      <c r="R452" s="364"/>
      <c r="S452" s="364"/>
      <c r="T452" s="364"/>
      <c r="U452" s="364"/>
      <c r="V452" s="364"/>
      <c r="W452" s="364"/>
      <c r="X452" s="364"/>
      <c r="Y452" s="364"/>
      <c r="Z452" s="364"/>
    </row>
    <row r="453" spans="1:26" ht="15.75" customHeight="1" x14ac:dyDescent="0.25">
      <c r="A453" s="364"/>
      <c r="B453" s="364"/>
      <c r="C453" s="364"/>
      <c r="D453" s="364"/>
      <c r="E453" s="364"/>
      <c r="F453" s="364"/>
      <c r="G453" s="364"/>
      <c r="H453" s="364"/>
      <c r="I453" s="364"/>
      <c r="J453" s="364"/>
      <c r="K453" s="364"/>
      <c r="L453" s="364"/>
      <c r="M453" s="364"/>
      <c r="N453" s="364"/>
      <c r="O453" s="364"/>
      <c r="P453" s="364"/>
      <c r="Q453" s="364"/>
      <c r="R453" s="364"/>
      <c r="S453" s="364"/>
      <c r="T453" s="364"/>
      <c r="U453" s="364"/>
      <c r="V453" s="364"/>
      <c r="W453" s="364"/>
      <c r="X453" s="364"/>
      <c r="Y453" s="364"/>
      <c r="Z453" s="364"/>
    </row>
    <row r="454" spans="1:26" ht="15.75" customHeight="1" x14ac:dyDescent="0.25">
      <c r="A454" s="364"/>
      <c r="B454" s="364"/>
      <c r="C454" s="364"/>
      <c r="D454" s="364"/>
      <c r="E454" s="364"/>
      <c r="F454" s="364"/>
      <c r="G454" s="364"/>
      <c r="H454" s="364"/>
      <c r="I454" s="364"/>
      <c r="J454" s="364"/>
      <c r="K454" s="364"/>
      <c r="L454" s="364"/>
      <c r="M454" s="364"/>
      <c r="N454" s="364"/>
      <c r="O454" s="364"/>
      <c r="P454" s="364"/>
      <c r="Q454" s="364"/>
      <c r="R454" s="364"/>
      <c r="S454" s="364"/>
      <c r="T454" s="364"/>
      <c r="U454" s="364"/>
      <c r="V454" s="364"/>
      <c r="W454" s="364"/>
      <c r="X454" s="364"/>
      <c r="Y454" s="364"/>
      <c r="Z454" s="364"/>
    </row>
    <row r="455" spans="1:26" ht="15.75" customHeight="1" x14ac:dyDescent="0.25">
      <c r="A455" s="364"/>
      <c r="B455" s="364"/>
      <c r="C455" s="364"/>
      <c r="D455" s="364"/>
      <c r="E455" s="364"/>
      <c r="F455" s="364"/>
      <c r="G455" s="364"/>
      <c r="H455" s="364"/>
      <c r="I455" s="364"/>
      <c r="J455" s="364"/>
      <c r="K455" s="364"/>
      <c r="L455" s="364"/>
      <c r="M455" s="364"/>
      <c r="N455" s="364"/>
      <c r="O455" s="364"/>
      <c r="P455" s="364"/>
      <c r="Q455" s="364"/>
      <c r="R455" s="364"/>
      <c r="S455" s="364"/>
      <c r="T455" s="364"/>
      <c r="U455" s="364"/>
      <c r="V455" s="364"/>
      <c r="W455" s="364"/>
      <c r="X455" s="364"/>
      <c r="Y455" s="364"/>
      <c r="Z455" s="364"/>
    </row>
    <row r="456" spans="1:26" ht="15.75" customHeight="1" x14ac:dyDescent="0.25">
      <c r="A456" s="364"/>
      <c r="B456" s="364"/>
      <c r="C456" s="364"/>
      <c r="D456" s="364"/>
      <c r="E456" s="364"/>
      <c r="F456" s="364"/>
      <c r="G456" s="364"/>
      <c r="H456" s="364"/>
      <c r="I456" s="364"/>
      <c r="J456" s="364"/>
      <c r="K456" s="364"/>
      <c r="L456" s="364"/>
      <c r="M456" s="364"/>
      <c r="N456" s="364"/>
      <c r="O456" s="364"/>
      <c r="P456" s="364"/>
      <c r="Q456" s="364"/>
      <c r="R456" s="364"/>
      <c r="S456" s="364"/>
      <c r="T456" s="364"/>
      <c r="U456" s="364"/>
      <c r="V456" s="364"/>
      <c r="W456" s="364"/>
      <c r="X456" s="364"/>
      <c r="Y456" s="364"/>
      <c r="Z456" s="364"/>
    </row>
    <row r="457" spans="1:26" ht="15.75" customHeight="1" x14ac:dyDescent="0.25">
      <c r="A457" s="364"/>
      <c r="B457" s="364"/>
      <c r="C457" s="364"/>
      <c r="D457" s="364"/>
      <c r="E457" s="364"/>
      <c r="F457" s="364"/>
      <c r="G457" s="364"/>
      <c r="H457" s="364"/>
      <c r="I457" s="364"/>
      <c r="J457" s="364"/>
      <c r="K457" s="364"/>
      <c r="L457" s="364"/>
      <c r="M457" s="364"/>
      <c r="N457" s="364"/>
      <c r="O457" s="364"/>
      <c r="P457" s="364"/>
      <c r="Q457" s="364"/>
      <c r="R457" s="364"/>
      <c r="S457" s="364"/>
      <c r="T457" s="364"/>
      <c r="U457" s="364"/>
      <c r="V457" s="364"/>
      <c r="W457" s="364"/>
      <c r="X457" s="364"/>
      <c r="Y457" s="364"/>
      <c r="Z457" s="364"/>
    </row>
    <row r="458" spans="1:26" ht="15.75" customHeight="1" x14ac:dyDescent="0.25">
      <c r="A458" s="364"/>
      <c r="B458" s="364"/>
      <c r="C458" s="364"/>
      <c r="D458" s="364"/>
      <c r="E458" s="364"/>
      <c r="F458" s="364"/>
      <c r="G458" s="364"/>
      <c r="H458" s="364"/>
      <c r="I458" s="364"/>
      <c r="J458" s="364"/>
      <c r="K458" s="364"/>
      <c r="L458" s="364"/>
      <c r="M458" s="364"/>
      <c r="N458" s="364"/>
      <c r="O458" s="364"/>
      <c r="P458" s="364"/>
      <c r="Q458" s="364"/>
      <c r="R458" s="364"/>
      <c r="S458" s="364"/>
      <c r="T458" s="364"/>
      <c r="U458" s="364"/>
      <c r="V458" s="364"/>
      <c r="W458" s="364"/>
      <c r="X458" s="364"/>
      <c r="Y458" s="364"/>
      <c r="Z458" s="364"/>
    </row>
    <row r="459" spans="1:26" ht="15.75" customHeight="1" x14ac:dyDescent="0.25">
      <c r="A459" s="364"/>
      <c r="B459" s="364"/>
      <c r="C459" s="364"/>
      <c r="D459" s="364"/>
      <c r="E459" s="364"/>
      <c r="F459" s="364"/>
      <c r="G459" s="364"/>
      <c r="H459" s="364"/>
      <c r="I459" s="364"/>
      <c r="J459" s="364"/>
      <c r="K459" s="364"/>
      <c r="L459" s="364"/>
      <c r="M459" s="364"/>
      <c r="N459" s="364"/>
      <c r="O459" s="364"/>
      <c r="P459" s="364"/>
      <c r="Q459" s="364"/>
      <c r="R459" s="364"/>
      <c r="S459" s="364"/>
      <c r="T459" s="364"/>
      <c r="U459" s="364"/>
      <c r="V459" s="364"/>
      <c r="W459" s="364"/>
      <c r="X459" s="364"/>
      <c r="Y459" s="364"/>
      <c r="Z459" s="364"/>
    </row>
    <row r="460" spans="1:26" ht="15.75" customHeight="1" x14ac:dyDescent="0.25">
      <c r="A460" s="364"/>
      <c r="B460" s="364"/>
      <c r="C460" s="364"/>
      <c r="D460" s="364"/>
      <c r="E460" s="364"/>
      <c r="F460" s="364"/>
      <c r="G460" s="364"/>
      <c r="H460" s="364"/>
      <c r="I460" s="364"/>
      <c r="J460" s="364"/>
      <c r="K460" s="364"/>
      <c r="L460" s="364"/>
      <c r="M460" s="364"/>
      <c r="N460" s="364"/>
      <c r="O460" s="364"/>
      <c r="P460" s="364"/>
      <c r="Q460" s="364"/>
      <c r="R460" s="364"/>
      <c r="S460" s="364"/>
      <c r="T460" s="364"/>
      <c r="U460" s="364"/>
      <c r="V460" s="364"/>
      <c r="W460" s="364"/>
      <c r="X460" s="364"/>
      <c r="Y460" s="364"/>
      <c r="Z460" s="364"/>
    </row>
    <row r="461" spans="1:26" ht="15.75" customHeight="1" x14ac:dyDescent="0.25">
      <c r="A461" s="364"/>
      <c r="B461" s="364"/>
      <c r="C461" s="364"/>
      <c r="D461" s="364"/>
      <c r="E461" s="364"/>
      <c r="F461" s="364"/>
      <c r="G461" s="364"/>
      <c r="H461" s="364"/>
      <c r="I461" s="364"/>
      <c r="J461" s="364"/>
      <c r="K461" s="364"/>
      <c r="L461" s="364"/>
      <c r="M461" s="364"/>
      <c r="N461" s="364"/>
      <c r="O461" s="364"/>
      <c r="P461" s="364"/>
      <c r="Q461" s="364"/>
      <c r="R461" s="364"/>
      <c r="S461" s="364"/>
      <c r="T461" s="364"/>
      <c r="U461" s="364"/>
      <c r="V461" s="364"/>
      <c r="W461" s="364"/>
      <c r="X461" s="364"/>
      <c r="Y461" s="364"/>
      <c r="Z461" s="364"/>
    </row>
    <row r="462" spans="1:26" ht="15.75" customHeight="1" x14ac:dyDescent="0.25">
      <c r="A462" s="364"/>
      <c r="B462" s="364"/>
      <c r="C462" s="364"/>
      <c r="D462" s="364"/>
      <c r="E462" s="364"/>
      <c r="F462" s="364"/>
      <c r="G462" s="364"/>
      <c r="H462" s="364"/>
      <c r="I462" s="364"/>
      <c r="J462" s="364"/>
      <c r="K462" s="364"/>
      <c r="L462" s="364"/>
      <c r="M462" s="364"/>
      <c r="N462" s="364"/>
      <c r="O462" s="364"/>
      <c r="P462" s="364"/>
      <c r="Q462" s="364"/>
      <c r="R462" s="364"/>
      <c r="S462" s="364"/>
      <c r="T462" s="364"/>
      <c r="U462" s="364"/>
      <c r="V462" s="364"/>
      <c r="W462" s="364"/>
      <c r="X462" s="364"/>
      <c r="Y462" s="364"/>
      <c r="Z462" s="364"/>
    </row>
    <row r="463" spans="1:26" ht="15.75" customHeight="1" x14ac:dyDescent="0.25">
      <c r="A463" s="364"/>
      <c r="B463" s="364"/>
      <c r="C463" s="364"/>
      <c r="D463" s="364"/>
      <c r="E463" s="364"/>
      <c r="F463" s="364"/>
      <c r="G463" s="364"/>
      <c r="H463" s="364"/>
      <c r="I463" s="364"/>
      <c r="J463" s="364"/>
      <c r="K463" s="364"/>
      <c r="L463" s="364"/>
      <c r="M463" s="364"/>
      <c r="N463" s="364"/>
      <c r="O463" s="364"/>
      <c r="P463" s="364"/>
      <c r="Q463" s="364"/>
      <c r="R463" s="364"/>
      <c r="S463" s="364"/>
      <c r="T463" s="364"/>
      <c r="U463" s="364"/>
      <c r="V463" s="364"/>
      <c r="W463" s="364"/>
      <c r="X463" s="364"/>
      <c r="Y463" s="364"/>
      <c r="Z463" s="364"/>
    </row>
    <row r="464" spans="1:26" ht="15.75" customHeight="1" x14ac:dyDescent="0.25">
      <c r="A464" s="364"/>
      <c r="B464" s="364"/>
      <c r="C464" s="364"/>
      <c r="D464" s="364"/>
      <c r="E464" s="364"/>
      <c r="F464" s="364"/>
      <c r="G464" s="364"/>
      <c r="H464" s="364"/>
      <c r="I464" s="364"/>
      <c r="J464" s="364"/>
      <c r="K464" s="364"/>
      <c r="L464" s="364"/>
      <c r="M464" s="364"/>
      <c r="N464" s="364"/>
      <c r="O464" s="364"/>
      <c r="P464" s="364"/>
      <c r="Q464" s="364"/>
      <c r="R464" s="364"/>
      <c r="S464" s="364"/>
      <c r="T464" s="364"/>
      <c r="U464" s="364"/>
      <c r="V464" s="364"/>
      <c r="W464" s="364"/>
      <c r="X464" s="364"/>
      <c r="Y464" s="364"/>
      <c r="Z464" s="364"/>
    </row>
    <row r="465" spans="1:26" ht="15.75" customHeight="1" x14ac:dyDescent="0.25">
      <c r="A465" s="364"/>
      <c r="B465" s="364"/>
      <c r="C465" s="364"/>
      <c r="D465" s="364"/>
      <c r="E465" s="364"/>
      <c r="F465" s="364"/>
      <c r="G465" s="364"/>
      <c r="H465" s="364"/>
      <c r="I465" s="364"/>
      <c r="J465" s="364"/>
      <c r="K465" s="364"/>
      <c r="L465" s="364"/>
      <c r="M465" s="364"/>
      <c r="N465" s="364"/>
      <c r="O465" s="364"/>
      <c r="P465" s="364"/>
      <c r="Q465" s="364"/>
      <c r="R465" s="364"/>
      <c r="S465" s="364"/>
      <c r="T465" s="364"/>
      <c r="U465" s="364"/>
      <c r="V465" s="364"/>
      <c r="W465" s="364"/>
      <c r="X465" s="364"/>
      <c r="Y465" s="364"/>
      <c r="Z465" s="364"/>
    </row>
    <row r="466" spans="1:26" ht="15.75" customHeight="1" x14ac:dyDescent="0.25">
      <c r="A466" s="364"/>
      <c r="B466" s="364"/>
      <c r="C466" s="364"/>
      <c r="D466" s="364"/>
      <c r="E466" s="364"/>
      <c r="F466" s="364"/>
      <c r="G466" s="364"/>
      <c r="H466" s="364"/>
      <c r="I466" s="364"/>
      <c r="J466" s="364"/>
      <c r="K466" s="364"/>
      <c r="L466" s="364"/>
      <c r="M466" s="364"/>
      <c r="N466" s="364"/>
      <c r="O466" s="364"/>
      <c r="P466" s="364"/>
      <c r="Q466" s="364"/>
      <c r="R466" s="364"/>
      <c r="S466" s="364"/>
      <c r="T466" s="364"/>
      <c r="U466" s="364"/>
      <c r="V466" s="364"/>
      <c r="W466" s="364"/>
      <c r="X466" s="364"/>
      <c r="Y466" s="364"/>
      <c r="Z466" s="364"/>
    </row>
    <row r="467" spans="1:26" ht="15.75" customHeight="1" x14ac:dyDescent="0.25">
      <c r="A467" s="364"/>
      <c r="B467" s="364"/>
      <c r="C467" s="364"/>
      <c r="D467" s="364"/>
      <c r="E467" s="364"/>
      <c r="F467" s="364"/>
      <c r="G467" s="364"/>
      <c r="H467" s="364"/>
      <c r="I467" s="364"/>
      <c r="J467" s="364"/>
      <c r="K467" s="364"/>
      <c r="L467" s="364"/>
      <c r="M467" s="364"/>
      <c r="N467" s="364"/>
      <c r="O467" s="364"/>
      <c r="P467" s="364"/>
      <c r="Q467" s="364"/>
      <c r="R467" s="364"/>
      <c r="S467" s="364"/>
      <c r="T467" s="364"/>
      <c r="U467" s="364"/>
      <c r="V467" s="364"/>
      <c r="W467" s="364"/>
      <c r="X467" s="364"/>
      <c r="Y467" s="364"/>
      <c r="Z467" s="364"/>
    </row>
    <row r="468" spans="1:26" ht="15.75" customHeight="1" x14ac:dyDescent="0.25">
      <c r="A468" s="364"/>
      <c r="B468" s="364"/>
      <c r="C468" s="364"/>
      <c r="D468" s="364"/>
      <c r="E468" s="364"/>
      <c r="F468" s="364"/>
      <c r="G468" s="364"/>
      <c r="H468" s="364"/>
      <c r="I468" s="364"/>
      <c r="J468" s="364"/>
      <c r="K468" s="364"/>
      <c r="L468" s="364"/>
      <c r="M468" s="364"/>
      <c r="N468" s="364"/>
      <c r="O468" s="364"/>
      <c r="P468" s="364"/>
      <c r="Q468" s="364"/>
      <c r="R468" s="364"/>
      <c r="S468" s="364"/>
      <c r="T468" s="364"/>
      <c r="U468" s="364"/>
      <c r="V468" s="364"/>
      <c r="W468" s="364"/>
      <c r="X468" s="364"/>
      <c r="Y468" s="364"/>
      <c r="Z468" s="364"/>
    </row>
    <row r="469" spans="1:26" ht="15.75" customHeight="1" x14ac:dyDescent="0.25">
      <c r="A469" s="364"/>
      <c r="B469" s="364"/>
      <c r="C469" s="364"/>
      <c r="D469" s="364"/>
      <c r="E469" s="364"/>
      <c r="F469" s="364"/>
      <c r="G469" s="364"/>
      <c r="H469" s="364"/>
      <c r="I469" s="364"/>
      <c r="J469" s="364"/>
      <c r="K469" s="364"/>
      <c r="L469" s="364"/>
      <c r="M469" s="364"/>
      <c r="N469" s="364"/>
      <c r="O469" s="364"/>
      <c r="P469" s="364"/>
      <c r="Q469" s="364"/>
      <c r="R469" s="364"/>
      <c r="S469" s="364"/>
      <c r="T469" s="364"/>
      <c r="U469" s="364"/>
      <c r="V469" s="364"/>
      <c r="W469" s="364"/>
      <c r="X469" s="364"/>
      <c r="Y469" s="364"/>
      <c r="Z469" s="364"/>
    </row>
    <row r="470" spans="1:26" ht="15.75" customHeight="1" x14ac:dyDescent="0.25">
      <c r="A470" s="364"/>
      <c r="B470" s="364"/>
      <c r="C470" s="364"/>
      <c r="D470" s="364"/>
      <c r="E470" s="364"/>
      <c r="F470" s="364"/>
      <c r="G470" s="364"/>
      <c r="H470" s="364"/>
      <c r="I470" s="364"/>
      <c r="J470" s="364"/>
      <c r="K470" s="364"/>
      <c r="L470" s="364"/>
      <c r="M470" s="364"/>
      <c r="N470" s="364"/>
      <c r="O470" s="364"/>
      <c r="P470" s="364"/>
      <c r="Q470" s="364"/>
      <c r="R470" s="364"/>
      <c r="S470" s="364"/>
      <c r="T470" s="364"/>
      <c r="U470" s="364"/>
      <c r="V470" s="364"/>
      <c r="W470" s="364"/>
      <c r="X470" s="364"/>
      <c r="Y470" s="364"/>
      <c r="Z470" s="364"/>
    </row>
    <row r="471" spans="1:26" ht="15.75" customHeight="1" x14ac:dyDescent="0.25">
      <c r="A471" s="364"/>
      <c r="B471" s="364"/>
      <c r="C471" s="364"/>
      <c r="D471" s="364"/>
      <c r="E471" s="364"/>
      <c r="F471" s="364"/>
      <c r="G471" s="364"/>
      <c r="H471" s="364"/>
      <c r="I471" s="364"/>
      <c r="J471" s="364"/>
      <c r="K471" s="364"/>
      <c r="L471" s="364"/>
      <c r="M471" s="364"/>
      <c r="N471" s="364"/>
      <c r="O471" s="364"/>
      <c r="P471" s="364"/>
      <c r="Q471" s="364"/>
      <c r="R471" s="364"/>
      <c r="S471" s="364"/>
      <c r="T471" s="364"/>
      <c r="U471" s="364"/>
      <c r="V471" s="364"/>
      <c r="W471" s="364"/>
      <c r="X471" s="364"/>
      <c r="Y471" s="364"/>
      <c r="Z471" s="364"/>
    </row>
    <row r="472" spans="1:26" ht="15.75" customHeight="1" x14ac:dyDescent="0.25">
      <c r="A472" s="364"/>
      <c r="B472" s="364"/>
      <c r="C472" s="364"/>
      <c r="D472" s="364"/>
      <c r="E472" s="364"/>
      <c r="F472" s="364"/>
      <c r="G472" s="364"/>
      <c r="H472" s="364"/>
      <c r="I472" s="364"/>
      <c r="J472" s="364"/>
      <c r="K472" s="364"/>
      <c r="L472" s="364"/>
      <c r="M472" s="364"/>
      <c r="N472" s="364"/>
      <c r="O472" s="364"/>
      <c r="P472" s="364"/>
      <c r="Q472" s="364"/>
      <c r="R472" s="364"/>
      <c r="S472" s="364"/>
      <c r="T472" s="364"/>
      <c r="U472" s="364"/>
      <c r="V472" s="364"/>
      <c r="W472" s="364"/>
      <c r="X472" s="364"/>
      <c r="Y472" s="364"/>
      <c r="Z472" s="364"/>
    </row>
    <row r="473" spans="1:26" ht="15.75" customHeight="1" x14ac:dyDescent="0.25">
      <c r="A473" s="364"/>
      <c r="B473" s="364"/>
      <c r="C473" s="364"/>
      <c r="D473" s="364"/>
      <c r="E473" s="364"/>
      <c r="F473" s="364"/>
      <c r="G473" s="364"/>
      <c r="H473" s="364"/>
      <c r="I473" s="364"/>
      <c r="J473" s="364"/>
      <c r="K473" s="364"/>
      <c r="L473" s="364"/>
      <c r="M473" s="364"/>
      <c r="N473" s="364"/>
      <c r="O473" s="364"/>
      <c r="P473" s="364"/>
      <c r="Q473" s="364"/>
      <c r="R473" s="364"/>
      <c r="S473" s="364"/>
      <c r="T473" s="364"/>
      <c r="U473" s="364"/>
      <c r="V473" s="364"/>
      <c r="W473" s="364"/>
      <c r="X473" s="364"/>
      <c r="Y473" s="364"/>
      <c r="Z473" s="364"/>
    </row>
    <row r="474" spans="1:26" ht="15.75" customHeight="1" x14ac:dyDescent="0.25">
      <c r="A474" s="364"/>
      <c r="B474" s="364"/>
      <c r="C474" s="364"/>
      <c r="D474" s="364"/>
      <c r="E474" s="364"/>
      <c r="F474" s="364"/>
      <c r="G474" s="364"/>
      <c r="H474" s="364"/>
      <c r="I474" s="364"/>
      <c r="J474" s="364"/>
      <c r="K474" s="364"/>
      <c r="L474" s="364"/>
      <c r="M474" s="364"/>
      <c r="N474" s="364"/>
      <c r="O474" s="364"/>
      <c r="P474" s="364"/>
      <c r="Q474" s="364"/>
      <c r="R474" s="364"/>
      <c r="S474" s="364"/>
      <c r="T474" s="364"/>
      <c r="U474" s="364"/>
      <c r="V474" s="364"/>
      <c r="W474" s="364"/>
      <c r="X474" s="364"/>
      <c r="Y474" s="364"/>
      <c r="Z474" s="364"/>
    </row>
    <row r="475" spans="1:26" ht="15.75" customHeight="1" x14ac:dyDescent="0.25">
      <c r="A475" s="364"/>
      <c r="B475" s="364"/>
      <c r="C475" s="364"/>
      <c r="D475" s="364"/>
      <c r="E475" s="364"/>
      <c r="F475" s="364"/>
      <c r="G475" s="364"/>
      <c r="H475" s="364"/>
      <c r="I475" s="364"/>
      <c r="J475" s="364"/>
      <c r="K475" s="364"/>
      <c r="L475" s="364"/>
      <c r="M475" s="364"/>
      <c r="N475" s="364"/>
      <c r="O475" s="364"/>
      <c r="P475" s="364"/>
      <c r="Q475" s="364"/>
      <c r="R475" s="364"/>
      <c r="S475" s="364"/>
      <c r="T475" s="364"/>
      <c r="U475" s="364"/>
      <c r="V475" s="364"/>
      <c r="W475" s="364"/>
      <c r="X475" s="364"/>
      <c r="Y475" s="364"/>
      <c r="Z475" s="364"/>
    </row>
    <row r="476" spans="1:26" ht="15.75" customHeight="1" x14ac:dyDescent="0.25">
      <c r="A476" s="364"/>
      <c r="B476" s="364"/>
      <c r="C476" s="364"/>
      <c r="D476" s="364"/>
      <c r="E476" s="364"/>
      <c r="F476" s="364"/>
      <c r="G476" s="364"/>
      <c r="H476" s="364"/>
      <c r="I476" s="364"/>
      <c r="J476" s="364"/>
      <c r="K476" s="364"/>
      <c r="L476" s="364"/>
      <c r="M476" s="364"/>
      <c r="N476" s="364"/>
      <c r="O476" s="364"/>
      <c r="P476" s="364"/>
      <c r="Q476" s="364"/>
      <c r="R476" s="364"/>
      <c r="S476" s="364"/>
      <c r="T476" s="364"/>
      <c r="U476" s="364"/>
      <c r="V476" s="364"/>
      <c r="W476" s="364"/>
      <c r="X476" s="364"/>
      <c r="Y476" s="364"/>
      <c r="Z476" s="364"/>
    </row>
    <row r="477" spans="1:26" ht="15.75" customHeight="1" x14ac:dyDescent="0.25">
      <c r="A477" s="364"/>
      <c r="B477" s="364"/>
      <c r="C477" s="364"/>
      <c r="D477" s="364"/>
      <c r="E477" s="364"/>
      <c r="F477" s="364"/>
      <c r="G477" s="364"/>
      <c r="H477" s="364"/>
      <c r="I477" s="364"/>
      <c r="J477" s="364"/>
      <c r="K477" s="364"/>
      <c r="L477" s="364"/>
      <c r="M477" s="364"/>
      <c r="N477" s="364"/>
      <c r="O477" s="364"/>
      <c r="P477" s="364"/>
      <c r="Q477" s="364"/>
      <c r="R477" s="364"/>
      <c r="S477" s="364"/>
      <c r="T477" s="364"/>
      <c r="U477" s="364"/>
      <c r="V477" s="364"/>
      <c r="W477" s="364"/>
      <c r="X477" s="364"/>
      <c r="Y477" s="364"/>
      <c r="Z477" s="364"/>
    </row>
    <row r="478" spans="1:26" ht="15.75" customHeight="1" x14ac:dyDescent="0.25">
      <c r="A478" s="364"/>
      <c r="B478" s="364"/>
      <c r="C478" s="364"/>
      <c r="D478" s="364"/>
      <c r="E478" s="364"/>
      <c r="F478" s="364"/>
      <c r="G478" s="364"/>
      <c r="H478" s="364"/>
      <c r="I478" s="364"/>
      <c r="J478" s="364"/>
      <c r="K478" s="364"/>
      <c r="L478" s="364"/>
      <c r="M478" s="364"/>
      <c r="N478" s="364"/>
      <c r="O478" s="364"/>
      <c r="P478" s="364"/>
      <c r="Q478" s="364"/>
      <c r="R478" s="364"/>
      <c r="S478" s="364"/>
      <c r="T478" s="364"/>
      <c r="U478" s="364"/>
      <c r="V478" s="364"/>
      <c r="W478" s="364"/>
      <c r="X478" s="364"/>
      <c r="Y478" s="364"/>
      <c r="Z478" s="364"/>
    </row>
    <row r="479" spans="1:26" ht="15.75" customHeight="1" x14ac:dyDescent="0.25">
      <c r="A479" s="364"/>
      <c r="B479" s="364"/>
      <c r="C479" s="364"/>
      <c r="D479" s="364"/>
      <c r="E479" s="364"/>
      <c r="F479" s="364"/>
      <c r="G479" s="364"/>
      <c r="H479" s="364"/>
      <c r="I479" s="364"/>
      <c r="J479" s="364"/>
      <c r="K479" s="364"/>
      <c r="L479" s="364"/>
      <c r="M479" s="364"/>
      <c r="N479" s="364"/>
      <c r="O479" s="364"/>
      <c r="P479" s="364"/>
      <c r="Q479" s="364"/>
      <c r="R479" s="364"/>
      <c r="S479" s="364"/>
      <c r="T479" s="364"/>
      <c r="U479" s="364"/>
      <c r="V479" s="364"/>
      <c r="W479" s="364"/>
      <c r="X479" s="364"/>
      <c r="Y479" s="364"/>
      <c r="Z479" s="364"/>
    </row>
    <row r="480" spans="1:26" ht="15.75" customHeight="1" x14ac:dyDescent="0.25">
      <c r="A480" s="364"/>
      <c r="B480" s="364"/>
      <c r="C480" s="364"/>
      <c r="D480" s="364"/>
      <c r="E480" s="364"/>
      <c r="F480" s="364"/>
      <c r="G480" s="364"/>
      <c r="H480" s="364"/>
      <c r="I480" s="364"/>
      <c r="J480" s="364"/>
      <c r="K480" s="364"/>
      <c r="L480" s="364"/>
      <c r="M480" s="364"/>
      <c r="N480" s="364"/>
      <c r="O480" s="364"/>
      <c r="P480" s="364"/>
      <c r="Q480" s="364"/>
      <c r="R480" s="364"/>
      <c r="S480" s="364"/>
      <c r="T480" s="364"/>
      <c r="U480" s="364"/>
      <c r="V480" s="364"/>
      <c r="W480" s="364"/>
      <c r="X480" s="364"/>
      <c r="Y480" s="364"/>
      <c r="Z480" s="364"/>
    </row>
    <row r="481" spans="1:26" ht="15.75" customHeight="1" x14ac:dyDescent="0.25">
      <c r="A481" s="364"/>
      <c r="B481" s="364"/>
      <c r="C481" s="364"/>
      <c r="D481" s="364"/>
      <c r="E481" s="364"/>
      <c r="F481" s="364"/>
      <c r="G481" s="364"/>
      <c r="H481" s="364"/>
      <c r="I481" s="364"/>
      <c r="J481" s="364"/>
      <c r="K481" s="364"/>
      <c r="L481" s="364"/>
      <c r="M481" s="364"/>
      <c r="N481" s="364"/>
      <c r="O481" s="364"/>
      <c r="P481" s="364"/>
      <c r="Q481" s="364"/>
      <c r="R481" s="364"/>
      <c r="S481" s="364"/>
      <c r="T481" s="364"/>
      <c r="U481" s="364"/>
      <c r="V481" s="364"/>
      <c r="W481" s="364"/>
      <c r="X481" s="364"/>
      <c r="Y481" s="364"/>
      <c r="Z481" s="364"/>
    </row>
    <row r="482" spans="1:26" ht="15.75" customHeight="1" x14ac:dyDescent="0.25">
      <c r="A482" s="364"/>
      <c r="B482" s="364"/>
      <c r="C482" s="364"/>
      <c r="D482" s="364"/>
      <c r="E482" s="364"/>
      <c r="F482" s="364"/>
      <c r="G482" s="364"/>
      <c r="H482" s="364"/>
      <c r="I482" s="364"/>
      <c r="J482" s="364"/>
      <c r="K482" s="364"/>
      <c r="L482" s="364"/>
      <c r="M482" s="364"/>
      <c r="N482" s="364"/>
      <c r="O482" s="364"/>
      <c r="P482" s="364"/>
      <c r="Q482" s="364"/>
      <c r="R482" s="364"/>
      <c r="S482" s="364"/>
      <c r="T482" s="364"/>
      <c r="U482" s="364"/>
      <c r="V482" s="364"/>
      <c r="W482" s="364"/>
      <c r="X482" s="364"/>
      <c r="Y482" s="364"/>
      <c r="Z482" s="364"/>
    </row>
    <row r="483" spans="1:26" ht="15.75" customHeight="1" x14ac:dyDescent="0.25">
      <c r="A483" s="364"/>
      <c r="B483" s="364"/>
      <c r="C483" s="364"/>
      <c r="D483" s="364"/>
      <c r="E483" s="364"/>
      <c r="F483" s="364"/>
      <c r="G483" s="364"/>
      <c r="H483" s="364"/>
      <c r="I483" s="364"/>
      <c r="J483" s="364"/>
      <c r="K483" s="364"/>
      <c r="L483" s="364"/>
      <c r="M483" s="364"/>
      <c r="N483" s="364"/>
      <c r="O483" s="364"/>
      <c r="P483" s="364"/>
      <c r="Q483" s="364"/>
      <c r="R483" s="364"/>
      <c r="S483" s="364"/>
      <c r="T483" s="364"/>
      <c r="U483" s="364"/>
      <c r="V483" s="364"/>
      <c r="W483" s="364"/>
      <c r="X483" s="364"/>
      <c r="Y483" s="364"/>
      <c r="Z483" s="364"/>
    </row>
    <row r="484" spans="1:26" ht="15.75" customHeight="1" x14ac:dyDescent="0.25">
      <c r="A484" s="364"/>
      <c r="B484" s="364"/>
      <c r="C484" s="364"/>
      <c r="D484" s="364"/>
      <c r="E484" s="364"/>
      <c r="F484" s="364"/>
      <c r="G484" s="364"/>
      <c r="H484" s="364"/>
      <c r="I484" s="364"/>
      <c r="J484" s="364"/>
      <c r="K484" s="364"/>
      <c r="L484" s="364"/>
      <c r="M484" s="364"/>
      <c r="N484" s="364"/>
      <c r="O484" s="364"/>
      <c r="P484" s="364"/>
      <c r="Q484" s="364"/>
      <c r="R484" s="364"/>
      <c r="S484" s="364"/>
      <c r="T484" s="364"/>
      <c r="U484" s="364"/>
      <c r="V484" s="364"/>
      <c r="W484" s="364"/>
      <c r="X484" s="364"/>
      <c r="Y484" s="364"/>
      <c r="Z484" s="364"/>
    </row>
    <row r="485" spans="1:26" ht="15.75" customHeight="1" x14ac:dyDescent="0.25">
      <c r="A485" s="364"/>
      <c r="B485" s="364"/>
      <c r="C485" s="364"/>
      <c r="D485" s="364"/>
      <c r="E485" s="364"/>
      <c r="F485" s="364"/>
      <c r="G485" s="364"/>
      <c r="H485" s="364"/>
      <c r="I485" s="364"/>
      <c r="J485" s="364"/>
      <c r="K485" s="364"/>
      <c r="L485" s="364"/>
      <c r="M485" s="364"/>
      <c r="N485" s="364"/>
      <c r="O485" s="364"/>
      <c r="P485" s="364"/>
      <c r="Q485" s="364"/>
      <c r="R485" s="364"/>
      <c r="S485" s="364"/>
      <c r="T485" s="364"/>
      <c r="U485" s="364"/>
      <c r="V485" s="364"/>
      <c r="W485" s="364"/>
      <c r="X485" s="364"/>
      <c r="Y485" s="364"/>
      <c r="Z485" s="364"/>
    </row>
    <row r="486" spans="1:26" ht="15.75" customHeight="1" x14ac:dyDescent="0.25">
      <c r="A486" s="364"/>
      <c r="B486" s="364"/>
      <c r="C486" s="364"/>
      <c r="D486" s="364"/>
      <c r="E486" s="364"/>
      <c r="F486" s="364"/>
      <c r="G486" s="364"/>
      <c r="H486" s="364"/>
      <c r="I486" s="364"/>
      <c r="J486" s="364"/>
      <c r="K486" s="364"/>
      <c r="L486" s="364"/>
      <c r="M486" s="364"/>
      <c r="N486" s="364"/>
      <c r="O486" s="364"/>
      <c r="P486" s="364"/>
      <c r="Q486" s="364"/>
      <c r="R486" s="364"/>
      <c r="S486" s="364"/>
      <c r="T486" s="364"/>
      <c r="U486" s="364"/>
      <c r="V486" s="364"/>
      <c r="W486" s="364"/>
      <c r="X486" s="364"/>
      <c r="Y486" s="364"/>
      <c r="Z486" s="364"/>
    </row>
    <row r="487" spans="1:26" ht="15.75" customHeight="1" x14ac:dyDescent="0.25">
      <c r="A487" s="364"/>
      <c r="B487" s="364"/>
      <c r="C487" s="364"/>
      <c r="D487" s="364"/>
      <c r="E487" s="364"/>
      <c r="F487" s="364"/>
      <c r="G487" s="364"/>
      <c r="H487" s="364"/>
      <c r="I487" s="364"/>
      <c r="J487" s="364"/>
      <c r="K487" s="364"/>
      <c r="L487" s="364"/>
      <c r="M487" s="364"/>
      <c r="N487" s="364"/>
      <c r="O487" s="364"/>
      <c r="P487" s="364"/>
      <c r="Q487" s="364"/>
      <c r="R487" s="364"/>
      <c r="S487" s="364"/>
      <c r="T487" s="364"/>
      <c r="U487" s="364"/>
      <c r="V487" s="364"/>
      <c r="W487" s="364"/>
      <c r="X487" s="364"/>
      <c r="Y487" s="364"/>
      <c r="Z487" s="364"/>
    </row>
    <row r="488" spans="1:26" ht="15.75" customHeight="1" x14ac:dyDescent="0.25">
      <c r="A488" s="364"/>
      <c r="B488" s="364"/>
      <c r="C488" s="364"/>
      <c r="D488" s="364"/>
      <c r="E488" s="364"/>
      <c r="F488" s="364"/>
      <c r="G488" s="364"/>
      <c r="H488" s="364"/>
      <c r="I488" s="364"/>
      <c r="J488" s="364"/>
      <c r="K488" s="364"/>
      <c r="L488" s="364"/>
      <c r="M488" s="364"/>
      <c r="N488" s="364"/>
      <c r="O488" s="364"/>
      <c r="P488" s="364"/>
      <c r="Q488" s="364"/>
      <c r="R488" s="364"/>
      <c r="S488" s="364"/>
      <c r="T488" s="364"/>
      <c r="U488" s="364"/>
      <c r="V488" s="364"/>
      <c r="W488" s="364"/>
      <c r="X488" s="364"/>
      <c r="Y488" s="364"/>
      <c r="Z488" s="364"/>
    </row>
    <row r="489" spans="1:26" ht="15.75" customHeight="1" x14ac:dyDescent="0.25">
      <c r="A489" s="364"/>
      <c r="B489" s="364"/>
      <c r="C489" s="364"/>
      <c r="D489" s="364"/>
      <c r="E489" s="364"/>
      <c r="F489" s="364"/>
      <c r="G489" s="364"/>
      <c r="H489" s="364"/>
      <c r="I489" s="364"/>
      <c r="J489" s="364"/>
      <c r="K489" s="364"/>
      <c r="L489" s="364"/>
      <c r="M489" s="364"/>
      <c r="N489" s="364"/>
      <c r="O489" s="364"/>
      <c r="P489" s="364"/>
      <c r="Q489" s="364"/>
      <c r="R489" s="364"/>
      <c r="S489" s="364"/>
      <c r="T489" s="364"/>
      <c r="U489" s="364"/>
      <c r="V489" s="364"/>
      <c r="W489" s="364"/>
      <c r="X489" s="364"/>
      <c r="Y489" s="364"/>
      <c r="Z489" s="364"/>
    </row>
    <row r="490" spans="1:26" ht="15.75" customHeight="1" x14ac:dyDescent="0.25">
      <c r="A490" s="364"/>
      <c r="B490" s="364"/>
      <c r="C490" s="364"/>
      <c r="D490" s="364"/>
      <c r="E490" s="364"/>
      <c r="F490" s="364"/>
      <c r="G490" s="364"/>
      <c r="H490" s="364"/>
      <c r="I490" s="364"/>
      <c r="J490" s="364"/>
      <c r="K490" s="364"/>
      <c r="L490" s="364"/>
      <c r="M490" s="364"/>
      <c r="N490" s="364"/>
      <c r="O490" s="364"/>
      <c r="P490" s="364"/>
      <c r="Q490" s="364"/>
      <c r="R490" s="364"/>
      <c r="S490" s="364"/>
      <c r="T490" s="364"/>
      <c r="U490" s="364"/>
      <c r="V490" s="364"/>
      <c r="W490" s="364"/>
      <c r="X490" s="364"/>
      <c r="Y490" s="364"/>
      <c r="Z490" s="364"/>
    </row>
    <row r="491" spans="1:26" ht="15.75" customHeight="1" x14ac:dyDescent="0.25">
      <c r="A491" s="364"/>
      <c r="B491" s="364"/>
      <c r="C491" s="364"/>
      <c r="D491" s="364"/>
      <c r="E491" s="364"/>
      <c r="F491" s="364"/>
      <c r="G491" s="364"/>
      <c r="H491" s="364"/>
      <c r="I491" s="364"/>
      <c r="J491" s="364"/>
      <c r="K491" s="364"/>
      <c r="L491" s="364"/>
      <c r="M491" s="364"/>
      <c r="N491" s="364"/>
      <c r="O491" s="364"/>
      <c r="P491" s="364"/>
      <c r="Q491" s="364"/>
      <c r="R491" s="364"/>
      <c r="S491" s="364"/>
      <c r="T491" s="364"/>
      <c r="U491" s="364"/>
      <c r="V491" s="364"/>
      <c r="W491" s="364"/>
      <c r="X491" s="364"/>
      <c r="Y491" s="364"/>
      <c r="Z491" s="364"/>
    </row>
    <row r="492" spans="1:26" ht="15.75" customHeight="1" x14ac:dyDescent="0.25">
      <c r="A492" s="364"/>
      <c r="B492" s="364"/>
      <c r="C492" s="364"/>
      <c r="D492" s="364"/>
      <c r="E492" s="364"/>
      <c r="F492" s="364"/>
      <c r="G492" s="364"/>
      <c r="H492" s="364"/>
      <c r="I492" s="364"/>
      <c r="J492" s="364"/>
      <c r="K492" s="364"/>
      <c r="L492" s="364"/>
      <c r="M492" s="364"/>
      <c r="N492" s="364"/>
      <c r="O492" s="364"/>
      <c r="P492" s="364"/>
      <c r="Q492" s="364"/>
      <c r="R492" s="364"/>
      <c r="S492" s="364"/>
      <c r="T492" s="364"/>
      <c r="U492" s="364"/>
      <c r="V492" s="364"/>
      <c r="W492" s="364"/>
      <c r="X492" s="364"/>
      <c r="Y492" s="364"/>
      <c r="Z492" s="364"/>
    </row>
    <row r="493" spans="1:26" ht="15.75" customHeight="1" x14ac:dyDescent="0.25">
      <c r="A493" s="364"/>
      <c r="B493" s="364"/>
      <c r="C493" s="364"/>
      <c r="D493" s="364"/>
      <c r="E493" s="364"/>
      <c r="F493" s="364"/>
      <c r="G493" s="364"/>
      <c r="H493" s="364"/>
      <c r="I493" s="364"/>
      <c r="J493" s="364"/>
      <c r="K493" s="364"/>
      <c r="L493" s="364"/>
      <c r="M493" s="364"/>
      <c r="N493" s="364"/>
      <c r="O493" s="364"/>
      <c r="P493" s="364"/>
      <c r="Q493" s="364"/>
      <c r="R493" s="364"/>
      <c r="S493" s="364"/>
      <c r="T493" s="364"/>
      <c r="U493" s="364"/>
      <c r="V493" s="364"/>
      <c r="W493" s="364"/>
      <c r="X493" s="364"/>
      <c r="Y493" s="364"/>
      <c r="Z493" s="364"/>
    </row>
    <row r="494" spans="1:26" ht="15.75" customHeight="1" x14ac:dyDescent="0.25">
      <c r="A494" s="364"/>
      <c r="B494" s="364"/>
      <c r="C494" s="364"/>
      <c r="D494" s="364"/>
      <c r="E494" s="364"/>
      <c r="F494" s="364"/>
      <c r="G494" s="364"/>
      <c r="H494" s="364"/>
      <c r="I494" s="364"/>
      <c r="J494" s="364"/>
      <c r="K494" s="364"/>
      <c r="L494" s="364"/>
      <c r="M494" s="364"/>
      <c r="N494" s="364"/>
      <c r="O494" s="364"/>
      <c r="P494" s="364"/>
      <c r="Q494" s="364"/>
      <c r="R494" s="364"/>
      <c r="S494" s="364"/>
      <c r="T494" s="364"/>
      <c r="U494" s="364"/>
      <c r="V494" s="364"/>
      <c r="W494" s="364"/>
      <c r="X494" s="364"/>
      <c r="Y494" s="364"/>
      <c r="Z494" s="364"/>
    </row>
    <row r="495" spans="1:26" ht="15.75" customHeight="1" x14ac:dyDescent="0.25">
      <c r="A495" s="364"/>
      <c r="B495" s="364"/>
      <c r="C495" s="364"/>
      <c r="D495" s="364"/>
      <c r="E495" s="364"/>
      <c r="F495" s="364"/>
      <c r="G495" s="364"/>
      <c r="H495" s="364"/>
      <c r="I495" s="364"/>
      <c r="J495" s="364"/>
      <c r="K495" s="364"/>
      <c r="L495" s="364"/>
      <c r="M495" s="364"/>
      <c r="N495" s="364"/>
      <c r="O495" s="364"/>
      <c r="P495" s="364"/>
      <c r="Q495" s="364"/>
      <c r="R495" s="364"/>
      <c r="S495" s="364"/>
      <c r="T495" s="364"/>
      <c r="U495" s="364"/>
      <c r="V495" s="364"/>
      <c r="W495" s="364"/>
      <c r="X495" s="364"/>
      <c r="Y495" s="364"/>
      <c r="Z495" s="364"/>
    </row>
    <row r="496" spans="1:26" ht="15.75" customHeight="1" x14ac:dyDescent="0.25">
      <c r="A496" s="364"/>
      <c r="B496" s="364"/>
      <c r="C496" s="364"/>
      <c r="D496" s="364"/>
      <c r="E496" s="364"/>
      <c r="F496" s="364"/>
      <c r="G496" s="364"/>
      <c r="H496" s="364"/>
      <c r="I496" s="364"/>
      <c r="J496" s="364"/>
      <c r="K496" s="364"/>
      <c r="L496" s="364"/>
      <c r="M496" s="364"/>
      <c r="N496" s="364"/>
      <c r="O496" s="364"/>
      <c r="P496" s="364"/>
      <c r="Q496" s="364"/>
      <c r="R496" s="364"/>
      <c r="S496" s="364"/>
      <c r="T496" s="364"/>
      <c r="U496" s="364"/>
      <c r="V496" s="364"/>
      <c r="W496" s="364"/>
      <c r="X496" s="364"/>
      <c r="Y496" s="364"/>
      <c r="Z496" s="364"/>
    </row>
    <row r="497" spans="1:26" ht="15.75" customHeight="1" x14ac:dyDescent="0.25">
      <c r="A497" s="364"/>
      <c r="B497" s="364"/>
      <c r="C497" s="364"/>
      <c r="D497" s="364"/>
      <c r="E497" s="364"/>
      <c r="F497" s="364"/>
      <c r="G497" s="364"/>
      <c r="H497" s="364"/>
      <c r="I497" s="364"/>
      <c r="J497" s="364"/>
      <c r="K497" s="364"/>
      <c r="L497" s="364"/>
      <c r="M497" s="364"/>
      <c r="N497" s="364"/>
      <c r="O497" s="364"/>
      <c r="P497" s="364"/>
      <c r="Q497" s="364"/>
      <c r="R497" s="364"/>
      <c r="S497" s="364"/>
      <c r="T497" s="364"/>
      <c r="U497" s="364"/>
      <c r="V497" s="364"/>
      <c r="W497" s="364"/>
      <c r="X497" s="364"/>
      <c r="Y497" s="364"/>
      <c r="Z497" s="364"/>
    </row>
    <row r="498" spans="1:26" ht="15.75" customHeight="1" x14ac:dyDescent="0.25">
      <c r="A498" s="364"/>
      <c r="B498" s="364"/>
      <c r="C498" s="364"/>
      <c r="D498" s="364"/>
      <c r="E498" s="364"/>
      <c r="F498" s="364"/>
      <c r="G498" s="364"/>
      <c r="H498" s="364"/>
      <c r="I498" s="364"/>
      <c r="J498" s="364"/>
      <c r="K498" s="364"/>
      <c r="L498" s="364"/>
      <c r="M498" s="364"/>
      <c r="N498" s="364"/>
      <c r="O498" s="364"/>
      <c r="P498" s="364"/>
      <c r="Q498" s="364"/>
      <c r="R498" s="364"/>
      <c r="S498" s="364"/>
      <c r="T498" s="364"/>
      <c r="U498" s="364"/>
      <c r="V498" s="364"/>
      <c r="W498" s="364"/>
      <c r="X498" s="364"/>
      <c r="Y498" s="364"/>
      <c r="Z498" s="364"/>
    </row>
    <row r="499" spans="1:26" ht="15.75" customHeight="1" x14ac:dyDescent="0.25">
      <c r="A499" s="364"/>
      <c r="B499" s="364"/>
      <c r="C499" s="364"/>
      <c r="D499" s="364"/>
      <c r="E499" s="364"/>
      <c r="F499" s="364"/>
      <c r="G499" s="364"/>
      <c r="H499" s="364"/>
      <c r="I499" s="364"/>
      <c r="J499" s="364"/>
      <c r="K499" s="364"/>
      <c r="L499" s="364"/>
      <c r="M499" s="364"/>
      <c r="N499" s="364"/>
      <c r="O499" s="364"/>
      <c r="P499" s="364"/>
      <c r="Q499" s="364"/>
      <c r="R499" s="364"/>
      <c r="S499" s="364"/>
      <c r="T499" s="364"/>
      <c r="U499" s="364"/>
      <c r="V499" s="364"/>
      <c r="W499" s="364"/>
      <c r="X499" s="364"/>
      <c r="Y499" s="364"/>
      <c r="Z499" s="364"/>
    </row>
    <row r="500" spans="1:26" ht="15.75" customHeight="1" x14ac:dyDescent="0.25">
      <c r="A500" s="364"/>
      <c r="B500" s="364"/>
      <c r="C500" s="364"/>
      <c r="D500" s="364"/>
      <c r="E500" s="364"/>
      <c r="F500" s="364"/>
      <c r="G500" s="364"/>
      <c r="H500" s="364"/>
      <c r="I500" s="364"/>
      <c r="J500" s="364"/>
      <c r="K500" s="364"/>
      <c r="L500" s="364"/>
      <c r="M500" s="364"/>
      <c r="N500" s="364"/>
      <c r="O500" s="364"/>
      <c r="P500" s="364"/>
      <c r="Q500" s="364"/>
      <c r="R500" s="364"/>
      <c r="S500" s="364"/>
      <c r="T500" s="364"/>
      <c r="U500" s="364"/>
      <c r="V500" s="364"/>
      <c r="W500" s="364"/>
      <c r="X500" s="364"/>
      <c r="Y500" s="364"/>
      <c r="Z500" s="364"/>
    </row>
    <row r="501" spans="1:26" ht="15.75" customHeight="1" x14ac:dyDescent="0.25">
      <c r="A501" s="364"/>
      <c r="B501" s="364"/>
      <c r="C501" s="364"/>
      <c r="D501" s="364"/>
      <c r="E501" s="364"/>
      <c r="F501" s="364"/>
      <c r="G501" s="364"/>
      <c r="H501" s="364"/>
      <c r="I501" s="364"/>
      <c r="J501" s="364"/>
      <c r="K501" s="364"/>
      <c r="L501" s="364"/>
      <c r="M501" s="364"/>
      <c r="N501" s="364"/>
      <c r="O501" s="364"/>
      <c r="P501" s="364"/>
      <c r="Q501" s="364"/>
      <c r="R501" s="364"/>
      <c r="S501" s="364"/>
      <c r="T501" s="364"/>
      <c r="U501" s="364"/>
      <c r="V501" s="364"/>
      <c r="W501" s="364"/>
      <c r="X501" s="364"/>
      <c r="Y501" s="364"/>
      <c r="Z501" s="364"/>
    </row>
    <row r="502" spans="1:26" ht="15.75" customHeight="1" x14ac:dyDescent="0.25">
      <c r="A502" s="364"/>
      <c r="B502" s="364"/>
      <c r="C502" s="364"/>
      <c r="D502" s="364"/>
      <c r="E502" s="364"/>
      <c r="F502" s="364"/>
      <c r="G502" s="364"/>
      <c r="H502" s="364"/>
      <c r="I502" s="364"/>
      <c r="J502" s="364"/>
      <c r="K502" s="364"/>
      <c r="L502" s="364"/>
      <c r="M502" s="364"/>
      <c r="N502" s="364"/>
      <c r="O502" s="364"/>
      <c r="P502" s="364"/>
      <c r="Q502" s="364"/>
      <c r="R502" s="364"/>
      <c r="S502" s="364"/>
      <c r="T502" s="364"/>
      <c r="U502" s="364"/>
      <c r="V502" s="364"/>
      <c r="W502" s="364"/>
      <c r="X502" s="364"/>
      <c r="Y502" s="364"/>
      <c r="Z502" s="364"/>
    </row>
    <row r="503" spans="1:26" ht="15.75" customHeight="1" x14ac:dyDescent="0.25">
      <c r="A503" s="364"/>
      <c r="B503" s="364"/>
      <c r="C503" s="364"/>
      <c r="D503" s="364"/>
      <c r="E503" s="364"/>
      <c r="F503" s="364"/>
      <c r="G503" s="364"/>
      <c r="H503" s="364"/>
      <c r="I503" s="364"/>
      <c r="J503" s="364"/>
      <c r="K503" s="364"/>
      <c r="L503" s="364"/>
      <c r="M503" s="364"/>
      <c r="N503" s="364"/>
      <c r="O503" s="364"/>
      <c r="P503" s="364"/>
      <c r="Q503" s="364"/>
      <c r="R503" s="364"/>
      <c r="S503" s="364"/>
      <c r="T503" s="364"/>
      <c r="U503" s="364"/>
      <c r="V503" s="364"/>
      <c r="W503" s="364"/>
      <c r="X503" s="364"/>
      <c r="Y503" s="364"/>
      <c r="Z503" s="364"/>
    </row>
    <row r="504" spans="1:26" ht="15.75" customHeight="1" x14ac:dyDescent="0.25">
      <c r="A504" s="364"/>
      <c r="B504" s="364"/>
      <c r="C504" s="364"/>
      <c r="D504" s="364"/>
      <c r="E504" s="364"/>
      <c r="F504" s="364"/>
      <c r="G504" s="364"/>
      <c r="H504" s="364"/>
      <c r="I504" s="364"/>
      <c r="J504" s="364"/>
      <c r="K504" s="364"/>
      <c r="L504" s="364"/>
      <c r="M504" s="364"/>
      <c r="N504" s="364"/>
      <c r="O504" s="364"/>
      <c r="P504" s="364"/>
      <c r="Q504" s="364"/>
      <c r="R504" s="364"/>
      <c r="S504" s="364"/>
      <c r="T504" s="364"/>
      <c r="U504" s="364"/>
      <c r="V504" s="364"/>
      <c r="W504" s="364"/>
      <c r="X504" s="364"/>
      <c r="Y504" s="364"/>
      <c r="Z504" s="364"/>
    </row>
    <row r="505" spans="1:26" ht="15.75" customHeight="1" x14ac:dyDescent="0.25">
      <c r="A505" s="364"/>
      <c r="B505" s="364"/>
      <c r="C505" s="364"/>
      <c r="D505" s="364"/>
      <c r="E505" s="364"/>
      <c r="F505" s="364"/>
      <c r="G505" s="364"/>
      <c r="H505" s="364"/>
      <c r="I505" s="364"/>
      <c r="J505" s="364"/>
      <c r="K505" s="364"/>
      <c r="L505" s="364"/>
      <c r="M505" s="364"/>
      <c r="N505" s="364"/>
      <c r="O505" s="364"/>
      <c r="P505" s="364"/>
      <c r="Q505" s="364"/>
      <c r="R505" s="364"/>
      <c r="S505" s="364"/>
      <c r="T505" s="364"/>
      <c r="U505" s="364"/>
      <c r="V505" s="364"/>
      <c r="W505" s="364"/>
      <c r="X505" s="364"/>
      <c r="Y505" s="364"/>
      <c r="Z505" s="364"/>
    </row>
    <row r="506" spans="1:26" ht="15.75" customHeight="1" x14ac:dyDescent="0.25">
      <c r="A506" s="364"/>
      <c r="B506" s="364"/>
      <c r="C506" s="364"/>
      <c r="D506" s="364"/>
      <c r="E506" s="364"/>
      <c r="F506" s="364"/>
      <c r="G506" s="364"/>
      <c r="H506" s="364"/>
      <c r="I506" s="364"/>
      <c r="J506" s="364"/>
      <c r="K506" s="364"/>
      <c r="L506" s="364"/>
      <c r="M506" s="364"/>
      <c r="N506" s="364"/>
      <c r="O506" s="364"/>
      <c r="P506" s="364"/>
      <c r="Q506" s="364"/>
      <c r="R506" s="364"/>
      <c r="S506" s="364"/>
      <c r="T506" s="364"/>
      <c r="U506" s="364"/>
      <c r="V506" s="364"/>
      <c r="W506" s="364"/>
      <c r="X506" s="364"/>
      <c r="Y506" s="364"/>
      <c r="Z506" s="364"/>
    </row>
    <row r="507" spans="1:26" ht="15.75" customHeight="1" x14ac:dyDescent="0.25">
      <c r="A507" s="364"/>
      <c r="B507" s="364"/>
      <c r="C507" s="364"/>
      <c r="D507" s="364"/>
      <c r="E507" s="364"/>
      <c r="F507" s="364"/>
      <c r="G507" s="364"/>
      <c r="H507" s="364"/>
      <c r="I507" s="364"/>
      <c r="J507" s="364"/>
      <c r="K507" s="364"/>
      <c r="L507" s="364"/>
      <c r="M507" s="364"/>
      <c r="N507" s="364"/>
      <c r="O507" s="364"/>
      <c r="P507" s="364"/>
      <c r="Q507" s="364"/>
      <c r="R507" s="364"/>
      <c r="S507" s="364"/>
      <c r="T507" s="364"/>
      <c r="U507" s="364"/>
      <c r="V507" s="364"/>
      <c r="W507" s="364"/>
      <c r="X507" s="364"/>
      <c r="Y507" s="364"/>
      <c r="Z507" s="364"/>
    </row>
    <row r="508" spans="1:26" ht="15.75" customHeight="1" x14ac:dyDescent="0.25">
      <c r="A508" s="364"/>
      <c r="B508" s="364"/>
      <c r="C508" s="364"/>
      <c r="D508" s="364"/>
      <c r="E508" s="364"/>
      <c r="F508" s="364"/>
      <c r="G508" s="364"/>
      <c r="H508" s="364"/>
      <c r="I508" s="364"/>
      <c r="J508" s="364"/>
      <c r="K508" s="364"/>
      <c r="L508" s="364"/>
      <c r="M508" s="364"/>
      <c r="N508" s="364"/>
      <c r="O508" s="364"/>
      <c r="P508" s="364"/>
      <c r="Q508" s="364"/>
      <c r="R508" s="364"/>
      <c r="S508" s="364"/>
      <c r="T508" s="364"/>
      <c r="U508" s="364"/>
      <c r="V508" s="364"/>
      <c r="W508" s="364"/>
      <c r="X508" s="364"/>
      <c r="Y508" s="364"/>
      <c r="Z508" s="364"/>
    </row>
    <row r="509" spans="1:26" ht="15.75" customHeight="1" x14ac:dyDescent="0.25">
      <c r="A509" s="364"/>
      <c r="B509" s="364"/>
      <c r="C509" s="364"/>
      <c r="D509" s="364"/>
      <c r="E509" s="364"/>
      <c r="F509" s="364"/>
      <c r="G509" s="364"/>
      <c r="H509" s="364"/>
      <c r="I509" s="364"/>
      <c r="J509" s="364"/>
      <c r="K509" s="364"/>
      <c r="L509" s="364"/>
      <c r="M509" s="364"/>
      <c r="N509" s="364"/>
      <c r="O509" s="364"/>
      <c r="P509" s="364"/>
      <c r="Q509" s="364"/>
      <c r="R509" s="364"/>
      <c r="S509" s="364"/>
      <c r="T509" s="364"/>
      <c r="U509" s="364"/>
      <c r="V509" s="364"/>
      <c r="W509" s="364"/>
      <c r="X509" s="364"/>
      <c r="Y509" s="364"/>
      <c r="Z509" s="364"/>
    </row>
    <row r="510" spans="1:26" ht="15.75" customHeight="1" x14ac:dyDescent="0.25">
      <c r="A510" s="364"/>
      <c r="B510" s="364"/>
      <c r="C510" s="364"/>
      <c r="D510" s="364"/>
      <c r="E510" s="364"/>
      <c r="F510" s="364"/>
      <c r="G510" s="364"/>
      <c r="H510" s="364"/>
      <c r="I510" s="364"/>
      <c r="J510" s="364"/>
      <c r="K510" s="364"/>
      <c r="L510" s="364"/>
      <c r="M510" s="364"/>
      <c r="N510" s="364"/>
      <c r="O510" s="364"/>
      <c r="P510" s="364"/>
      <c r="Q510" s="364"/>
      <c r="R510" s="364"/>
      <c r="S510" s="364"/>
      <c r="T510" s="364"/>
      <c r="U510" s="364"/>
      <c r="V510" s="364"/>
      <c r="W510" s="364"/>
      <c r="X510" s="364"/>
      <c r="Y510" s="364"/>
      <c r="Z510" s="364"/>
    </row>
    <row r="511" spans="1:26" ht="15.75" customHeight="1" x14ac:dyDescent="0.25">
      <c r="A511" s="364"/>
      <c r="B511" s="364"/>
      <c r="C511" s="364"/>
      <c r="D511" s="364"/>
      <c r="E511" s="364"/>
      <c r="F511" s="364"/>
      <c r="G511" s="364"/>
      <c r="H511" s="364"/>
      <c r="I511" s="364"/>
      <c r="J511" s="364"/>
      <c r="K511" s="364"/>
      <c r="L511" s="364"/>
      <c r="M511" s="364"/>
      <c r="N511" s="364"/>
      <c r="O511" s="364"/>
      <c r="P511" s="364"/>
      <c r="Q511" s="364"/>
      <c r="R511" s="364"/>
      <c r="S511" s="364"/>
      <c r="T511" s="364"/>
      <c r="U511" s="364"/>
      <c r="V511" s="364"/>
      <c r="W511" s="364"/>
      <c r="X511" s="364"/>
      <c r="Y511" s="364"/>
      <c r="Z511" s="364"/>
    </row>
    <row r="512" spans="1:26" ht="15.75" customHeight="1" x14ac:dyDescent="0.25">
      <c r="A512" s="364"/>
      <c r="B512" s="364"/>
      <c r="C512" s="364"/>
      <c r="D512" s="364"/>
      <c r="E512" s="364"/>
      <c r="F512" s="364"/>
      <c r="G512" s="364"/>
      <c r="H512" s="364"/>
      <c r="I512" s="364"/>
      <c r="J512" s="364"/>
      <c r="K512" s="364"/>
      <c r="L512" s="364"/>
      <c r="M512" s="364"/>
      <c r="N512" s="364"/>
      <c r="O512" s="364"/>
      <c r="P512" s="364"/>
      <c r="Q512" s="364"/>
      <c r="R512" s="364"/>
      <c r="S512" s="364"/>
      <c r="T512" s="364"/>
      <c r="U512" s="364"/>
      <c r="V512" s="364"/>
      <c r="W512" s="364"/>
      <c r="X512" s="364"/>
      <c r="Y512" s="364"/>
      <c r="Z512" s="364"/>
    </row>
    <row r="513" spans="1:26" ht="15.75" customHeight="1" x14ac:dyDescent="0.25">
      <c r="A513" s="364"/>
      <c r="B513" s="364"/>
      <c r="C513" s="364"/>
      <c r="D513" s="364"/>
      <c r="E513" s="364"/>
      <c r="F513" s="364"/>
      <c r="G513" s="364"/>
      <c r="H513" s="364"/>
      <c r="I513" s="364"/>
      <c r="J513" s="364"/>
      <c r="K513" s="364"/>
      <c r="L513" s="364"/>
      <c r="M513" s="364"/>
      <c r="N513" s="364"/>
      <c r="O513" s="364"/>
      <c r="P513" s="364"/>
      <c r="Q513" s="364"/>
      <c r="R513" s="364"/>
      <c r="S513" s="364"/>
      <c r="T513" s="364"/>
      <c r="U513" s="364"/>
      <c r="V513" s="364"/>
      <c r="W513" s="364"/>
      <c r="X513" s="364"/>
      <c r="Y513" s="364"/>
      <c r="Z513" s="364"/>
    </row>
    <row r="514" spans="1:26" ht="15.75" customHeight="1" x14ac:dyDescent="0.25">
      <c r="A514" s="364"/>
      <c r="B514" s="364"/>
      <c r="C514" s="364"/>
      <c r="D514" s="364"/>
      <c r="E514" s="364"/>
      <c r="F514" s="364"/>
      <c r="G514" s="364"/>
      <c r="H514" s="364"/>
      <c r="I514" s="364"/>
      <c r="J514" s="364"/>
      <c r="K514" s="364"/>
      <c r="L514" s="364"/>
      <c r="M514" s="364"/>
      <c r="N514" s="364"/>
      <c r="O514" s="364"/>
      <c r="P514" s="364"/>
      <c r="Q514" s="364"/>
      <c r="R514" s="364"/>
      <c r="S514" s="364"/>
      <c r="T514" s="364"/>
      <c r="U514" s="364"/>
      <c r="V514" s="364"/>
      <c r="W514" s="364"/>
      <c r="X514" s="364"/>
      <c r="Y514" s="364"/>
      <c r="Z514" s="364"/>
    </row>
    <row r="515" spans="1:26" ht="15.75" customHeight="1" x14ac:dyDescent="0.25">
      <c r="A515" s="364"/>
      <c r="B515" s="364"/>
      <c r="C515" s="364"/>
      <c r="D515" s="364"/>
      <c r="E515" s="364"/>
      <c r="F515" s="364"/>
      <c r="G515" s="364"/>
      <c r="H515" s="364"/>
      <c r="I515" s="364"/>
      <c r="J515" s="364"/>
      <c r="K515" s="364"/>
      <c r="L515" s="364"/>
      <c r="M515" s="364"/>
      <c r="N515" s="364"/>
      <c r="O515" s="364"/>
      <c r="P515" s="364"/>
      <c r="Q515" s="364"/>
      <c r="R515" s="364"/>
      <c r="S515" s="364"/>
      <c r="T515" s="364"/>
      <c r="U515" s="364"/>
      <c r="V515" s="364"/>
      <c r="W515" s="364"/>
      <c r="X515" s="364"/>
      <c r="Y515" s="364"/>
      <c r="Z515" s="364"/>
    </row>
    <row r="516" spans="1:26" ht="15.75" customHeight="1" x14ac:dyDescent="0.25">
      <c r="A516" s="364"/>
      <c r="B516" s="364"/>
      <c r="C516" s="364"/>
      <c r="D516" s="364"/>
      <c r="E516" s="364"/>
      <c r="F516" s="364"/>
      <c r="G516" s="364"/>
      <c r="H516" s="364"/>
      <c r="I516" s="364"/>
      <c r="J516" s="364"/>
      <c r="K516" s="364"/>
      <c r="L516" s="364"/>
      <c r="M516" s="364"/>
      <c r="N516" s="364"/>
      <c r="O516" s="364"/>
      <c r="P516" s="364"/>
      <c r="Q516" s="364"/>
      <c r="R516" s="364"/>
      <c r="S516" s="364"/>
      <c r="T516" s="364"/>
      <c r="U516" s="364"/>
      <c r="V516" s="364"/>
      <c r="W516" s="364"/>
      <c r="X516" s="364"/>
      <c r="Y516" s="364"/>
      <c r="Z516" s="364"/>
    </row>
    <row r="517" spans="1:26" ht="15.75" customHeight="1" x14ac:dyDescent="0.25">
      <c r="A517" s="364"/>
      <c r="B517" s="364"/>
      <c r="C517" s="364"/>
      <c r="D517" s="364"/>
      <c r="E517" s="364"/>
      <c r="F517" s="364"/>
      <c r="G517" s="364"/>
      <c r="H517" s="364"/>
      <c r="I517" s="364"/>
      <c r="J517" s="364"/>
      <c r="K517" s="364"/>
      <c r="L517" s="364"/>
      <c r="M517" s="364"/>
      <c r="N517" s="364"/>
      <c r="O517" s="364"/>
      <c r="P517" s="364"/>
      <c r="Q517" s="364"/>
      <c r="R517" s="364"/>
      <c r="S517" s="364"/>
      <c r="T517" s="364"/>
      <c r="U517" s="364"/>
      <c r="V517" s="364"/>
      <c r="W517" s="364"/>
      <c r="X517" s="364"/>
      <c r="Y517" s="364"/>
      <c r="Z517" s="364"/>
    </row>
    <row r="518" spans="1:26" ht="15.75" customHeight="1" x14ac:dyDescent="0.25">
      <c r="A518" s="364"/>
      <c r="B518" s="364"/>
      <c r="C518" s="364"/>
      <c r="D518" s="364"/>
      <c r="E518" s="364"/>
      <c r="F518" s="364"/>
      <c r="G518" s="364"/>
      <c r="H518" s="364"/>
      <c r="I518" s="364"/>
      <c r="J518" s="364"/>
      <c r="K518" s="364"/>
      <c r="L518" s="364"/>
      <c r="M518" s="364"/>
      <c r="N518" s="364"/>
      <c r="O518" s="364"/>
      <c r="P518" s="364"/>
      <c r="Q518" s="364"/>
      <c r="R518" s="364"/>
      <c r="S518" s="364"/>
      <c r="T518" s="364"/>
      <c r="U518" s="364"/>
      <c r="V518" s="364"/>
      <c r="W518" s="364"/>
      <c r="X518" s="364"/>
      <c r="Y518" s="364"/>
      <c r="Z518" s="364"/>
    </row>
    <row r="519" spans="1:26" ht="15.75" customHeight="1" x14ac:dyDescent="0.25">
      <c r="A519" s="364"/>
      <c r="B519" s="364"/>
      <c r="C519" s="364"/>
      <c r="D519" s="364"/>
      <c r="E519" s="364"/>
      <c r="F519" s="364"/>
      <c r="G519" s="364"/>
      <c r="H519" s="364"/>
      <c r="I519" s="364"/>
      <c r="J519" s="364"/>
      <c r="K519" s="364"/>
      <c r="L519" s="364"/>
      <c r="M519" s="364"/>
      <c r="N519" s="364"/>
      <c r="O519" s="364"/>
      <c r="P519" s="364"/>
      <c r="Q519" s="364"/>
      <c r="R519" s="364"/>
      <c r="S519" s="364"/>
      <c r="T519" s="364"/>
      <c r="U519" s="364"/>
      <c r="V519" s="364"/>
      <c r="W519" s="364"/>
      <c r="X519" s="364"/>
      <c r="Y519" s="364"/>
      <c r="Z519" s="364"/>
    </row>
    <row r="520" spans="1:26" ht="15.75" customHeight="1" x14ac:dyDescent="0.25">
      <c r="A520" s="364"/>
      <c r="B520" s="364"/>
      <c r="C520" s="364"/>
      <c r="D520" s="364"/>
      <c r="E520" s="364"/>
      <c r="F520" s="364"/>
      <c r="G520" s="364"/>
      <c r="H520" s="364"/>
      <c r="I520" s="364"/>
      <c r="J520" s="364"/>
      <c r="K520" s="364"/>
      <c r="L520" s="364"/>
      <c r="M520" s="364"/>
      <c r="N520" s="364"/>
      <c r="O520" s="364"/>
      <c r="P520" s="364"/>
      <c r="Q520" s="364"/>
      <c r="R520" s="364"/>
      <c r="S520" s="364"/>
      <c r="T520" s="364"/>
      <c r="U520" s="364"/>
      <c r="V520" s="364"/>
      <c r="W520" s="364"/>
      <c r="X520" s="364"/>
      <c r="Y520" s="364"/>
      <c r="Z520" s="364"/>
    </row>
    <row r="521" spans="1:26" ht="15.75" customHeight="1" x14ac:dyDescent="0.25">
      <c r="A521" s="364"/>
      <c r="B521" s="364"/>
      <c r="C521" s="364"/>
      <c r="D521" s="364"/>
      <c r="E521" s="364"/>
      <c r="F521" s="364"/>
      <c r="G521" s="364"/>
      <c r="H521" s="364"/>
      <c r="I521" s="364"/>
      <c r="J521" s="364"/>
      <c r="K521" s="364"/>
      <c r="L521" s="364"/>
      <c r="M521" s="364"/>
      <c r="N521" s="364"/>
      <c r="O521" s="364"/>
      <c r="P521" s="364"/>
      <c r="Q521" s="364"/>
      <c r="R521" s="364"/>
      <c r="S521" s="364"/>
      <c r="T521" s="364"/>
      <c r="U521" s="364"/>
      <c r="V521" s="364"/>
      <c r="W521" s="364"/>
      <c r="X521" s="364"/>
      <c r="Y521" s="364"/>
      <c r="Z521" s="364"/>
    </row>
    <row r="522" spans="1:26" ht="15.75" customHeight="1" x14ac:dyDescent="0.25">
      <c r="A522" s="364"/>
      <c r="B522" s="364"/>
      <c r="C522" s="364"/>
      <c r="D522" s="364"/>
      <c r="E522" s="364"/>
      <c r="F522" s="364"/>
      <c r="G522" s="364"/>
      <c r="H522" s="364"/>
      <c r="I522" s="364"/>
      <c r="J522" s="364"/>
      <c r="K522" s="364"/>
      <c r="L522" s="364"/>
      <c r="M522" s="364"/>
      <c r="N522" s="364"/>
      <c r="O522" s="364"/>
      <c r="P522" s="364"/>
      <c r="Q522" s="364"/>
      <c r="R522" s="364"/>
      <c r="S522" s="364"/>
      <c r="T522" s="364"/>
      <c r="U522" s="364"/>
      <c r="V522" s="364"/>
      <c r="W522" s="364"/>
      <c r="X522" s="364"/>
      <c r="Y522" s="364"/>
      <c r="Z522" s="364"/>
    </row>
    <row r="523" spans="1:26" ht="15.75" customHeight="1" x14ac:dyDescent="0.25">
      <c r="A523" s="364"/>
      <c r="B523" s="364"/>
      <c r="C523" s="364"/>
      <c r="D523" s="364"/>
      <c r="E523" s="364"/>
      <c r="F523" s="364"/>
      <c r="G523" s="364"/>
      <c r="H523" s="364"/>
      <c r="I523" s="364"/>
      <c r="J523" s="364"/>
      <c r="K523" s="364"/>
      <c r="L523" s="364"/>
      <c r="M523" s="364"/>
      <c r="N523" s="364"/>
      <c r="O523" s="364"/>
      <c r="P523" s="364"/>
      <c r="Q523" s="364"/>
      <c r="R523" s="364"/>
      <c r="S523" s="364"/>
      <c r="T523" s="364"/>
      <c r="U523" s="364"/>
      <c r="V523" s="364"/>
      <c r="W523" s="364"/>
      <c r="X523" s="364"/>
      <c r="Y523" s="364"/>
      <c r="Z523" s="364"/>
    </row>
    <row r="524" spans="1:26" ht="15.75" customHeight="1" x14ac:dyDescent="0.25">
      <c r="A524" s="364"/>
      <c r="B524" s="364"/>
      <c r="C524" s="364"/>
      <c r="D524" s="364"/>
      <c r="E524" s="364"/>
      <c r="F524" s="364"/>
      <c r="G524" s="364"/>
      <c r="H524" s="364"/>
      <c r="I524" s="364"/>
      <c r="J524" s="364"/>
      <c r="K524" s="364"/>
      <c r="L524" s="364"/>
      <c r="M524" s="364"/>
      <c r="N524" s="364"/>
      <c r="O524" s="364"/>
      <c r="P524" s="364"/>
      <c r="Q524" s="364"/>
      <c r="R524" s="364"/>
      <c r="S524" s="364"/>
      <c r="T524" s="364"/>
      <c r="U524" s="364"/>
      <c r="V524" s="364"/>
      <c r="W524" s="364"/>
      <c r="X524" s="364"/>
      <c r="Y524" s="364"/>
      <c r="Z524" s="364"/>
    </row>
    <row r="525" spans="1:26" ht="15.75" customHeight="1" x14ac:dyDescent="0.25">
      <c r="A525" s="364"/>
      <c r="B525" s="364"/>
      <c r="C525" s="364"/>
      <c r="D525" s="364"/>
      <c r="E525" s="364"/>
      <c r="F525" s="364"/>
      <c r="G525" s="364"/>
      <c r="H525" s="364"/>
      <c r="I525" s="364"/>
      <c r="J525" s="364"/>
      <c r="K525" s="364"/>
      <c r="L525" s="364"/>
      <c r="M525" s="364"/>
      <c r="N525" s="364"/>
      <c r="O525" s="364"/>
      <c r="P525" s="364"/>
      <c r="Q525" s="364"/>
      <c r="R525" s="364"/>
      <c r="S525" s="364"/>
      <c r="T525" s="364"/>
      <c r="U525" s="364"/>
      <c r="V525" s="364"/>
      <c r="W525" s="364"/>
      <c r="X525" s="364"/>
      <c r="Y525" s="364"/>
      <c r="Z525" s="364"/>
    </row>
    <row r="526" spans="1:26" ht="15.75" customHeight="1" x14ac:dyDescent="0.25">
      <c r="A526" s="364"/>
      <c r="B526" s="364"/>
      <c r="C526" s="364"/>
      <c r="D526" s="364"/>
      <c r="E526" s="364"/>
      <c r="F526" s="364"/>
      <c r="G526" s="364"/>
      <c r="H526" s="364"/>
      <c r="I526" s="364"/>
      <c r="J526" s="364"/>
      <c r="K526" s="364"/>
      <c r="L526" s="364"/>
      <c r="M526" s="364"/>
      <c r="N526" s="364"/>
      <c r="O526" s="364"/>
      <c r="P526" s="364"/>
      <c r="Q526" s="364"/>
      <c r="R526" s="364"/>
      <c r="S526" s="364"/>
      <c r="T526" s="364"/>
      <c r="U526" s="364"/>
      <c r="V526" s="364"/>
      <c r="W526" s="364"/>
      <c r="X526" s="364"/>
      <c r="Y526" s="364"/>
      <c r="Z526" s="364"/>
    </row>
    <row r="527" spans="1:26" ht="15.75" customHeight="1" x14ac:dyDescent="0.25">
      <c r="A527" s="364"/>
      <c r="B527" s="364"/>
      <c r="C527" s="364"/>
      <c r="D527" s="364"/>
      <c r="E527" s="364"/>
      <c r="F527" s="364"/>
      <c r="G527" s="364"/>
      <c r="H527" s="364"/>
      <c r="I527" s="364"/>
      <c r="J527" s="364"/>
      <c r="K527" s="364"/>
      <c r="L527" s="364"/>
      <c r="M527" s="364"/>
      <c r="N527" s="364"/>
      <c r="O527" s="364"/>
      <c r="P527" s="364"/>
      <c r="Q527" s="364"/>
      <c r="R527" s="364"/>
      <c r="S527" s="364"/>
      <c r="T527" s="364"/>
      <c r="U527" s="364"/>
      <c r="V527" s="364"/>
      <c r="W527" s="364"/>
      <c r="X527" s="364"/>
      <c r="Y527" s="364"/>
      <c r="Z527" s="364"/>
    </row>
    <row r="528" spans="1:26" ht="15.75" customHeight="1" x14ac:dyDescent="0.25">
      <c r="A528" s="364"/>
      <c r="B528" s="364"/>
      <c r="C528" s="364"/>
      <c r="D528" s="364"/>
      <c r="E528" s="364"/>
      <c r="F528" s="364"/>
      <c r="G528" s="364"/>
      <c r="H528" s="364"/>
      <c r="I528" s="364"/>
      <c r="J528" s="364"/>
      <c r="K528" s="364"/>
      <c r="L528" s="364"/>
      <c r="M528" s="364"/>
      <c r="N528" s="364"/>
      <c r="O528" s="364"/>
      <c r="P528" s="364"/>
      <c r="Q528" s="364"/>
      <c r="R528" s="364"/>
      <c r="S528" s="364"/>
      <c r="T528" s="364"/>
      <c r="U528" s="364"/>
      <c r="V528" s="364"/>
      <c r="W528" s="364"/>
      <c r="X528" s="364"/>
      <c r="Y528" s="364"/>
      <c r="Z528" s="364"/>
    </row>
    <row r="529" spans="1:26" ht="15.75" customHeight="1" x14ac:dyDescent="0.25">
      <c r="A529" s="364"/>
      <c r="B529" s="364"/>
      <c r="C529" s="364"/>
      <c r="D529" s="364"/>
      <c r="E529" s="364"/>
      <c r="F529" s="364"/>
      <c r="G529" s="364"/>
      <c r="H529" s="364"/>
      <c r="I529" s="364"/>
      <c r="J529" s="364"/>
      <c r="K529" s="364"/>
      <c r="L529" s="364"/>
      <c r="M529" s="364"/>
      <c r="N529" s="364"/>
      <c r="O529" s="364"/>
      <c r="P529" s="364"/>
      <c r="Q529" s="364"/>
      <c r="R529" s="364"/>
      <c r="S529" s="364"/>
      <c r="T529" s="364"/>
      <c r="U529" s="364"/>
      <c r="V529" s="364"/>
      <c r="W529" s="364"/>
      <c r="X529" s="364"/>
      <c r="Y529" s="364"/>
      <c r="Z529" s="364"/>
    </row>
    <row r="530" spans="1:26" ht="15.75" customHeight="1" x14ac:dyDescent="0.25">
      <c r="A530" s="364"/>
      <c r="B530" s="364"/>
      <c r="C530" s="364"/>
      <c r="D530" s="364"/>
      <c r="E530" s="364"/>
      <c r="F530" s="364"/>
      <c r="G530" s="364"/>
      <c r="H530" s="364"/>
      <c r="I530" s="364"/>
      <c r="J530" s="364"/>
      <c r="K530" s="364"/>
      <c r="L530" s="364"/>
      <c r="M530" s="364"/>
      <c r="N530" s="364"/>
      <c r="O530" s="364"/>
      <c r="P530" s="364"/>
      <c r="Q530" s="364"/>
      <c r="R530" s="364"/>
      <c r="S530" s="364"/>
      <c r="T530" s="364"/>
      <c r="U530" s="364"/>
      <c r="V530" s="364"/>
      <c r="W530" s="364"/>
      <c r="X530" s="364"/>
      <c r="Y530" s="364"/>
      <c r="Z530" s="364"/>
    </row>
    <row r="531" spans="1:26" ht="15.75" customHeight="1" x14ac:dyDescent="0.25">
      <c r="A531" s="364"/>
      <c r="B531" s="364"/>
      <c r="C531" s="364"/>
      <c r="D531" s="364"/>
      <c r="E531" s="364"/>
      <c r="F531" s="364"/>
      <c r="G531" s="364"/>
      <c r="H531" s="364"/>
      <c r="I531" s="364"/>
      <c r="J531" s="364"/>
      <c r="K531" s="364"/>
      <c r="L531" s="364"/>
      <c r="M531" s="364"/>
      <c r="N531" s="364"/>
      <c r="O531" s="364"/>
      <c r="P531" s="364"/>
      <c r="Q531" s="364"/>
      <c r="R531" s="364"/>
      <c r="S531" s="364"/>
      <c r="T531" s="364"/>
      <c r="U531" s="364"/>
      <c r="V531" s="364"/>
      <c r="W531" s="364"/>
      <c r="X531" s="364"/>
      <c r="Y531" s="364"/>
      <c r="Z531" s="364"/>
    </row>
    <row r="532" spans="1:26" ht="15.75" customHeight="1" x14ac:dyDescent="0.25">
      <c r="A532" s="364"/>
      <c r="B532" s="364"/>
      <c r="C532" s="364"/>
      <c r="D532" s="364"/>
      <c r="E532" s="364"/>
      <c r="F532" s="364"/>
      <c r="G532" s="364"/>
      <c r="H532" s="364"/>
      <c r="I532" s="364"/>
      <c r="J532" s="364"/>
      <c r="K532" s="364"/>
      <c r="L532" s="364"/>
      <c r="M532" s="364"/>
      <c r="N532" s="364"/>
      <c r="O532" s="364"/>
      <c r="P532" s="364"/>
      <c r="Q532" s="364"/>
      <c r="R532" s="364"/>
      <c r="S532" s="364"/>
      <c r="T532" s="364"/>
      <c r="U532" s="364"/>
      <c r="V532" s="364"/>
      <c r="W532" s="364"/>
      <c r="X532" s="364"/>
      <c r="Y532" s="364"/>
      <c r="Z532" s="364"/>
    </row>
    <row r="533" spans="1:26" ht="15.75" customHeight="1" x14ac:dyDescent="0.25">
      <c r="A533" s="364"/>
      <c r="B533" s="364"/>
      <c r="C533" s="364"/>
      <c r="D533" s="364"/>
      <c r="E533" s="364"/>
      <c r="F533" s="364"/>
      <c r="G533" s="364"/>
      <c r="H533" s="364"/>
      <c r="I533" s="364"/>
      <c r="J533" s="364"/>
      <c r="K533" s="364"/>
      <c r="L533" s="364"/>
      <c r="M533" s="364"/>
      <c r="N533" s="364"/>
      <c r="O533" s="364"/>
      <c r="P533" s="364"/>
      <c r="Q533" s="364"/>
      <c r="R533" s="364"/>
      <c r="S533" s="364"/>
      <c r="T533" s="364"/>
      <c r="U533" s="364"/>
      <c r="V533" s="364"/>
      <c r="W533" s="364"/>
      <c r="X533" s="364"/>
      <c r="Y533" s="364"/>
      <c r="Z533" s="364"/>
    </row>
    <row r="534" spans="1:26" ht="15.75" customHeight="1" x14ac:dyDescent="0.25">
      <c r="A534" s="364"/>
      <c r="B534" s="364"/>
      <c r="C534" s="364"/>
      <c r="D534" s="364"/>
      <c r="E534" s="364"/>
      <c r="F534" s="364"/>
      <c r="G534" s="364"/>
      <c r="H534" s="364"/>
      <c r="I534" s="364"/>
      <c r="J534" s="364"/>
      <c r="K534" s="364"/>
      <c r="L534" s="364"/>
      <c r="M534" s="364"/>
      <c r="N534" s="364"/>
      <c r="O534" s="364"/>
      <c r="P534" s="364"/>
      <c r="Q534" s="364"/>
      <c r="R534" s="364"/>
      <c r="S534" s="364"/>
      <c r="T534" s="364"/>
      <c r="U534" s="364"/>
      <c r="V534" s="364"/>
      <c r="W534" s="364"/>
      <c r="X534" s="364"/>
      <c r="Y534" s="364"/>
      <c r="Z534" s="364"/>
    </row>
    <row r="535" spans="1:26" ht="15.75" customHeight="1" x14ac:dyDescent="0.25">
      <c r="A535" s="364"/>
      <c r="B535" s="364"/>
      <c r="C535" s="364"/>
      <c r="D535" s="364"/>
      <c r="E535" s="364"/>
      <c r="F535" s="364"/>
      <c r="G535" s="364"/>
      <c r="H535" s="364"/>
      <c r="I535" s="364"/>
      <c r="J535" s="364"/>
      <c r="K535" s="364"/>
      <c r="L535" s="364"/>
      <c r="M535" s="364"/>
      <c r="N535" s="364"/>
      <c r="O535" s="364"/>
      <c r="P535" s="364"/>
      <c r="Q535" s="364"/>
      <c r="R535" s="364"/>
      <c r="S535" s="364"/>
      <c r="T535" s="364"/>
      <c r="U535" s="364"/>
      <c r="V535" s="364"/>
      <c r="W535" s="364"/>
      <c r="X535" s="364"/>
      <c r="Y535" s="364"/>
      <c r="Z535" s="364"/>
    </row>
    <row r="536" spans="1:26" ht="15.75" customHeight="1" x14ac:dyDescent="0.25">
      <c r="A536" s="364"/>
      <c r="B536" s="364"/>
      <c r="C536" s="364"/>
      <c r="D536" s="364"/>
      <c r="E536" s="364"/>
      <c r="F536" s="364"/>
      <c r="G536" s="364"/>
      <c r="H536" s="364"/>
      <c r="I536" s="364"/>
      <c r="J536" s="364"/>
      <c r="K536" s="364"/>
      <c r="L536" s="364"/>
      <c r="M536" s="364"/>
      <c r="N536" s="364"/>
      <c r="O536" s="364"/>
      <c r="P536" s="364"/>
      <c r="Q536" s="364"/>
      <c r="R536" s="364"/>
      <c r="S536" s="364"/>
      <c r="T536" s="364"/>
      <c r="U536" s="364"/>
      <c r="V536" s="364"/>
      <c r="W536" s="364"/>
      <c r="X536" s="364"/>
      <c r="Y536" s="364"/>
      <c r="Z536" s="364"/>
    </row>
    <row r="537" spans="1:26" ht="15.75" customHeight="1" x14ac:dyDescent="0.25">
      <c r="A537" s="364"/>
      <c r="B537" s="364"/>
      <c r="C537" s="364"/>
      <c r="D537" s="364"/>
      <c r="E537" s="364"/>
      <c r="F537" s="364"/>
      <c r="G537" s="364"/>
      <c r="H537" s="364"/>
      <c r="I537" s="364"/>
      <c r="J537" s="364"/>
      <c r="K537" s="364"/>
      <c r="L537" s="364"/>
      <c r="M537" s="364"/>
      <c r="N537" s="364"/>
      <c r="O537" s="364"/>
      <c r="P537" s="364"/>
      <c r="Q537" s="364"/>
      <c r="R537" s="364"/>
      <c r="S537" s="364"/>
      <c r="T537" s="364"/>
      <c r="U537" s="364"/>
      <c r="V537" s="364"/>
      <c r="W537" s="364"/>
      <c r="X537" s="364"/>
      <c r="Y537" s="364"/>
      <c r="Z537" s="364"/>
    </row>
    <row r="538" spans="1:26" ht="15.75" customHeight="1" x14ac:dyDescent="0.25">
      <c r="A538" s="364"/>
      <c r="B538" s="364"/>
      <c r="C538" s="364"/>
      <c r="D538" s="364"/>
      <c r="E538" s="364"/>
      <c r="F538" s="364"/>
      <c r="G538" s="364"/>
      <c r="H538" s="364"/>
      <c r="I538" s="364"/>
      <c r="J538" s="364"/>
      <c r="K538" s="364"/>
      <c r="L538" s="364"/>
      <c r="M538" s="364"/>
      <c r="N538" s="364"/>
      <c r="O538" s="364"/>
      <c r="P538" s="364"/>
      <c r="Q538" s="364"/>
      <c r="R538" s="364"/>
      <c r="S538" s="364"/>
      <c r="T538" s="364"/>
      <c r="U538" s="364"/>
      <c r="V538" s="364"/>
      <c r="W538" s="364"/>
      <c r="X538" s="364"/>
      <c r="Y538" s="364"/>
      <c r="Z538" s="364"/>
    </row>
    <row r="539" spans="1:26" ht="15.75" customHeight="1" x14ac:dyDescent="0.25">
      <c r="A539" s="364"/>
      <c r="B539" s="364"/>
      <c r="C539" s="364"/>
      <c r="D539" s="364"/>
      <c r="E539" s="364"/>
      <c r="F539" s="364"/>
      <c r="G539" s="364"/>
      <c r="H539" s="364"/>
      <c r="I539" s="364"/>
      <c r="J539" s="364"/>
      <c r="K539" s="364"/>
      <c r="L539" s="364"/>
      <c r="M539" s="364"/>
      <c r="N539" s="364"/>
      <c r="O539" s="364"/>
      <c r="P539" s="364"/>
      <c r="Q539" s="364"/>
      <c r="R539" s="364"/>
      <c r="S539" s="364"/>
      <c r="T539" s="364"/>
      <c r="U539" s="364"/>
      <c r="V539" s="364"/>
      <c r="W539" s="364"/>
      <c r="X539" s="364"/>
      <c r="Y539" s="364"/>
      <c r="Z539" s="364"/>
    </row>
    <row r="540" spans="1:26" ht="15.75" customHeight="1" x14ac:dyDescent="0.25">
      <c r="A540" s="364"/>
      <c r="B540" s="364"/>
      <c r="C540" s="364"/>
      <c r="D540" s="364"/>
      <c r="E540" s="364"/>
      <c r="F540" s="364"/>
      <c r="G540" s="364"/>
      <c r="H540" s="364"/>
      <c r="I540" s="364"/>
      <c r="J540" s="364"/>
      <c r="K540" s="364"/>
      <c r="L540" s="364"/>
      <c r="M540" s="364"/>
      <c r="N540" s="364"/>
      <c r="O540" s="364"/>
      <c r="P540" s="364"/>
      <c r="Q540" s="364"/>
      <c r="R540" s="364"/>
      <c r="S540" s="364"/>
      <c r="T540" s="364"/>
      <c r="U540" s="364"/>
      <c r="V540" s="364"/>
      <c r="W540" s="364"/>
      <c r="X540" s="364"/>
      <c r="Y540" s="364"/>
      <c r="Z540" s="364"/>
    </row>
    <row r="541" spans="1:26" ht="15.75" customHeight="1" x14ac:dyDescent="0.25">
      <c r="A541" s="364"/>
      <c r="B541" s="364"/>
      <c r="C541" s="364"/>
      <c r="D541" s="364"/>
      <c r="E541" s="364"/>
      <c r="F541" s="364"/>
      <c r="G541" s="364"/>
      <c r="H541" s="364"/>
      <c r="I541" s="364"/>
      <c r="J541" s="364"/>
      <c r="K541" s="364"/>
      <c r="L541" s="364"/>
      <c r="M541" s="364"/>
      <c r="N541" s="364"/>
      <c r="O541" s="364"/>
      <c r="P541" s="364"/>
      <c r="Q541" s="364"/>
      <c r="R541" s="364"/>
      <c r="S541" s="364"/>
      <c r="T541" s="364"/>
      <c r="U541" s="364"/>
      <c r="V541" s="364"/>
      <c r="W541" s="364"/>
      <c r="X541" s="364"/>
      <c r="Y541" s="364"/>
      <c r="Z541" s="364"/>
    </row>
    <row r="542" spans="1:26" ht="15.75" customHeight="1" x14ac:dyDescent="0.25">
      <c r="A542" s="364"/>
      <c r="B542" s="364"/>
      <c r="C542" s="364"/>
      <c r="D542" s="364"/>
      <c r="E542" s="364"/>
      <c r="F542" s="364"/>
      <c r="G542" s="364"/>
      <c r="H542" s="364"/>
      <c r="I542" s="364"/>
      <c r="J542" s="364"/>
      <c r="K542" s="364"/>
      <c r="L542" s="364"/>
      <c r="M542" s="364"/>
      <c r="N542" s="364"/>
      <c r="O542" s="364"/>
      <c r="P542" s="364"/>
      <c r="Q542" s="364"/>
      <c r="R542" s="364"/>
      <c r="S542" s="364"/>
      <c r="T542" s="364"/>
      <c r="U542" s="364"/>
      <c r="V542" s="364"/>
      <c r="W542" s="364"/>
      <c r="X542" s="364"/>
      <c r="Y542" s="364"/>
      <c r="Z542" s="364"/>
    </row>
    <row r="543" spans="1:26" ht="15.75" customHeight="1" x14ac:dyDescent="0.25">
      <c r="A543" s="364"/>
      <c r="B543" s="364"/>
      <c r="C543" s="364"/>
      <c r="D543" s="364"/>
      <c r="E543" s="364"/>
      <c r="F543" s="364"/>
      <c r="G543" s="364"/>
      <c r="H543" s="364"/>
      <c r="I543" s="364"/>
      <c r="J543" s="364"/>
      <c r="K543" s="364"/>
      <c r="L543" s="364"/>
      <c r="M543" s="364"/>
      <c r="N543" s="364"/>
      <c r="O543" s="364"/>
      <c r="P543" s="364"/>
      <c r="Q543" s="364"/>
      <c r="R543" s="364"/>
      <c r="S543" s="364"/>
      <c r="T543" s="364"/>
      <c r="U543" s="364"/>
      <c r="V543" s="364"/>
      <c r="W543" s="364"/>
      <c r="X543" s="364"/>
      <c r="Y543" s="364"/>
      <c r="Z543" s="364"/>
    </row>
    <row r="544" spans="1:26" ht="15.75" customHeight="1" x14ac:dyDescent="0.25">
      <c r="A544" s="364"/>
      <c r="B544" s="364"/>
      <c r="C544" s="364"/>
      <c r="D544" s="364"/>
      <c r="E544" s="364"/>
      <c r="F544" s="364"/>
      <c r="G544" s="364"/>
      <c r="H544" s="364"/>
      <c r="I544" s="364"/>
      <c r="J544" s="364"/>
      <c r="K544" s="364"/>
      <c r="L544" s="364"/>
      <c r="M544" s="364"/>
      <c r="N544" s="364"/>
      <c r="O544" s="364"/>
      <c r="P544" s="364"/>
      <c r="Q544" s="364"/>
      <c r="R544" s="364"/>
      <c r="S544" s="364"/>
      <c r="T544" s="364"/>
      <c r="U544" s="364"/>
      <c r="V544" s="364"/>
      <c r="W544" s="364"/>
      <c r="X544" s="364"/>
      <c r="Y544" s="364"/>
      <c r="Z544" s="364"/>
    </row>
    <row r="545" spans="1:26" ht="15.75" customHeight="1" x14ac:dyDescent="0.25">
      <c r="A545" s="364"/>
      <c r="B545" s="364"/>
      <c r="C545" s="364"/>
      <c r="D545" s="364"/>
      <c r="E545" s="364"/>
      <c r="F545" s="364"/>
      <c r="G545" s="364"/>
      <c r="H545" s="364"/>
      <c r="I545" s="364"/>
      <c r="J545" s="364"/>
      <c r="K545" s="364"/>
      <c r="L545" s="364"/>
      <c r="M545" s="364"/>
      <c r="N545" s="364"/>
      <c r="O545" s="364"/>
      <c r="P545" s="364"/>
      <c r="Q545" s="364"/>
      <c r="R545" s="364"/>
      <c r="S545" s="364"/>
      <c r="T545" s="364"/>
      <c r="U545" s="364"/>
      <c r="V545" s="364"/>
      <c r="W545" s="364"/>
      <c r="X545" s="364"/>
      <c r="Y545" s="364"/>
      <c r="Z545" s="364"/>
    </row>
    <row r="546" spans="1:26" ht="15.75" customHeight="1" x14ac:dyDescent="0.25">
      <c r="A546" s="364"/>
      <c r="B546" s="364"/>
      <c r="C546" s="364"/>
      <c r="D546" s="364"/>
      <c r="E546" s="364"/>
      <c r="F546" s="364"/>
      <c r="G546" s="364"/>
      <c r="H546" s="364"/>
      <c r="I546" s="364"/>
      <c r="J546" s="364"/>
      <c r="K546" s="364"/>
      <c r="L546" s="364"/>
      <c r="M546" s="364"/>
      <c r="N546" s="364"/>
      <c r="O546" s="364"/>
      <c r="P546" s="364"/>
      <c r="Q546" s="364"/>
      <c r="R546" s="364"/>
      <c r="S546" s="364"/>
      <c r="T546" s="364"/>
      <c r="U546" s="364"/>
      <c r="V546" s="364"/>
      <c r="W546" s="364"/>
      <c r="X546" s="364"/>
      <c r="Y546" s="364"/>
      <c r="Z546" s="364"/>
    </row>
    <row r="547" spans="1:26" ht="15.75" customHeight="1" x14ac:dyDescent="0.25">
      <c r="A547" s="364"/>
      <c r="B547" s="364"/>
      <c r="C547" s="364"/>
      <c r="D547" s="364"/>
      <c r="E547" s="364"/>
      <c r="F547" s="364"/>
      <c r="G547" s="364"/>
      <c r="H547" s="364"/>
      <c r="I547" s="364"/>
      <c r="J547" s="364"/>
      <c r="K547" s="364"/>
      <c r="L547" s="364"/>
      <c r="M547" s="364"/>
      <c r="N547" s="364"/>
      <c r="O547" s="364"/>
      <c r="P547" s="364"/>
      <c r="Q547" s="364"/>
      <c r="R547" s="364"/>
      <c r="S547" s="364"/>
      <c r="T547" s="364"/>
      <c r="U547" s="364"/>
      <c r="V547" s="364"/>
      <c r="W547" s="364"/>
      <c r="X547" s="364"/>
      <c r="Y547" s="364"/>
      <c r="Z547" s="364"/>
    </row>
    <row r="548" spans="1:26" ht="15.75" customHeight="1" x14ac:dyDescent="0.25">
      <c r="A548" s="364"/>
      <c r="B548" s="364"/>
      <c r="C548" s="364"/>
      <c r="D548" s="364"/>
      <c r="E548" s="364"/>
      <c r="F548" s="364"/>
      <c r="G548" s="364"/>
      <c r="H548" s="364"/>
      <c r="I548" s="364"/>
      <c r="J548" s="364"/>
      <c r="K548" s="364"/>
      <c r="L548" s="364"/>
      <c r="M548" s="364"/>
      <c r="N548" s="364"/>
      <c r="O548" s="364"/>
      <c r="P548" s="364"/>
      <c r="Q548" s="364"/>
      <c r="R548" s="364"/>
      <c r="S548" s="364"/>
      <c r="T548" s="364"/>
      <c r="U548" s="364"/>
      <c r="V548" s="364"/>
      <c r="W548" s="364"/>
      <c r="X548" s="364"/>
      <c r="Y548" s="364"/>
      <c r="Z548" s="364"/>
    </row>
    <row r="549" spans="1:26" ht="15.75" customHeight="1" x14ac:dyDescent="0.25">
      <c r="A549" s="364"/>
      <c r="B549" s="364"/>
      <c r="C549" s="364"/>
      <c r="D549" s="364"/>
      <c r="E549" s="364"/>
      <c r="F549" s="364"/>
      <c r="G549" s="364"/>
      <c r="H549" s="364"/>
      <c r="I549" s="364"/>
      <c r="J549" s="364"/>
      <c r="K549" s="364"/>
      <c r="L549" s="364"/>
      <c r="M549" s="364"/>
      <c r="N549" s="364"/>
      <c r="O549" s="364"/>
      <c r="P549" s="364"/>
      <c r="Q549" s="364"/>
      <c r="R549" s="364"/>
      <c r="S549" s="364"/>
      <c r="T549" s="364"/>
      <c r="U549" s="364"/>
      <c r="V549" s="364"/>
      <c r="W549" s="364"/>
      <c r="X549" s="364"/>
      <c r="Y549" s="364"/>
      <c r="Z549" s="364"/>
    </row>
    <row r="550" spans="1:26" ht="15.75" customHeight="1" x14ac:dyDescent="0.25">
      <c r="A550" s="364"/>
      <c r="B550" s="364"/>
      <c r="C550" s="364"/>
      <c r="D550" s="364"/>
      <c r="E550" s="364"/>
      <c r="F550" s="364"/>
      <c r="G550" s="364"/>
      <c r="H550" s="364"/>
      <c r="I550" s="364"/>
      <c r="J550" s="364"/>
      <c r="K550" s="364"/>
      <c r="L550" s="364"/>
      <c r="M550" s="364"/>
      <c r="N550" s="364"/>
      <c r="O550" s="364"/>
      <c r="P550" s="364"/>
      <c r="Q550" s="364"/>
      <c r="R550" s="364"/>
      <c r="S550" s="364"/>
      <c r="T550" s="364"/>
      <c r="U550" s="364"/>
      <c r="V550" s="364"/>
      <c r="W550" s="364"/>
      <c r="X550" s="364"/>
      <c r="Y550" s="364"/>
      <c r="Z550" s="364"/>
    </row>
    <row r="551" spans="1:26" ht="15.75" customHeight="1" x14ac:dyDescent="0.25">
      <c r="A551" s="364"/>
      <c r="B551" s="364"/>
      <c r="C551" s="364"/>
      <c r="D551" s="364"/>
      <c r="E551" s="364"/>
      <c r="F551" s="364"/>
      <c r="G551" s="364"/>
      <c r="H551" s="364"/>
      <c r="I551" s="364"/>
      <c r="J551" s="364"/>
      <c r="K551" s="364"/>
      <c r="L551" s="364"/>
      <c r="M551" s="364"/>
      <c r="N551" s="364"/>
      <c r="O551" s="364"/>
      <c r="P551" s="364"/>
      <c r="Q551" s="364"/>
      <c r="R551" s="364"/>
      <c r="S551" s="364"/>
      <c r="T551" s="364"/>
      <c r="U551" s="364"/>
      <c r="V551" s="364"/>
      <c r="W551" s="364"/>
      <c r="X551" s="364"/>
      <c r="Y551" s="364"/>
      <c r="Z551" s="364"/>
    </row>
    <row r="552" spans="1:26" ht="15.75" customHeight="1" x14ac:dyDescent="0.25">
      <c r="A552" s="364"/>
      <c r="B552" s="364"/>
      <c r="C552" s="364"/>
      <c r="D552" s="364"/>
      <c r="E552" s="364"/>
      <c r="F552" s="364"/>
      <c r="G552" s="364"/>
      <c r="H552" s="364"/>
      <c r="I552" s="364"/>
      <c r="J552" s="364"/>
      <c r="K552" s="364"/>
      <c r="L552" s="364"/>
      <c r="M552" s="364"/>
      <c r="N552" s="364"/>
      <c r="O552" s="364"/>
      <c r="P552" s="364"/>
      <c r="Q552" s="364"/>
      <c r="R552" s="364"/>
      <c r="S552" s="364"/>
      <c r="T552" s="364"/>
      <c r="U552" s="364"/>
      <c r="V552" s="364"/>
      <c r="W552" s="364"/>
      <c r="X552" s="364"/>
      <c r="Y552" s="364"/>
      <c r="Z552" s="364"/>
    </row>
    <row r="553" spans="1:26" ht="15.75" customHeight="1" x14ac:dyDescent="0.25">
      <c r="A553" s="364"/>
      <c r="B553" s="364"/>
      <c r="C553" s="364"/>
      <c r="D553" s="364"/>
      <c r="E553" s="364"/>
      <c r="F553" s="364"/>
      <c r="G553" s="364"/>
      <c r="H553" s="364"/>
      <c r="I553" s="364"/>
      <c r="J553" s="364"/>
      <c r="K553" s="364"/>
      <c r="L553" s="364"/>
      <c r="M553" s="364"/>
      <c r="N553" s="364"/>
      <c r="O553" s="364"/>
      <c r="P553" s="364"/>
      <c r="Q553" s="364"/>
      <c r="R553" s="364"/>
      <c r="S553" s="364"/>
      <c r="T553" s="364"/>
      <c r="U553" s="364"/>
      <c r="V553" s="364"/>
      <c r="W553" s="364"/>
      <c r="X553" s="364"/>
      <c r="Y553" s="364"/>
      <c r="Z553" s="364"/>
    </row>
    <row r="554" spans="1:26" ht="15.75" customHeight="1" x14ac:dyDescent="0.25">
      <c r="A554" s="364"/>
      <c r="B554" s="364"/>
      <c r="C554" s="364"/>
      <c r="D554" s="364"/>
      <c r="E554" s="364"/>
      <c r="F554" s="364"/>
      <c r="G554" s="364"/>
      <c r="H554" s="364"/>
      <c r="I554" s="364"/>
      <c r="J554" s="364"/>
      <c r="K554" s="364"/>
      <c r="L554" s="364"/>
      <c r="M554" s="364"/>
      <c r="N554" s="364"/>
      <c r="O554" s="364"/>
      <c r="P554" s="364"/>
      <c r="Q554" s="364"/>
      <c r="R554" s="364"/>
      <c r="S554" s="364"/>
      <c r="T554" s="364"/>
      <c r="U554" s="364"/>
      <c r="V554" s="364"/>
      <c r="W554" s="364"/>
      <c r="X554" s="364"/>
      <c r="Y554" s="364"/>
      <c r="Z554" s="364"/>
    </row>
    <row r="555" spans="1:26" ht="15.75" customHeight="1" x14ac:dyDescent="0.25">
      <c r="A555" s="364"/>
      <c r="B555" s="364"/>
      <c r="C555" s="364"/>
      <c r="D555" s="364"/>
      <c r="E555" s="364"/>
      <c r="F555" s="364"/>
      <c r="G555" s="364"/>
      <c r="H555" s="364"/>
      <c r="I555" s="364"/>
      <c r="J555" s="364"/>
      <c r="K555" s="364"/>
      <c r="L555" s="364"/>
      <c r="M555" s="364"/>
      <c r="N555" s="364"/>
      <c r="O555" s="364"/>
      <c r="P555" s="364"/>
      <c r="Q555" s="364"/>
      <c r="R555" s="364"/>
      <c r="S555" s="364"/>
      <c r="T555" s="364"/>
      <c r="U555" s="364"/>
      <c r="V555" s="364"/>
      <c r="W555" s="364"/>
      <c r="X555" s="364"/>
      <c r="Y555" s="364"/>
      <c r="Z555" s="364"/>
    </row>
    <row r="556" spans="1:26" ht="15.75" customHeight="1" x14ac:dyDescent="0.25">
      <c r="A556" s="364"/>
      <c r="B556" s="364"/>
      <c r="C556" s="364"/>
      <c r="D556" s="364"/>
      <c r="E556" s="364"/>
      <c r="F556" s="364"/>
      <c r="G556" s="364"/>
      <c r="H556" s="364"/>
      <c r="I556" s="364"/>
      <c r="J556" s="364"/>
      <c r="K556" s="364"/>
      <c r="L556" s="364"/>
      <c r="M556" s="364"/>
      <c r="N556" s="364"/>
      <c r="O556" s="364"/>
      <c r="P556" s="364"/>
      <c r="Q556" s="364"/>
      <c r="R556" s="364"/>
      <c r="S556" s="364"/>
      <c r="T556" s="364"/>
      <c r="U556" s="364"/>
      <c r="V556" s="364"/>
      <c r="W556" s="364"/>
      <c r="X556" s="364"/>
      <c r="Y556" s="364"/>
      <c r="Z556" s="364"/>
    </row>
    <row r="557" spans="1:26" ht="15.75" customHeight="1" x14ac:dyDescent="0.25">
      <c r="A557" s="364"/>
      <c r="B557" s="364"/>
      <c r="C557" s="364"/>
      <c r="D557" s="364"/>
      <c r="E557" s="364"/>
      <c r="F557" s="364"/>
      <c r="G557" s="364"/>
      <c r="H557" s="364"/>
      <c r="I557" s="364"/>
      <c r="J557" s="364"/>
      <c r="K557" s="364"/>
      <c r="L557" s="364"/>
      <c r="M557" s="364"/>
      <c r="N557" s="364"/>
      <c r="O557" s="364"/>
      <c r="P557" s="364"/>
      <c r="Q557" s="364"/>
      <c r="R557" s="364"/>
      <c r="S557" s="364"/>
      <c r="T557" s="364"/>
      <c r="U557" s="364"/>
      <c r="V557" s="364"/>
      <c r="W557" s="364"/>
      <c r="X557" s="364"/>
      <c r="Y557" s="364"/>
      <c r="Z557" s="364"/>
    </row>
    <row r="558" spans="1:26" ht="15.75" customHeight="1" x14ac:dyDescent="0.25">
      <c r="A558" s="364"/>
      <c r="B558" s="364"/>
      <c r="C558" s="364"/>
      <c r="D558" s="364"/>
      <c r="E558" s="364"/>
      <c r="F558" s="364"/>
      <c r="G558" s="364"/>
      <c r="H558" s="364"/>
      <c r="I558" s="364"/>
      <c r="J558" s="364"/>
      <c r="K558" s="364"/>
      <c r="L558" s="364"/>
      <c r="M558" s="364"/>
      <c r="N558" s="364"/>
      <c r="O558" s="364"/>
      <c r="P558" s="364"/>
      <c r="Q558" s="364"/>
      <c r="R558" s="364"/>
      <c r="S558" s="364"/>
      <c r="T558" s="364"/>
      <c r="U558" s="364"/>
      <c r="V558" s="364"/>
      <c r="W558" s="364"/>
      <c r="X558" s="364"/>
      <c r="Y558" s="364"/>
      <c r="Z558" s="364"/>
    </row>
    <row r="559" spans="1:26" ht="15.75" customHeight="1" x14ac:dyDescent="0.25">
      <c r="A559" s="364"/>
      <c r="B559" s="364"/>
      <c r="C559" s="364"/>
      <c r="D559" s="364"/>
      <c r="E559" s="364"/>
      <c r="F559" s="364"/>
      <c r="G559" s="364"/>
      <c r="H559" s="364"/>
      <c r="I559" s="364"/>
      <c r="J559" s="364"/>
      <c r="K559" s="364"/>
      <c r="L559" s="364"/>
      <c r="M559" s="364"/>
      <c r="N559" s="364"/>
      <c r="O559" s="364"/>
      <c r="P559" s="364"/>
      <c r="Q559" s="364"/>
      <c r="R559" s="364"/>
      <c r="S559" s="364"/>
      <c r="T559" s="364"/>
      <c r="U559" s="364"/>
      <c r="V559" s="364"/>
      <c r="W559" s="364"/>
      <c r="X559" s="364"/>
      <c r="Y559" s="364"/>
      <c r="Z559" s="364"/>
    </row>
    <row r="560" spans="1:26" ht="15.75" customHeight="1" x14ac:dyDescent="0.25">
      <c r="A560" s="364"/>
      <c r="B560" s="364"/>
      <c r="C560" s="364"/>
      <c r="D560" s="364"/>
      <c r="E560" s="364"/>
      <c r="F560" s="364"/>
      <c r="G560" s="364"/>
      <c r="H560" s="364"/>
      <c r="I560" s="364"/>
      <c r="J560" s="364"/>
      <c r="K560" s="364"/>
      <c r="L560" s="364"/>
      <c r="M560" s="364"/>
      <c r="N560" s="364"/>
      <c r="O560" s="364"/>
      <c r="P560" s="364"/>
      <c r="Q560" s="364"/>
      <c r="R560" s="364"/>
      <c r="S560" s="364"/>
      <c r="T560" s="364"/>
      <c r="U560" s="364"/>
      <c r="V560" s="364"/>
      <c r="W560" s="364"/>
      <c r="X560" s="364"/>
      <c r="Y560" s="364"/>
      <c r="Z560" s="364"/>
    </row>
    <row r="561" spans="1:26" ht="15.75" customHeight="1" x14ac:dyDescent="0.25">
      <c r="A561" s="364"/>
      <c r="B561" s="364"/>
      <c r="C561" s="364"/>
      <c r="D561" s="364"/>
      <c r="E561" s="364"/>
      <c r="F561" s="364"/>
      <c r="G561" s="364"/>
      <c r="H561" s="364"/>
      <c r="I561" s="364"/>
      <c r="J561" s="364"/>
      <c r="K561" s="364"/>
      <c r="L561" s="364"/>
      <c r="M561" s="364"/>
      <c r="N561" s="364"/>
      <c r="O561" s="364"/>
      <c r="P561" s="364"/>
      <c r="Q561" s="364"/>
      <c r="R561" s="364"/>
      <c r="S561" s="364"/>
      <c r="T561" s="364"/>
      <c r="U561" s="364"/>
      <c r="V561" s="364"/>
      <c r="W561" s="364"/>
      <c r="X561" s="364"/>
      <c r="Y561" s="364"/>
      <c r="Z561" s="364"/>
    </row>
    <row r="562" spans="1:26" ht="15.75" customHeight="1" x14ac:dyDescent="0.25">
      <c r="A562" s="364"/>
      <c r="B562" s="364"/>
      <c r="C562" s="364"/>
      <c r="D562" s="364"/>
      <c r="E562" s="364"/>
      <c r="F562" s="364"/>
      <c r="G562" s="364"/>
      <c r="H562" s="364"/>
      <c r="I562" s="364"/>
      <c r="J562" s="364"/>
      <c r="K562" s="364"/>
      <c r="L562" s="364"/>
      <c r="M562" s="364"/>
      <c r="N562" s="364"/>
      <c r="O562" s="364"/>
      <c r="P562" s="364"/>
      <c r="Q562" s="364"/>
      <c r="R562" s="364"/>
      <c r="S562" s="364"/>
      <c r="T562" s="364"/>
      <c r="U562" s="364"/>
      <c r="V562" s="364"/>
      <c r="W562" s="364"/>
      <c r="X562" s="364"/>
      <c r="Y562" s="364"/>
      <c r="Z562" s="364"/>
    </row>
    <row r="563" spans="1:26" ht="15.75" customHeight="1" x14ac:dyDescent="0.25">
      <c r="A563" s="364"/>
      <c r="B563" s="364"/>
      <c r="C563" s="364"/>
      <c r="D563" s="364"/>
      <c r="E563" s="364"/>
      <c r="F563" s="364"/>
      <c r="G563" s="364"/>
      <c r="H563" s="364"/>
      <c r="I563" s="364"/>
      <c r="J563" s="364"/>
      <c r="K563" s="364"/>
      <c r="L563" s="364"/>
      <c r="M563" s="364"/>
      <c r="N563" s="364"/>
      <c r="O563" s="364"/>
      <c r="P563" s="364"/>
      <c r="Q563" s="364"/>
      <c r="R563" s="364"/>
      <c r="S563" s="364"/>
      <c r="T563" s="364"/>
      <c r="U563" s="364"/>
      <c r="V563" s="364"/>
      <c r="W563" s="364"/>
      <c r="X563" s="364"/>
      <c r="Y563" s="364"/>
      <c r="Z563" s="364"/>
    </row>
    <row r="564" spans="1:26" ht="15.75" customHeight="1" x14ac:dyDescent="0.25">
      <c r="A564" s="364"/>
      <c r="B564" s="364"/>
      <c r="C564" s="364"/>
      <c r="D564" s="364"/>
      <c r="E564" s="364"/>
      <c r="F564" s="364"/>
      <c r="G564" s="364"/>
      <c r="H564" s="364"/>
      <c r="I564" s="364"/>
      <c r="J564" s="364"/>
      <c r="K564" s="364"/>
      <c r="L564" s="364"/>
      <c r="M564" s="364"/>
      <c r="N564" s="364"/>
      <c r="O564" s="364"/>
      <c r="P564" s="364"/>
      <c r="Q564" s="364"/>
      <c r="R564" s="364"/>
      <c r="S564" s="364"/>
      <c r="T564" s="364"/>
      <c r="U564" s="364"/>
      <c r="V564" s="364"/>
      <c r="W564" s="364"/>
      <c r="X564" s="364"/>
      <c r="Y564" s="364"/>
      <c r="Z564" s="364"/>
    </row>
    <row r="565" spans="1:26" ht="15.75" customHeight="1" x14ac:dyDescent="0.25">
      <c r="A565" s="364"/>
      <c r="B565" s="364"/>
      <c r="C565" s="364"/>
      <c r="D565" s="364"/>
      <c r="E565" s="364"/>
      <c r="F565" s="364"/>
      <c r="G565" s="364"/>
      <c r="H565" s="364"/>
      <c r="I565" s="364"/>
      <c r="J565" s="364"/>
      <c r="K565" s="364"/>
      <c r="L565" s="364"/>
      <c r="M565" s="364"/>
      <c r="N565" s="364"/>
      <c r="O565" s="364"/>
      <c r="P565" s="364"/>
      <c r="Q565" s="364"/>
      <c r="R565" s="364"/>
      <c r="S565" s="364"/>
      <c r="T565" s="364"/>
      <c r="U565" s="364"/>
      <c r="V565" s="364"/>
      <c r="W565" s="364"/>
      <c r="X565" s="364"/>
      <c r="Y565" s="364"/>
      <c r="Z565" s="364"/>
    </row>
    <row r="566" spans="1:26" ht="15.75" customHeight="1" x14ac:dyDescent="0.25">
      <c r="A566" s="364"/>
      <c r="B566" s="364"/>
      <c r="C566" s="364"/>
      <c r="D566" s="364"/>
      <c r="E566" s="364"/>
      <c r="F566" s="364"/>
      <c r="G566" s="364"/>
      <c r="H566" s="364"/>
      <c r="I566" s="364"/>
      <c r="J566" s="364"/>
      <c r="K566" s="364"/>
      <c r="L566" s="364"/>
      <c r="M566" s="364"/>
      <c r="N566" s="364"/>
      <c r="O566" s="364"/>
      <c r="P566" s="364"/>
      <c r="Q566" s="364"/>
      <c r="R566" s="364"/>
      <c r="S566" s="364"/>
      <c r="T566" s="364"/>
      <c r="U566" s="364"/>
      <c r="V566" s="364"/>
      <c r="W566" s="364"/>
      <c r="X566" s="364"/>
      <c r="Y566" s="364"/>
      <c r="Z566" s="364"/>
    </row>
    <row r="567" spans="1:26" ht="15.75" customHeight="1" x14ac:dyDescent="0.25">
      <c r="A567" s="364"/>
      <c r="B567" s="364"/>
      <c r="C567" s="364"/>
      <c r="D567" s="364"/>
      <c r="E567" s="364"/>
      <c r="F567" s="364"/>
      <c r="G567" s="364"/>
      <c r="H567" s="364"/>
      <c r="I567" s="364"/>
      <c r="J567" s="364"/>
      <c r="K567" s="364"/>
      <c r="L567" s="364"/>
      <c r="M567" s="364"/>
      <c r="N567" s="364"/>
      <c r="O567" s="364"/>
      <c r="P567" s="364"/>
      <c r="Q567" s="364"/>
      <c r="R567" s="364"/>
      <c r="S567" s="364"/>
      <c r="T567" s="364"/>
      <c r="U567" s="364"/>
      <c r="V567" s="364"/>
      <c r="W567" s="364"/>
      <c r="X567" s="364"/>
      <c r="Y567" s="364"/>
      <c r="Z567" s="364"/>
    </row>
    <row r="568" spans="1:26" ht="15.75" customHeight="1" x14ac:dyDescent="0.25">
      <c r="A568" s="364"/>
      <c r="B568" s="364"/>
      <c r="C568" s="364"/>
      <c r="D568" s="364"/>
      <c r="E568" s="364"/>
      <c r="F568" s="364"/>
      <c r="G568" s="364"/>
      <c r="H568" s="364"/>
      <c r="I568" s="364"/>
      <c r="J568" s="364"/>
      <c r="K568" s="364"/>
      <c r="L568" s="364"/>
      <c r="M568" s="364"/>
      <c r="N568" s="364"/>
      <c r="O568" s="364"/>
      <c r="P568" s="364"/>
      <c r="Q568" s="364"/>
      <c r="R568" s="364"/>
      <c r="S568" s="364"/>
      <c r="T568" s="364"/>
      <c r="U568" s="364"/>
      <c r="V568" s="364"/>
      <c r="W568" s="364"/>
      <c r="X568" s="364"/>
      <c r="Y568" s="364"/>
      <c r="Z568" s="364"/>
    </row>
    <row r="569" spans="1:26" ht="15.75" customHeight="1" x14ac:dyDescent="0.25">
      <c r="A569" s="364"/>
      <c r="B569" s="364"/>
      <c r="C569" s="364"/>
      <c r="D569" s="364"/>
      <c r="E569" s="364"/>
      <c r="F569" s="364"/>
      <c r="G569" s="364"/>
      <c r="H569" s="364"/>
      <c r="I569" s="364"/>
      <c r="J569" s="364"/>
      <c r="K569" s="364"/>
      <c r="L569" s="364"/>
      <c r="M569" s="364"/>
      <c r="N569" s="364"/>
      <c r="O569" s="364"/>
      <c r="P569" s="364"/>
      <c r="Q569" s="364"/>
      <c r="R569" s="364"/>
      <c r="S569" s="364"/>
      <c r="T569" s="364"/>
      <c r="U569" s="364"/>
      <c r="V569" s="364"/>
      <c r="W569" s="364"/>
      <c r="X569" s="364"/>
      <c r="Y569" s="364"/>
      <c r="Z569" s="364"/>
    </row>
    <row r="570" spans="1:26" ht="15.75" customHeight="1" x14ac:dyDescent="0.25">
      <c r="A570" s="364"/>
      <c r="B570" s="364"/>
      <c r="C570" s="364"/>
      <c r="D570" s="364"/>
      <c r="E570" s="364"/>
      <c r="F570" s="364"/>
      <c r="G570" s="364"/>
      <c r="H570" s="364"/>
      <c r="I570" s="364"/>
      <c r="J570" s="364"/>
      <c r="K570" s="364"/>
      <c r="L570" s="364"/>
      <c r="M570" s="364"/>
      <c r="N570" s="364"/>
      <c r="O570" s="364"/>
      <c r="P570" s="364"/>
      <c r="Q570" s="364"/>
      <c r="R570" s="364"/>
      <c r="S570" s="364"/>
      <c r="T570" s="364"/>
      <c r="U570" s="364"/>
      <c r="V570" s="364"/>
      <c r="W570" s="364"/>
      <c r="X570" s="364"/>
      <c r="Y570" s="364"/>
      <c r="Z570" s="364"/>
    </row>
    <row r="571" spans="1:26" ht="15.75" customHeight="1" x14ac:dyDescent="0.25">
      <c r="A571" s="364"/>
      <c r="B571" s="364"/>
      <c r="C571" s="364"/>
      <c r="D571" s="364"/>
      <c r="E571" s="364"/>
      <c r="F571" s="364"/>
      <c r="G571" s="364"/>
      <c r="H571" s="364"/>
      <c r="I571" s="364"/>
      <c r="J571" s="364"/>
      <c r="K571" s="364"/>
      <c r="L571" s="364"/>
      <c r="M571" s="364"/>
      <c r="N571" s="364"/>
      <c r="O571" s="364"/>
      <c r="P571" s="364"/>
      <c r="Q571" s="364"/>
      <c r="R571" s="364"/>
      <c r="S571" s="364"/>
      <c r="T571" s="364"/>
      <c r="U571" s="364"/>
      <c r="V571" s="364"/>
      <c r="W571" s="364"/>
      <c r="X571" s="364"/>
      <c r="Y571" s="364"/>
      <c r="Z571" s="364"/>
    </row>
    <row r="572" spans="1:26" ht="15.75" customHeight="1" x14ac:dyDescent="0.25">
      <c r="A572" s="364"/>
      <c r="B572" s="364"/>
      <c r="C572" s="364"/>
      <c r="D572" s="364"/>
      <c r="E572" s="364"/>
      <c r="F572" s="364"/>
      <c r="G572" s="364"/>
      <c r="H572" s="364"/>
      <c r="I572" s="364"/>
      <c r="J572" s="364"/>
      <c r="K572" s="364"/>
      <c r="L572" s="364"/>
      <c r="M572" s="364"/>
      <c r="N572" s="364"/>
      <c r="O572" s="364"/>
      <c r="P572" s="364"/>
      <c r="Q572" s="364"/>
      <c r="R572" s="364"/>
      <c r="S572" s="364"/>
      <c r="T572" s="364"/>
      <c r="U572" s="364"/>
      <c r="V572" s="364"/>
      <c r="W572" s="364"/>
      <c r="X572" s="364"/>
      <c r="Y572" s="364"/>
      <c r="Z572" s="364"/>
    </row>
    <row r="573" spans="1:26" ht="15.75" customHeight="1" x14ac:dyDescent="0.25">
      <c r="A573" s="364"/>
      <c r="B573" s="364"/>
      <c r="C573" s="364"/>
      <c r="D573" s="364"/>
      <c r="E573" s="364"/>
      <c r="F573" s="364"/>
      <c r="G573" s="364"/>
      <c r="H573" s="364"/>
      <c r="I573" s="364"/>
      <c r="J573" s="364"/>
      <c r="K573" s="364"/>
      <c r="L573" s="364"/>
      <c r="M573" s="364"/>
      <c r="N573" s="364"/>
      <c r="O573" s="364"/>
      <c r="P573" s="364"/>
      <c r="Q573" s="364"/>
      <c r="R573" s="364"/>
      <c r="S573" s="364"/>
      <c r="T573" s="364"/>
      <c r="U573" s="364"/>
      <c r="V573" s="364"/>
      <c r="W573" s="364"/>
      <c r="X573" s="364"/>
      <c r="Y573" s="364"/>
      <c r="Z573" s="364"/>
    </row>
    <row r="574" spans="1:26" ht="15.75" customHeight="1" x14ac:dyDescent="0.25">
      <c r="A574" s="364"/>
      <c r="B574" s="364"/>
      <c r="C574" s="364"/>
      <c r="D574" s="364"/>
      <c r="E574" s="364"/>
      <c r="F574" s="364"/>
      <c r="G574" s="364"/>
      <c r="H574" s="364"/>
      <c r="I574" s="364"/>
      <c r="J574" s="364"/>
      <c r="K574" s="364"/>
      <c r="L574" s="364"/>
      <c r="M574" s="364"/>
      <c r="N574" s="364"/>
      <c r="O574" s="364"/>
      <c r="P574" s="364"/>
      <c r="Q574" s="364"/>
      <c r="R574" s="364"/>
      <c r="S574" s="364"/>
      <c r="T574" s="364"/>
      <c r="U574" s="364"/>
      <c r="V574" s="364"/>
      <c r="W574" s="364"/>
      <c r="X574" s="364"/>
      <c r="Y574" s="364"/>
      <c r="Z574" s="364"/>
    </row>
    <row r="575" spans="1:26" ht="15.75" customHeight="1" x14ac:dyDescent="0.25">
      <c r="A575" s="364"/>
      <c r="B575" s="364"/>
      <c r="C575" s="364"/>
      <c r="D575" s="364"/>
      <c r="E575" s="364"/>
      <c r="F575" s="364"/>
      <c r="G575" s="364"/>
      <c r="H575" s="364"/>
      <c r="I575" s="364"/>
      <c r="J575" s="364"/>
      <c r="K575" s="364"/>
      <c r="L575" s="364"/>
      <c r="M575" s="364"/>
      <c r="N575" s="364"/>
      <c r="O575" s="364"/>
      <c r="P575" s="364"/>
      <c r="Q575" s="364"/>
      <c r="R575" s="364"/>
      <c r="S575" s="364"/>
      <c r="T575" s="364"/>
      <c r="U575" s="364"/>
      <c r="V575" s="364"/>
      <c r="W575" s="364"/>
      <c r="X575" s="364"/>
      <c r="Y575" s="364"/>
      <c r="Z575" s="364"/>
    </row>
    <row r="576" spans="1:26" ht="15.75" customHeight="1" x14ac:dyDescent="0.25">
      <c r="A576" s="364"/>
      <c r="B576" s="364"/>
      <c r="C576" s="364"/>
      <c r="D576" s="364"/>
      <c r="E576" s="364"/>
      <c r="F576" s="364"/>
      <c r="G576" s="364"/>
      <c r="H576" s="364"/>
      <c r="I576" s="364"/>
      <c r="J576" s="364"/>
      <c r="K576" s="364"/>
      <c r="L576" s="364"/>
      <c r="M576" s="364"/>
      <c r="N576" s="364"/>
      <c r="O576" s="364"/>
      <c r="P576" s="364"/>
      <c r="Q576" s="364"/>
      <c r="R576" s="364"/>
      <c r="S576" s="364"/>
      <c r="T576" s="364"/>
      <c r="U576" s="364"/>
      <c r="V576" s="364"/>
      <c r="W576" s="364"/>
      <c r="X576" s="364"/>
      <c r="Y576" s="364"/>
      <c r="Z576" s="364"/>
    </row>
    <row r="577" spans="1:26" ht="15.75" customHeight="1" x14ac:dyDescent="0.25">
      <c r="A577" s="364"/>
      <c r="B577" s="364"/>
      <c r="C577" s="364"/>
      <c r="D577" s="364"/>
      <c r="E577" s="364"/>
      <c r="F577" s="364"/>
      <c r="G577" s="364"/>
      <c r="H577" s="364"/>
      <c r="I577" s="364"/>
      <c r="J577" s="364"/>
      <c r="K577" s="364"/>
      <c r="L577" s="364"/>
      <c r="M577" s="364"/>
      <c r="N577" s="364"/>
      <c r="O577" s="364"/>
      <c r="P577" s="364"/>
      <c r="Q577" s="364"/>
      <c r="R577" s="364"/>
      <c r="S577" s="364"/>
      <c r="T577" s="364"/>
      <c r="U577" s="364"/>
      <c r="V577" s="364"/>
      <c r="W577" s="364"/>
      <c r="X577" s="364"/>
      <c r="Y577" s="364"/>
      <c r="Z577" s="364"/>
    </row>
    <row r="578" spans="1:26" ht="15.75" customHeight="1" x14ac:dyDescent="0.25">
      <c r="A578" s="364"/>
      <c r="B578" s="364"/>
      <c r="C578" s="364"/>
      <c r="D578" s="364"/>
      <c r="E578" s="364"/>
      <c r="F578" s="364"/>
      <c r="G578" s="364"/>
      <c r="H578" s="364"/>
      <c r="I578" s="364"/>
      <c r="J578" s="364"/>
      <c r="K578" s="364"/>
      <c r="L578" s="364"/>
      <c r="M578" s="364"/>
      <c r="N578" s="364"/>
      <c r="O578" s="364"/>
      <c r="P578" s="364"/>
      <c r="Q578" s="364"/>
      <c r="R578" s="364"/>
      <c r="S578" s="364"/>
      <c r="T578" s="364"/>
      <c r="U578" s="364"/>
      <c r="V578" s="364"/>
      <c r="W578" s="364"/>
      <c r="X578" s="364"/>
      <c r="Y578" s="364"/>
      <c r="Z578" s="364"/>
    </row>
    <row r="579" spans="1:26" ht="15.75" customHeight="1" x14ac:dyDescent="0.25">
      <c r="A579" s="364"/>
      <c r="B579" s="364"/>
      <c r="C579" s="364"/>
      <c r="D579" s="364"/>
      <c r="E579" s="364"/>
      <c r="F579" s="364"/>
      <c r="G579" s="364"/>
      <c r="H579" s="364"/>
      <c r="I579" s="364"/>
      <c r="J579" s="364"/>
      <c r="K579" s="364"/>
      <c r="L579" s="364"/>
      <c r="M579" s="364"/>
      <c r="N579" s="364"/>
      <c r="O579" s="364"/>
      <c r="P579" s="364"/>
      <c r="Q579" s="364"/>
      <c r="R579" s="364"/>
      <c r="S579" s="364"/>
      <c r="T579" s="364"/>
      <c r="U579" s="364"/>
      <c r="V579" s="364"/>
      <c r="W579" s="364"/>
      <c r="X579" s="364"/>
      <c r="Y579" s="364"/>
      <c r="Z579" s="364"/>
    </row>
    <row r="580" spans="1:26" ht="15.75" customHeight="1" x14ac:dyDescent="0.25">
      <c r="A580" s="364"/>
      <c r="B580" s="364"/>
      <c r="C580" s="364"/>
      <c r="D580" s="364"/>
      <c r="E580" s="364"/>
      <c r="F580" s="364"/>
      <c r="G580" s="364"/>
      <c r="H580" s="364"/>
      <c r="I580" s="364"/>
      <c r="J580" s="364"/>
      <c r="K580" s="364"/>
      <c r="L580" s="364"/>
      <c r="M580" s="364"/>
      <c r="N580" s="364"/>
      <c r="O580" s="364"/>
      <c r="P580" s="364"/>
      <c r="Q580" s="364"/>
      <c r="R580" s="364"/>
      <c r="S580" s="364"/>
      <c r="T580" s="364"/>
      <c r="U580" s="364"/>
      <c r="V580" s="364"/>
      <c r="W580" s="364"/>
      <c r="X580" s="364"/>
      <c r="Y580" s="364"/>
      <c r="Z580" s="364"/>
    </row>
    <row r="581" spans="1:26" ht="15.75" customHeight="1" x14ac:dyDescent="0.25">
      <c r="A581" s="364"/>
      <c r="B581" s="364"/>
      <c r="C581" s="364"/>
      <c r="D581" s="364"/>
      <c r="E581" s="364"/>
      <c r="F581" s="364"/>
      <c r="G581" s="364"/>
      <c r="H581" s="364"/>
      <c r="I581" s="364"/>
      <c r="J581" s="364"/>
      <c r="K581" s="364"/>
      <c r="L581" s="364"/>
      <c r="M581" s="364"/>
      <c r="N581" s="364"/>
      <c r="O581" s="364"/>
      <c r="P581" s="364"/>
      <c r="Q581" s="364"/>
      <c r="R581" s="364"/>
      <c r="S581" s="364"/>
      <c r="T581" s="364"/>
      <c r="U581" s="364"/>
      <c r="V581" s="364"/>
      <c r="W581" s="364"/>
      <c r="X581" s="364"/>
      <c r="Y581" s="364"/>
      <c r="Z581" s="364"/>
    </row>
    <row r="582" spans="1:26" ht="15.75" customHeight="1" x14ac:dyDescent="0.25">
      <c r="A582" s="364"/>
      <c r="B582" s="364"/>
      <c r="C582" s="364"/>
      <c r="D582" s="364"/>
      <c r="E582" s="364"/>
      <c r="F582" s="364"/>
      <c r="G582" s="364"/>
      <c r="H582" s="364"/>
      <c r="I582" s="364"/>
      <c r="J582" s="364"/>
      <c r="K582" s="364"/>
      <c r="L582" s="364"/>
      <c r="M582" s="364"/>
      <c r="N582" s="364"/>
      <c r="O582" s="364"/>
      <c r="P582" s="364"/>
      <c r="Q582" s="364"/>
      <c r="R582" s="364"/>
      <c r="S582" s="364"/>
      <c r="T582" s="364"/>
      <c r="U582" s="364"/>
      <c r="V582" s="364"/>
      <c r="W582" s="364"/>
      <c r="X582" s="364"/>
      <c r="Y582" s="364"/>
      <c r="Z582" s="364"/>
    </row>
    <row r="583" spans="1:26" ht="15.75" customHeight="1" x14ac:dyDescent="0.25">
      <c r="A583" s="364"/>
      <c r="B583" s="364"/>
      <c r="C583" s="364"/>
      <c r="D583" s="364"/>
      <c r="E583" s="364"/>
      <c r="F583" s="364"/>
      <c r="G583" s="364"/>
      <c r="H583" s="364"/>
      <c r="I583" s="364"/>
      <c r="J583" s="364"/>
      <c r="K583" s="364"/>
      <c r="L583" s="364"/>
      <c r="M583" s="364"/>
      <c r="N583" s="364"/>
      <c r="O583" s="364"/>
      <c r="P583" s="364"/>
      <c r="Q583" s="364"/>
      <c r="R583" s="364"/>
      <c r="S583" s="364"/>
      <c r="T583" s="364"/>
      <c r="U583" s="364"/>
      <c r="V583" s="364"/>
      <c r="W583" s="364"/>
      <c r="X583" s="364"/>
      <c r="Y583" s="364"/>
      <c r="Z583" s="364"/>
    </row>
    <row r="584" spans="1:26" ht="15.75" customHeight="1" x14ac:dyDescent="0.25">
      <c r="A584" s="364"/>
      <c r="B584" s="364"/>
      <c r="C584" s="364"/>
      <c r="D584" s="364"/>
      <c r="E584" s="364"/>
      <c r="F584" s="364"/>
      <c r="G584" s="364"/>
      <c r="H584" s="364"/>
      <c r="I584" s="364"/>
      <c r="J584" s="364"/>
      <c r="K584" s="364"/>
      <c r="L584" s="364"/>
      <c r="M584" s="364"/>
      <c r="N584" s="364"/>
      <c r="O584" s="364"/>
      <c r="P584" s="364"/>
      <c r="Q584" s="364"/>
      <c r="R584" s="364"/>
      <c r="S584" s="364"/>
      <c r="T584" s="364"/>
      <c r="U584" s="364"/>
      <c r="V584" s="364"/>
      <c r="W584" s="364"/>
      <c r="X584" s="364"/>
      <c r="Y584" s="364"/>
      <c r="Z584" s="364"/>
    </row>
    <row r="585" spans="1:26" ht="15.75" customHeight="1" x14ac:dyDescent="0.25">
      <c r="A585" s="364"/>
      <c r="B585" s="364"/>
      <c r="C585" s="364"/>
      <c r="D585" s="364"/>
      <c r="E585" s="364"/>
      <c r="F585" s="364"/>
      <c r="G585" s="364"/>
      <c r="H585" s="364"/>
      <c r="I585" s="364"/>
      <c r="J585" s="364"/>
      <c r="K585" s="364"/>
      <c r="L585" s="364"/>
      <c r="M585" s="364"/>
      <c r="N585" s="364"/>
      <c r="O585" s="364"/>
      <c r="P585" s="364"/>
      <c r="Q585" s="364"/>
      <c r="R585" s="364"/>
      <c r="S585" s="364"/>
      <c r="T585" s="364"/>
      <c r="U585" s="364"/>
      <c r="V585" s="364"/>
      <c r="W585" s="364"/>
      <c r="X585" s="364"/>
      <c r="Y585" s="364"/>
      <c r="Z585" s="364"/>
    </row>
    <row r="586" spans="1:26" ht="15.75" customHeight="1" x14ac:dyDescent="0.25">
      <c r="A586" s="364"/>
      <c r="B586" s="364"/>
      <c r="C586" s="364"/>
      <c r="D586" s="364"/>
      <c r="E586" s="364"/>
      <c r="F586" s="364"/>
      <c r="G586" s="364"/>
      <c r="H586" s="364"/>
      <c r="I586" s="364"/>
      <c r="J586" s="364"/>
      <c r="K586" s="364"/>
      <c r="L586" s="364"/>
      <c r="M586" s="364"/>
      <c r="N586" s="364"/>
      <c r="O586" s="364"/>
      <c r="P586" s="364"/>
      <c r="Q586" s="364"/>
      <c r="R586" s="364"/>
      <c r="S586" s="364"/>
      <c r="T586" s="364"/>
      <c r="U586" s="364"/>
      <c r="V586" s="364"/>
      <c r="W586" s="364"/>
      <c r="X586" s="364"/>
      <c r="Y586" s="364"/>
      <c r="Z586" s="364"/>
    </row>
    <row r="587" spans="1:26" ht="15.75" customHeight="1" x14ac:dyDescent="0.25">
      <c r="A587" s="364"/>
      <c r="B587" s="364"/>
      <c r="C587" s="364"/>
      <c r="D587" s="364"/>
      <c r="E587" s="364"/>
      <c r="F587" s="364"/>
      <c r="G587" s="364"/>
      <c r="H587" s="364"/>
      <c r="I587" s="364"/>
      <c r="J587" s="364"/>
      <c r="K587" s="364"/>
      <c r="L587" s="364"/>
      <c r="M587" s="364"/>
      <c r="N587" s="364"/>
      <c r="O587" s="364"/>
      <c r="P587" s="364"/>
      <c r="Q587" s="364"/>
      <c r="R587" s="364"/>
      <c r="S587" s="364"/>
      <c r="T587" s="364"/>
      <c r="U587" s="364"/>
      <c r="V587" s="364"/>
      <c r="W587" s="364"/>
      <c r="X587" s="364"/>
      <c r="Y587" s="364"/>
      <c r="Z587" s="364"/>
    </row>
    <row r="588" spans="1:26" ht="15.75" customHeight="1" x14ac:dyDescent="0.25">
      <c r="A588" s="364"/>
      <c r="B588" s="364"/>
      <c r="C588" s="364"/>
      <c r="D588" s="364"/>
      <c r="E588" s="364"/>
      <c r="F588" s="364"/>
      <c r="G588" s="364"/>
      <c r="H588" s="364"/>
      <c r="I588" s="364"/>
      <c r="J588" s="364"/>
      <c r="K588" s="364"/>
      <c r="L588" s="364"/>
      <c r="M588" s="364"/>
      <c r="N588" s="364"/>
      <c r="O588" s="364"/>
      <c r="P588" s="364"/>
      <c r="Q588" s="364"/>
      <c r="R588" s="364"/>
      <c r="S588" s="364"/>
      <c r="T588" s="364"/>
      <c r="U588" s="364"/>
      <c r="V588" s="364"/>
      <c r="W588" s="364"/>
      <c r="X588" s="364"/>
      <c r="Y588" s="364"/>
      <c r="Z588" s="364"/>
    </row>
    <row r="589" spans="1:26" ht="15.75" customHeight="1" x14ac:dyDescent="0.25">
      <c r="A589" s="364"/>
      <c r="B589" s="364"/>
      <c r="C589" s="364"/>
      <c r="D589" s="364"/>
      <c r="E589" s="364"/>
      <c r="F589" s="364"/>
      <c r="G589" s="364"/>
      <c r="H589" s="364"/>
      <c r="I589" s="364"/>
      <c r="J589" s="364"/>
      <c r="K589" s="364"/>
      <c r="L589" s="364"/>
      <c r="M589" s="364"/>
      <c r="N589" s="364"/>
      <c r="O589" s="364"/>
      <c r="P589" s="364"/>
      <c r="Q589" s="364"/>
      <c r="R589" s="364"/>
      <c r="S589" s="364"/>
      <c r="T589" s="364"/>
      <c r="U589" s="364"/>
      <c r="V589" s="364"/>
      <c r="W589" s="364"/>
      <c r="X589" s="364"/>
      <c r="Y589" s="364"/>
      <c r="Z589" s="364"/>
    </row>
    <row r="590" spans="1:26" ht="15.75" customHeight="1" x14ac:dyDescent="0.25">
      <c r="A590" s="364"/>
      <c r="B590" s="364"/>
      <c r="C590" s="364"/>
      <c r="D590" s="364"/>
      <c r="E590" s="364"/>
      <c r="F590" s="364"/>
      <c r="G590" s="364"/>
      <c r="H590" s="364"/>
      <c r="I590" s="364"/>
      <c r="J590" s="364"/>
      <c r="K590" s="364"/>
      <c r="L590" s="364"/>
      <c r="M590" s="364"/>
      <c r="N590" s="364"/>
      <c r="O590" s="364"/>
      <c r="P590" s="364"/>
      <c r="Q590" s="364"/>
      <c r="R590" s="364"/>
      <c r="S590" s="364"/>
      <c r="T590" s="364"/>
      <c r="U590" s="364"/>
      <c r="V590" s="364"/>
      <c r="W590" s="364"/>
      <c r="X590" s="364"/>
      <c r="Y590" s="364"/>
      <c r="Z590" s="364"/>
    </row>
    <row r="591" spans="1:26" ht="15.75" customHeight="1" x14ac:dyDescent="0.25">
      <c r="A591" s="364"/>
      <c r="B591" s="364"/>
      <c r="C591" s="364"/>
      <c r="D591" s="364"/>
      <c r="E591" s="364"/>
      <c r="F591" s="364"/>
      <c r="G591" s="364"/>
      <c r="H591" s="364"/>
      <c r="I591" s="364"/>
      <c r="J591" s="364"/>
      <c r="K591" s="364"/>
      <c r="L591" s="364"/>
      <c r="M591" s="364"/>
      <c r="N591" s="364"/>
      <c r="O591" s="364"/>
      <c r="P591" s="364"/>
      <c r="Q591" s="364"/>
      <c r="R591" s="364"/>
      <c r="S591" s="364"/>
      <c r="T591" s="364"/>
      <c r="U591" s="364"/>
      <c r="V591" s="364"/>
      <c r="W591" s="364"/>
      <c r="X591" s="364"/>
      <c r="Y591" s="364"/>
      <c r="Z591" s="364"/>
    </row>
    <row r="592" spans="1:26" ht="15.75" customHeight="1" x14ac:dyDescent="0.25">
      <c r="A592" s="364"/>
      <c r="B592" s="364"/>
      <c r="C592" s="364"/>
      <c r="D592" s="364"/>
      <c r="E592" s="364"/>
      <c r="F592" s="364"/>
      <c r="G592" s="364"/>
      <c r="H592" s="364"/>
      <c r="I592" s="364"/>
      <c r="J592" s="364"/>
      <c r="K592" s="364"/>
      <c r="L592" s="364"/>
      <c r="M592" s="364"/>
      <c r="N592" s="364"/>
      <c r="O592" s="364"/>
      <c r="P592" s="364"/>
      <c r="Q592" s="364"/>
      <c r="R592" s="364"/>
      <c r="S592" s="364"/>
      <c r="T592" s="364"/>
      <c r="U592" s="364"/>
      <c r="V592" s="364"/>
      <c r="W592" s="364"/>
      <c r="X592" s="364"/>
      <c r="Y592" s="364"/>
      <c r="Z592" s="364"/>
    </row>
    <row r="593" spans="1:26" ht="15.75" customHeight="1" x14ac:dyDescent="0.25">
      <c r="A593" s="364"/>
      <c r="B593" s="364"/>
      <c r="C593" s="364"/>
      <c r="D593" s="364"/>
      <c r="E593" s="364"/>
      <c r="F593" s="364"/>
      <c r="G593" s="364"/>
      <c r="H593" s="364"/>
      <c r="I593" s="364"/>
      <c r="J593" s="364"/>
      <c r="K593" s="364"/>
      <c r="L593" s="364"/>
      <c r="M593" s="364"/>
      <c r="N593" s="364"/>
      <c r="O593" s="364"/>
      <c r="P593" s="364"/>
      <c r="Q593" s="364"/>
      <c r="R593" s="364"/>
      <c r="S593" s="364"/>
      <c r="T593" s="364"/>
      <c r="U593" s="364"/>
      <c r="V593" s="364"/>
      <c r="W593" s="364"/>
      <c r="X593" s="364"/>
      <c r="Y593" s="364"/>
      <c r="Z593" s="364"/>
    </row>
    <row r="594" spans="1:26" ht="15.75" customHeight="1" x14ac:dyDescent="0.25">
      <c r="A594" s="364"/>
      <c r="B594" s="364"/>
      <c r="C594" s="364"/>
      <c r="D594" s="364"/>
      <c r="E594" s="364"/>
      <c r="F594" s="364"/>
      <c r="G594" s="364"/>
      <c r="H594" s="364"/>
      <c r="I594" s="364"/>
      <c r="J594" s="364"/>
      <c r="K594" s="364"/>
      <c r="L594" s="364"/>
      <c r="M594" s="364"/>
      <c r="N594" s="364"/>
      <c r="O594" s="364"/>
      <c r="P594" s="364"/>
      <c r="Q594" s="364"/>
      <c r="R594" s="364"/>
      <c r="S594" s="364"/>
      <c r="T594" s="364"/>
      <c r="U594" s="364"/>
      <c r="V594" s="364"/>
      <c r="W594" s="364"/>
      <c r="X594" s="364"/>
      <c r="Y594" s="364"/>
      <c r="Z594" s="364"/>
    </row>
    <row r="595" spans="1:26" ht="15.75" customHeight="1" x14ac:dyDescent="0.25">
      <c r="A595" s="364"/>
      <c r="B595" s="364"/>
      <c r="C595" s="364"/>
      <c r="D595" s="364"/>
      <c r="E595" s="364"/>
      <c r="F595" s="364"/>
      <c r="G595" s="364"/>
      <c r="H595" s="364"/>
      <c r="I595" s="364"/>
      <c r="J595" s="364"/>
      <c r="K595" s="364"/>
      <c r="L595" s="364"/>
      <c r="M595" s="364"/>
      <c r="N595" s="364"/>
      <c r="O595" s="364"/>
      <c r="P595" s="364"/>
      <c r="Q595" s="364"/>
      <c r="R595" s="364"/>
      <c r="S595" s="364"/>
      <c r="T595" s="364"/>
      <c r="U595" s="364"/>
      <c r="V595" s="364"/>
      <c r="W595" s="364"/>
      <c r="X595" s="364"/>
      <c r="Y595" s="364"/>
      <c r="Z595" s="364"/>
    </row>
    <row r="596" spans="1:26" ht="15.75" customHeight="1" x14ac:dyDescent="0.25">
      <c r="A596" s="364"/>
      <c r="B596" s="364"/>
      <c r="C596" s="364"/>
      <c r="D596" s="364"/>
      <c r="E596" s="364"/>
      <c r="F596" s="364"/>
      <c r="G596" s="364"/>
      <c r="H596" s="364"/>
      <c r="I596" s="364"/>
      <c r="J596" s="364"/>
      <c r="K596" s="364"/>
      <c r="L596" s="364"/>
      <c r="M596" s="364"/>
      <c r="N596" s="364"/>
      <c r="O596" s="364"/>
      <c r="P596" s="364"/>
      <c r="Q596" s="364"/>
      <c r="R596" s="364"/>
      <c r="S596" s="364"/>
      <c r="T596" s="364"/>
      <c r="U596" s="364"/>
      <c r="V596" s="364"/>
      <c r="W596" s="364"/>
      <c r="X596" s="364"/>
      <c r="Y596" s="364"/>
      <c r="Z596" s="364"/>
    </row>
    <row r="597" spans="1:26" ht="15.75" customHeight="1" x14ac:dyDescent="0.25">
      <c r="A597" s="364"/>
      <c r="B597" s="364"/>
      <c r="C597" s="364"/>
      <c r="D597" s="364"/>
      <c r="E597" s="364"/>
      <c r="F597" s="364"/>
      <c r="G597" s="364"/>
      <c r="H597" s="364"/>
      <c r="I597" s="364"/>
      <c r="J597" s="364"/>
      <c r="K597" s="364"/>
      <c r="L597" s="364"/>
      <c r="M597" s="364"/>
      <c r="N597" s="364"/>
      <c r="O597" s="364"/>
      <c r="P597" s="364"/>
      <c r="Q597" s="364"/>
      <c r="R597" s="364"/>
      <c r="S597" s="364"/>
      <c r="T597" s="364"/>
      <c r="U597" s="364"/>
      <c r="V597" s="364"/>
      <c r="W597" s="364"/>
      <c r="X597" s="364"/>
      <c r="Y597" s="364"/>
      <c r="Z597" s="364"/>
    </row>
    <row r="598" spans="1:26" ht="15.75" customHeight="1" x14ac:dyDescent="0.25">
      <c r="A598" s="364"/>
      <c r="B598" s="364"/>
      <c r="C598" s="364"/>
      <c r="D598" s="364"/>
      <c r="E598" s="364"/>
      <c r="F598" s="364"/>
      <c r="G598" s="364"/>
      <c r="H598" s="364"/>
      <c r="I598" s="364"/>
      <c r="J598" s="364"/>
      <c r="K598" s="364"/>
      <c r="L598" s="364"/>
      <c r="M598" s="364"/>
      <c r="N598" s="364"/>
      <c r="O598" s="364"/>
      <c r="P598" s="364"/>
      <c r="Q598" s="364"/>
      <c r="R598" s="364"/>
      <c r="S598" s="364"/>
      <c r="T598" s="364"/>
      <c r="U598" s="364"/>
      <c r="V598" s="364"/>
      <c r="W598" s="364"/>
      <c r="X598" s="364"/>
      <c r="Y598" s="364"/>
      <c r="Z598" s="364"/>
    </row>
    <row r="599" spans="1:26" ht="15.75" customHeight="1" x14ac:dyDescent="0.25">
      <c r="A599" s="364"/>
      <c r="B599" s="364"/>
      <c r="C599" s="364"/>
      <c r="D599" s="364"/>
      <c r="E599" s="364"/>
      <c r="F599" s="364"/>
      <c r="G599" s="364"/>
      <c r="H599" s="364"/>
      <c r="I599" s="364"/>
      <c r="J599" s="364"/>
      <c r="K599" s="364"/>
      <c r="L599" s="364"/>
      <c r="M599" s="364"/>
      <c r="N599" s="364"/>
      <c r="O599" s="364"/>
      <c r="P599" s="364"/>
      <c r="Q599" s="364"/>
      <c r="R599" s="364"/>
      <c r="S599" s="364"/>
      <c r="T599" s="364"/>
      <c r="U599" s="364"/>
      <c r="V599" s="364"/>
      <c r="W599" s="364"/>
      <c r="X599" s="364"/>
      <c r="Y599" s="364"/>
      <c r="Z599" s="364"/>
    </row>
    <row r="600" spans="1:26" ht="15.75" customHeight="1" x14ac:dyDescent="0.25">
      <c r="A600" s="364"/>
      <c r="B600" s="364"/>
      <c r="C600" s="364"/>
      <c r="D600" s="364"/>
      <c r="E600" s="364"/>
      <c r="F600" s="364"/>
      <c r="G600" s="364"/>
      <c r="H600" s="364"/>
      <c r="I600" s="364"/>
      <c r="J600" s="364"/>
      <c r="K600" s="364"/>
      <c r="L600" s="364"/>
      <c r="M600" s="364"/>
      <c r="N600" s="364"/>
      <c r="O600" s="364"/>
      <c r="P600" s="364"/>
      <c r="Q600" s="364"/>
      <c r="R600" s="364"/>
      <c r="S600" s="364"/>
      <c r="T600" s="364"/>
      <c r="U600" s="364"/>
      <c r="V600" s="364"/>
      <c r="W600" s="364"/>
      <c r="X600" s="364"/>
      <c r="Y600" s="364"/>
      <c r="Z600" s="364"/>
    </row>
    <row r="601" spans="1:26" ht="15.75" customHeight="1" x14ac:dyDescent="0.25">
      <c r="A601" s="364"/>
      <c r="B601" s="364"/>
      <c r="C601" s="364"/>
      <c r="D601" s="364"/>
      <c r="E601" s="364"/>
      <c r="F601" s="364"/>
      <c r="G601" s="364"/>
      <c r="H601" s="364"/>
      <c r="I601" s="364"/>
      <c r="J601" s="364"/>
      <c r="K601" s="364"/>
      <c r="L601" s="364"/>
      <c r="M601" s="364"/>
      <c r="N601" s="364"/>
      <c r="O601" s="364"/>
      <c r="P601" s="364"/>
      <c r="Q601" s="364"/>
      <c r="R601" s="364"/>
      <c r="S601" s="364"/>
      <c r="T601" s="364"/>
      <c r="U601" s="364"/>
      <c r="V601" s="364"/>
      <c r="W601" s="364"/>
      <c r="X601" s="364"/>
      <c r="Y601" s="364"/>
      <c r="Z601" s="364"/>
    </row>
    <row r="602" spans="1:26" ht="15.75" customHeight="1" x14ac:dyDescent="0.25">
      <c r="A602" s="364"/>
      <c r="B602" s="364"/>
      <c r="C602" s="364"/>
      <c r="D602" s="364"/>
      <c r="E602" s="364"/>
      <c r="F602" s="364"/>
      <c r="G602" s="364"/>
      <c r="H602" s="364"/>
      <c r="I602" s="364"/>
      <c r="J602" s="364"/>
      <c r="K602" s="364"/>
      <c r="L602" s="364"/>
      <c r="M602" s="364"/>
      <c r="N602" s="364"/>
      <c r="O602" s="364"/>
      <c r="P602" s="364"/>
      <c r="Q602" s="364"/>
      <c r="R602" s="364"/>
      <c r="S602" s="364"/>
      <c r="T602" s="364"/>
      <c r="U602" s="364"/>
      <c r="V602" s="364"/>
      <c r="W602" s="364"/>
      <c r="X602" s="364"/>
      <c r="Y602" s="364"/>
      <c r="Z602" s="364"/>
    </row>
    <row r="603" spans="1:26" ht="15.75" customHeight="1" x14ac:dyDescent="0.25">
      <c r="A603" s="364"/>
      <c r="B603" s="364"/>
      <c r="C603" s="364"/>
      <c r="D603" s="364"/>
      <c r="E603" s="364"/>
      <c r="F603" s="364"/>
      <c r="G603" s="364"/>
      <c r="H603" s="364"/>
      <c r="I603" s="364"/>
      <c r="J603" s="364"/>
      <c r="K603" s="364"/>
      <c r="L603" s="364"/>
      <c r="M603" s="364"/>
      <c r="N603" s="364"/>
      <c r="O603" s="364"/>
      <c r="P603" s="364"/>
      <c r="Q603" s="364"/>
      <c r="R603" s="364"/>
      <c r="S603" s="364"/>
      <c r="T603" s="364"/>
      <c r="U603" s="364"/>
      <c r="V603" s="364"/>
      <c r="W603" s="364"/>
      <c r="X603" s="364"/>
      <c r="Y603" s="364"/>
      <c r="Z603" s="364"/>
    </row>
    <row r="604" spans="1:26" ht="15.75" customHeight="1" x14ac:dyDescent="0.25">
      <c r="A604" s="364"/>
      <c r="B604" s="364"/>
      <c r="C604" s="364"/>
      <c r="D604" s="364"/>
      <c r="E604" s="364"/>
      <c r="F604" s="364"/>
      <c r="G604" s="364"/>
      <c r="H604" s="364"/>
      <c r="I604" s="364"/>
      <c r="J604" s="364"/>
      <c r="K604" s="364"/>
      <c r="L604" s="364"/>
      <c r="M604" s="364"/>
      <c r="N604" s="364"/>
      <c r="O604" s="364"/>
      <c r="P604" s="364"/>
      <c r="Q604" s="364"/>
      <c r="R604" s="364"/>
      <c r="S604" s="364"/>
      <c r="T604" s="364"/>
      <c r="U604" s="364"/>
      <c r="V604" s="364"/>
      <c r="W604" s="364"/>
      <c r="X604" s="364"/>
      <c r="Y604" s="364"/>
      <c r="Z604" s="364"/>
    </row>
    <row r="605" spans="1:26" ht="15.75" customHeight="1" x14ac:dyDescent="0.25">
      <c r="A605" s="364"/>
      <c r="B605" s="364"/>
      <c r="C605" s="364"/>
      <c r="D605" s="364"/>
      <c r="E605" s="364"/>
      <c r="F605" s="364"/>
      <c r="G605" s="364"/>
      <c r="H605" s="364"/>
      <c r="I605" s="364"/>
      <c r="J605" s="364"/>
      <c r="K605" s="364"/>
      <c r="L605" s="364"/>
      <c r="M605" s="364"/>
      <c r="N605" s="364"/>
      <c r="O605" s="364"/>
      <c r="P605" s="364"/>
      <c r="Q605" s="364"/>
      <c r="R605" s="364"/>
      <c r="S605" s="364"/>
      <c r="T605" s="364"/>
      <c r="U605" s="364"/>
      <c r="V605" s="364"/>
      <c r="W605" s="364"/>
      <c r="X605" s="364"/>
      <c r="Y605" s="364"/>
      <c r="Z605" s="364"/>
    </row>
    <row r="606" spans="1:26" ht="15.75" customHeight="1" x14ac:dyDescent="0.25">
      <c r="A606" s="364"/>
      <c r="B606" s="364"/>
      <c r="C606" s="364"/>
      <c r="D606" s="364"/>
      <c r="E606" s="364"/>
      <c r="F606" s="364"/>
      <c r="G606" s="364"/>
      <c r="H606" s="364"/>
      <c r="I606" s="364"/>
      <c r="J606" s="364"/>
      <c r="K606" s="364"/>
      <c r="L606" s="364"/>
      <c r="M606" s="364"/>
      <c r="N606" s="364"/>
      <c r="O606" s="364"/>
      <c r="P606" s="364"/>
      <c r="Q606" s="364"/>
      <c r="R606" s="364"/>
      <c r="S606" s="364"/>
      <c r="T606" s="364"/>
      <c r="U606" s="364"/>
      <c r="V606" s="364"/>
      <c r="W606" s="364"/>
      <c r="X606" s="364"/>
      <c r="Y606" s="364"/>
      <c r="Z606" s="364"/>
    </row>
    <row r="607" spans="1:26" ht="15.75" customHeight="1" x14ac:dyDescent="0.25">
      <c r="A607" s="364"/>
      <c r="B607" s="364"/>
      <c r="C607" s="364"/>
      <c r="D607" s="364"/>
      <c r="E607" s="364"/>
      <c r="F607" s="364"/>
      <c r="G607" s="364"/>
      <c r="H607" s="364"/>
      <c r="I607" s="364"/>
      <c r="J607" s="364"/>
      <c r="K607" s="364"/>
      <c r="L607" s="364"/>
      <c r="M607" s="364"/>
      <c r="N607" s="364"/>
      <c r="O607" s="364"/>
      <c r="P607" s="364"/>
      <c r="Q607" s="364"/>
      <c r="R607" s="364"/>
      <c r="S607" s="364"/>
      <c r="T607" s="364"/>
      <c r="U607" s="364"/>
      <c r="V607" s="364"/>
      <c r="W607" s="364"/>
      <c r="X607" s="364"/>
      <c r="Y607" s="364"/>
      <c r="Z607" s="364"/>
    </row>
    <row r="608" spans="1:26" ht="15.75" customHeight="1" x14ac:dyDescent="0.25">
      <c r="A608" s="364"/>
      <c r="B608" s="364"/>
      <c r="C608" s="364"/>
      <c r="D608" s="364"/>
      <c r="E608" s="364"/>
      <c r="F608" s="364"/>
      <c r="G608" s="364"/>
      <c r="H608" s="364"/>
      <c r="I608" s="364"/>
      <c r="J608" s="364"/>
      <c r="K608" s="364"/>
      <c r="L608" s="364"/>
      <c r="M608" s="364"/>
      <c r="N608" s="364"/>
      <c r="O608" s="364"/>
      <c r="P608" s="364"/>
      <c r="Q608" s="364"/>
      <c r="R608" s="364"/>
      <c r="S608" s="364"/>
      <c r="T608" s="364"/>
      <c r="U608" s="364"/>
      <c r="V608" s="364"/>
      <c r="W608" s="364"/>
      <c r="X608" s="364"/>
      <c r="Y608" s="364"/>
      <c r="Z608" s="364"/>
    </row>
    <row r="609" spans="1:26" ht="15.75" customHeight="1" x14ac:dyDescent="0.25">
      <c r="A609" s="364"/>
      <c r="B609" s="364"/>
      <c r="C609" s="364"/>
      <c r="D609" s="364"/>
      <c r="E609" s="364"/>
      <c r="F609" s="364"/>
      <c r="G609" s="364"/>
      <c r="H609" s="364"/>
      <c r="I609" s="364"/>
      <c r="J609" s="364"/>
      <c r="K609" s="364"/>
      <c r="L609" s="364"/>
      <c r="M609" s="364"/>
      <c r="N609" s="364"/>
      <c r="O609" s="364"/>
      <c r="P609" s="364"/>
      <c r="Q609" s="364"/>
      <c r="R609" s="364"/>
      <c r="S609" s="364"/>
      <c r="T609" s="364"/>
      <c r="U609" s="364"/>
      <c r="V609" s="364"/>
      <c r="W609" s="364"/>
      <c r="X609" s="364"/>
      <c r="Y609" s="364"/>
      <c r="Z609" s="364"/>
    </row>
    <row r="610" spans="1:26" ht="15.75" customHeight="1" x14ac:dyDescent="0.25">
      <c r="A610" s="364"/>
      <c r="B610" s="364"/>
      <c r="C610" s="364"/>
      <c r="D610" s="364"/>
      <c r="E610" s="364"/>
      <c r="F610" s="364"/>
      <c r="G610" s="364"/>
      <c r="H610" s="364"/>
      <c r="I610" s="364"/>
      <c r="J610" s="364"/>
      <c r="K610" s="364"/>
      <c r="L610" s="364"/>
      <c r="M610" s="364"/>
      <c r="N610" s="364"/>
      <c r="O610" s="364"/>
      <c r="P610" s="364"/>
      <c r="Q610" s="364"/>
      <c r="R610" s="364"/>
      <c r="S610" s="364"/>
      <c r="T610" s="364"/>
      <c r="U610" s="364"/>
      <c r="V610" s="364"/>
      <c r="W610" s="364"/>
      <c r="X610" s="364"/>
      <c r="Y610" s="364"/>
      <c r="Z610" s="364"/>
    </row>
    <row r="611" spans="1:26" ht="15.75" customHeight="1" x14ac:dyDescent="0.25">
      <c r="A611" s="364"/>
      <c r="B611" s="364"/>
      <c r="C611" s="364"/>
      <c r="D611" s="364"/>
      <c r="E611" s="364"/>
      <c r="F611" s="364"/>
      <c r="G611" s="364"/>
      <c r="H611" s="364"/>
      <c r="I611" s="364"/>
      <c r="J611" s="364"/>
      <c r="K611" s="364"/>
      <c r="L611" s="364"/>
      <c r="M611" s="364"/>
      <c r="N611" s="364"/>
      <c r="O611" s="364"/>
      <c r="P611" s="364"/>
      <c r="Q611" s="364"/>
      <c r="R611" s="364"/>
      <c r="S611" s="364"/>
      <c r="T611" s="364"/>
      <c r="U611" s="364"/>
      <c r="V611" s="364"/>
      <c r="W611" s="364"/>
      <c r="X611" s="364"/>
      <c r="Y611" s="364"/>
      <c r="Z611" s="364"/>
    </row>
    <row r="612" spans="1:26" ht="15.75" customHeight="1" x14ac:dyDescent="0.25">
      <c r="A612" s="364"/>
      <c r="B612" s="364"/>
      <c r="C612" s="364"/>
      <c r="D612" s="364"/>
      <c r="E612" s="364"/>
      <c r="F612" s="364"/>
      <c r="G612" s="364"/>
      <c r="H612" s="364"/>
      <c r="I612" s="364"/>
      <c r="J612" s="364"/>
      <c r="K612" s="364"/>
      <c r="L612" s="364"/>
      <c r="M612" s="364"/>
      <c r="N612" s="364"/>
      <c r="O612" s="364"/>
      <c r="P612" s="364"/>
      <c r="Q612" s="364"/>
      <c r="R612" s="364"/>
      <c r="S612" s="364"/>
      <c r="T612" s="364"/>
      <c r="U612" s="364"/>
      <c r="V612" s="364"/>
      <c r="W612" s="364"/>
      <c r="X612" s="364"/>
      <c r="Y612" s="364"/>
      <c r="Z612" s="364"/>
    </row>
    <row r="613" spans="1:26" ht="15.75" customHeight="1" x14ac:dyDescent="0.25">
      <c r="A613" s="364"/>
      <c r="B613" s="364"/>
      <c r="C613" s="364"/>
      <c r="D613" s="364"/>
      <c r="E613" s="364"/>
      <c r="F613" s="364"/>
      <c r="G613" s="364"/>
      <c r="H613" s="364"/>
      <c r="I613" s="364"/>
      <c r="J613" s="364"/>
      <c r="K613" s="364"/>
      <c r="L613" s="364"/>
      <c r="M613" s="364"/>
      <c r="N613" s="364"/>
      <c r="O613" s="364"/>
      <c r="P613" s="364"/>
      <c r="Q613" s="364"/>
      <c r="R613" s="364"/>
      <c r="S613" s="364"/>
      <c r="T613" s="364"/>
      <c r="U613" s="364"/>
      <c r="V613" s="364"/>
      <c r="W613" s="364"/>
      <c r="X613" s="364"/>
      <c r="Y613" s="364"/>
      <c r="Z613" s="364"/>
    </row>
    <row r="614" spans="1:26" ht="15.75" customHeight="1" x14ac:dyDescent="0.25">
      <c r="A614" s="364"/>
      <c r="B614" s="364"/>
      <c r="C614" s="364"/>
      <c r="D614" s="364"/>
      <c r="E614" s="364"/>
      <c r="F614" s="364"/>
      <c r="G614" s="364"/>
      <c r="H614" s="364"/>
      <c r="I614" s="364"/>
      <c r="J614" s="364"/>
      <c r="K614" s="364"/>
      <c r="L614" s="364"/>
      <c r="M614" s="364"/>
      <c r="N614" s="364"/>
      <c r="O614" s="364"/>
      <c r="P614" s="364"/>
      <c r="Q614" s="364"/>
      <c r="R614" s="364"/>
      <c r="S614" s="364"/>
      <c r="T614" s="364"/>
      <c r="U614" s="364"/>
      <c r="V614" s="364"/>
      <c r="W614" s="364"/>
      <c r="X614" s="364"/>
      <c r="Y614" s="364"/>
      <c r="Z614" s="364"/>
    </row>
    <row r="615" spans="1:26" ht="15.75" customHeight="1" x14ac:dyDescent="0.25">
      <c r="A615" s="364"/>
      <c r="B615" s="364"/>
      <c r="C615" s="364"/>
      <c r="D615" s="364"/>
      <c r="E615" s="364"/>
      <c r="F615" s="364"/>
      <c r="G615" s="364"/>
      <c r="H615" s="364"/>
      <c r="I615" s="364"/>
      <c r="J615" s="364"/>
      <c r="K615" s="364"/>
      <c r="L615" s="364"/>
      <c r="M615" s="364"/>
      <c r="N615" s="364"/>
      <c r="O615" s="364"/>
      <c r="P615" s="364"/>
      <c r="Q615" s="364"/>
      <c r="R615" s="364"/>
      <c r="S615" s="364"/>
      <c r="T615" s="364"/>
      <c r="U615" s="364"/>
      <c r="V615" s="364"/>
      <c r="W615" s="364"/>
      <c r="X615" s="364"/>
      <c r="Y615" s="364"/>
      <c r="Z615" s="364"/>
    </row>
    <row r="616" spans="1:26" ht="15.75" customHeight="1" x14ac:dyDescent="0.25">
      <c r="A616" s="364"/>
      <c r="B616" s="364"/>
      <c r="C616" s="364"/>
      <c r="D616" s="364"/>
      <c r="E616" s="364"/>
      <c r="F616" s="364"/>
      <c r="G616" s="364"/>
      <c r="H616" s="364"/>
      <c r="I616" s="364"/>
      <c r="J616" s="364"/>
      <c r="K616" s="364"/>
      <c r="L616" s="364"/>
      <c r="M616" s="364"/>
      <c r="N616" s="364"/>
      <c r="O616" s="364"/>
      <c r="P616" s="364"/>
      <c r="Q616" s="364"/>
      <c r="R616" s="364"/>
      <c r="S616" s="364"/>
      <c r="T616" s="364"/>
      <c r="U616" s="364"/>
      <c r="V616" s="364"/>
      <c r="W616" s="364"/>
      <c r="X616" s="364"/>
      <c r="Y616" s="364"/>
      <c r="Z616" s="364"/>
    </row>
    <row r="617" spans="1:26" ht="15.75" customHeight="1" x14ac:dyDescent="0.25">
      <c r="A617" s="364"/>
      <c r="B617" s="364"/>
      <c r="C617" s="364"/>
      <c r="D617" s="364"/>
      <c r="E617" s="364"/>
      <c r="F617" s="364"/>
      <c r="G617" s="364"/>
      <c r="H617" s="364"/>
      <c r="I617" s="364"/>
      <c r="J617" s="364"/>
      <c r="K617" s="364"/>
      <c r="L617" s="364"/>
      <c r="M617" s="364"/>
      <c r="N617" s="364"/>
      <c r="O617" s="364"/>
      <c r="P617" s="364"/>
      <c r="Q617" s="364"/>
      <c r="R617" s="364"/>
      <c r="S617" s="364"/>
      <c r="T617" s="364"/>
      <c r="U617" s="364"/>
      <c r="V617" s="364"/>
      <c r="W617" s="364"/>
      <c r="X617" s="364"/>
      <c r="Y617" s="364"/>
      <c r="Z617" s="364"/>
    </row>
    <row r="618" spans="1:26" ht="15.75" customHeight="1" x14ac:dyDescent="0.25">
      <c r="A618" s="364"/>
      <c r="B618" s="364"/>
      <c r="C618" s="364"/>
      <c r="D618" s="364"/>
      <c r="E618" s="364"/>
      <c r="F618" s="364"/>
      <c r="G618" s="364"/>
      <c r="H618" s="364"/>
      <c r="I618" s="364"/>
      <c r="J618" s="364"/>
      <c r="K618" s="364"/>
      <c r="L618" s="364"/>
      <c r="M618" s="364"/>
      <c r="N618" s="364"/>
      <c r="O618" s="364"/>
      <c r="P618" s="364"/>
      <c r="Q618" s="364"/>
      <c r="R618" s="364"/>
      <c r="S618" s="364"/>
      <c r="T618" s="364"/>
      <c r="U618" s="364"/>
      <c r="V618" s="364"/>
      <c r="W618" s="364"/>
      <c r="X618" s="364"/>
      <c r="Y618" s="364"/>
      <c r="Z618" s="364"/>
    </row>
    <row r="619" spans="1:26" ht="15.75" customHeight="1" x14ac:dyDescent="0.25">
      <c r="A619" s="364"/>
      <c r="B619" s="364"/>
      <c r="C619" s="364"/>
      <c r="D619" s="364"/>
      <c r="E619" s="364"/>
      <c r="F619" s="364"/>
      <c r="G619" s="364"/>
      <c r="H619" s="364"/>
      <c r="I619" s="364"/>
      <c r="J619" s="364"/>
      <c r="K619" s="364"/>
      <c r="L619" s="364"/>
      <c r="M619" s="364"/>
      <c r="N619" s="364"/>
      <c r="O619" s="364"/>
      <c r="P619" s="364"/>
      <c r="Q619" s="364"/>
      <c r="R619" s="364"/>
      <c r="S619" s="364"/>
      <c r="T619" s="364"/>
      <c r="U619" s="364"/>
      <c r="V619" s="364"/>
      <c r="W619" s="364"/>
      <c r="X619" s="364"/>
      <c r="Y619" s="364"/>
      <c r="Z619" s="364"/>
    </row>
    <row r="620" spans="1:26" ht="15.75" customHeight="1" x14ac:dyDescent="0.25">
      <c r="A620" s="364"/>
      <c r="B620" s="364"/>
      <c r="C620" s="364"/>
      <c r="D620" s="364"/>
      <c r="E620" s="364"/>
      <c r="F620" s="364"/>
      <c r="G620" s="364"/>
      <c r="H620" s="364"/>
      <c r="I620" s="364"/>
      <c r="J620" s="364"/>
      <c r="K620" s="364"/>
      <c r="L620" s="364"/>
      <c r="M620" s="364"/>
      <c r="N620" s="364"/>
      <c r="O620" s="364"/>
      <c r="P620" s="364"/>
      <c r="Q620" s="364"/>
      <c r="R620" s="364"/>
      <c r="S620" s="364"/>
      <c r="T620" s="364"/>
      <c r="U620" s="364"/>
      <c r="V620" s="364"/>
      <c r="W620" s="364"/>
      <c r="X620" s="364"/>
      <c r="Y620" s="364"/>
      <c r="Z620" s="364"/>
    </row>
    <row r="621" spans="1:26" ht="15.75" customHeight="1" x14ac:dyDescent="0.25">
      <c r="A621" s="364"/>
      <c r="B621" s="364"/>
      <c r="C621" s="364"/>
      <c r="D621" s="364"/>
      <c r="E621" s="364"/>
      <c r="F621" s="364"/>
      <c r="G621" s="364"/>
      <c r="H621" s="364"/>
      <c r="I621" s="364"/>
      <c r="J621" s="364"/>
      <c r="K621" s="364"/>
      <c r="L621" s="364"/>
      <c r="M621" s="364"/>
      <c r="N621" s="364"/>
      <c r="O621" s="364"/>
      <c r="P621" s="364"/>
      <c r="Q621" s="364"/>
      <c r="R621" s="364"/>
      <c r="S621" s="364"/>
      <c r="T621" s="364"/>
      <c r="U621" s="364"/>
      <c r="V621" s="364"/>
      <c r="W621" s="364"/>
      <c r="X621" s="364"/>
      <c r="Y621" s="364"/>
      <c r="Z621" s="364"/>
    </row>
    <row r="622" spans="1:26" ht="15.75" customHeight="1" x14ac:dyDescent="0.25">
      <c r="A622" s="364"/>
      <c r="B622" s="364"/>
      <c r="C622" s="364"/>
      <c r="D622" s="364"/>
      <c r="E622" s="364"/>
      <c r="F622" s="364"/>
      <c r="G622" s="364"/>
      <c r="H622" s="364"/>
      <c r="I622" s="364"/>
      <c r="J622" s="364"/>
      <c r="K622" s="364"/>
      <c r="L622" s="364"/>
      <c r="M622" s="364"/>
      <c r="N622" s="364"/>
      <c r="O622" s="364"/>
      <c r="P622" s="364"/>
      <c r="Q622" s="364"/>
      <c r="R622" s="364"/>
      <c r="S622" s="364"/>
      <c r="T622" s="364"/>
      <c r="U622" s="364"/>
      <c r="V622" s="364"/>
      <c r="W622" s="364"/>
      <c r="X622" s="364"/>
      <c r="Y622" s="364"/>
      <c r="Z622" s="364"/>
    </row>
    <row r="623" spans="1:26" ht="15.75" customHeight="1" x14ac:dyDescent="0.25">
      <c r="A623" s="364"/>
      <c r="B623" s="364"/>
      <c r="C623" s="364"/>
      <c r="D623" s="364"/>
      <c r="E623" s="364"/>
      <c r="F623" s="364"/>
      <c r="G623" s="364"/>
      <c r="H623" s="364"/>
      <c r="I623" s="364"/>
      <c r="J623" s="364"/>
      <c r="K623" s="364"/>
      <c r="L623" s="364"/>
      <c r="M623" s="364"/>
      <c r="N623" s="364"/>
      <c r="O623" s="364"/>
      <c r="P623" s="364"/>
      <c r="Q623" s="364"/>
      <c r="R623" s="364"/>
      <c r="S623" s="364"/>
      <c r="T623" s="364"/>
      <c r="U623" s="364"/>
      <c r="V623" s="364"/>
      <c r="W623" s="364"/>
      <c r="X623" s="364"/>
      <c r="Y623" s="364"/>
      <c r="Z623" s="364"/>
    </row>
    <row r="624" spans="1:26" ht="15.75" customHeight="1" x14ac:dyDescent="0.25">
      <c r="A624" s="364"/>
      <c r="B624" s="364"/>
      <c r="C624" s="364"/>
      <c r="D624" s="364"/>
      <c r="E624" s="364"/>
      <c r="F624" s="364"/>
      <c r="G624" s="364"/>
      <c r="H624" s="364"/>
      <c r="I624" s="364"/>
      <c r="J624" s="364"/>
      <c r="K624" s="364"/>
      <c r="L624" s="364"/>
      <c r="M624" s="364"/>
      <c r="N624" s="364"/>
      <c r="O624" s="364"/>
      <c r="P624" s="364"/>
      <c r="Q624" s="364"/>
      <c r="R624" s="364"/>
      <c r="S624" s="364"/>
      <c r="T624" s="364"/>
      <c r="U624" s="364"/>
      <c r="V624" s="364"/>
      <c r="W624" s="364"/>
      <c r="X624" s="364"/>
      <c r="Y624" s="364"/>
      <c r="Z624" s="364"/>
    </row>
    <row r="625" spans="1:26" ht="15.75" customHeight="1" x14ac:dyDescent="0.25">
      <c r="A625" s="364"/>
      <c r="B625" s="364"/>
      <c r="C625" s="364"/>
      <c r="D625" s="364"/>
      <c r="E625" s="364"/>
      <c r="F625" s="364"/>
      <c r="G625" s="364"/>
      <c r="H625" s="364"/>
      <c r="I625" s="364"/>
      <c r="J625" s="364"/>
      <c r="K625" s="364"/>
      <c r="L625" s="364"/>
      <c r="M625" s="364"/>
      <c r="N625" s="364"/>
      <c r="O625" s="364"/>
      <c r="P625" s="364"/>
      <c r="Q625" s="364"/>
      <c r="R625" s="364"/>
      <c r="S625" s="364"/>
      <c r="T625" s="364"/>
      <c r="U625" s="364"/>
      <c r="V625" s="364"/>
      <c r="W625" s="364"/>
      <c r="X625" s="364"/>
      <c r="Y625" s="364"/>
      <c r="Z625" s="364"/>
    </row>
    <row r="626" spans="1:26" ht="15.75" customHeight="1" x14ac:dyDescent="0.25">
      <c r="A626" s="364"/>
      <c r="B626" s="364"/>
      <c r="C626" s="364"/>
      <c r="D626" s="364"/>
      <c r="E626" s="364"/>
      <c r="F626" s="364"/>
      <c r="G626" s="364"/>
      <c r="H626" s="364"/>
      <c r="I626" s="364"/>
      <c r="J626" s="364"/>
      <c r="K626" s="364"/>
      <c r="L626" s="364"/>
      <c r="M626" s="364"/>
      <c r="N626" s="364"/>
      <c r="O626" s="364"/>
      <c r="P626" s="364"/>
      <c r="Q626" s="364"/>
      <c r="R626" s="364"/>
      <c r="S626" s="364"/>
      <c r="T626" s="364"/>
      <c r="U626" s="364"/>
      <c r="V626" s="364"/>
      <c r="W626" s="364"/>
      <c r="X626" s="364"/>
      <c r="Y626" s="364"/>
      <c r="Z626" s="364"/>
    </row>
    <row r="627" spans="1:26" ht="15.75" customHeight="1" x14ac:dyDescent="0.25">
      <c r="A627" s="364"/>
      <c r="B627" s="364"/>
      <c r="C627" s="364"/>
      <c r="D627" s="364"/>
      <c r="E627" s="364"/>
      <c r="F627" s="364"/>
      <c r="G627" s="364"/>
      <c r="H627" s="364"/>
      <c r="I627" s="364"/>
      <c r="J627" s="364"/>
      <c r="K627" s="364"/>
      <c r="L627" s="364"/>
      <c r="M627" s="364"/>
      <c r="N627" s="364"/>
      <c r="O627" s="364"/>
      <c r="P627" s="364"/>
      <c r="Q627" s="364"/>
      <c r="R627" s="364"/>
      <c r="S627" s="364"/>
      <c r="T627" s="364"/>
      <c r="U627" s="364"/>
      <c r="V627" s="364"/>
      <c r="W627" s="364"/>
      <c r="X627" s="364"/>
      <c r="Y627" s="364"/>
      <c r="Z627" s="364"/>
    </row>
    <row r="628" spans="1:26" ht="15.75" customHeight="1" x14ac:dyDescent="0.25">
      <c r="A628" s="364"/>
      <c r="B628" s="364"/>
      <c r="C628" s="364"/>
      <c r="D628" s="364"/>
      <c r="E628" s="364"/>
      <c r="F628" s="364"/>
      <c r="G628" s="364"/>
      <c r="H628" s="364"/>
      <c r="I628" s="364"/>
      <c r="J628" s="364"/>
      <c r="K628" s="364"/>
      <c r="L628" s="364"/>
      <c r="M628" s="364"/>
      <c r="N628" s="364"/>
      <c r="O628" s="364"/>
      <c r="P628" s="364"/>
      <c r="Q628" s="364"/>
      <c r="R628" s="364"/>
      <c r="S628" s="364"/>
      <c r="T628" s="364"/>
      <c r="U628" s="364"/>
      <c r="V628" s="364"/>
      <c r="W628" s="364"/>
      <c r="X628" s="364"/>
      <c r="Y628" s="364"/>
      <c r="Z628" s="364"/>
    </row>
    <row r="629" spans="1:26" ht="15.75" customHeight="1" x14ac:dyDescent="0.25">
      <c r="A629" s="364"/>
      <c r="B629" s="364"/>
      <c r="C629" s="364"/>
      <c r="D629" s="364"/>
      <c r="E629" s="364"/>
      <c r="F629" s="364"/>
      <c r="G629" s="364"/>
      <c r="H629" s="364"/>
      <c r="I629" s="364"/>
      <c r="J629" s="364"/>
      <c r="K629" s="364"/>
      <c r="L629" s="364"/>
      <c r="M629" s="364"/>
      <c r="N629" s="364"/>
      <c r="O629" s="364"/>
      <c r="P629" s="364"/>
      <c r="Q629" s="364"/>
      <c r="R629" s="364"/>
      <c r="S629" s="364"/>
      <c r="T629" s="364"/>
      <c r="U629" s="364"/>
      <c r="V629" s="364"/>
      <c r="W629" s="364"/>
      <c r="X629" s="364"/>
      <c r="Y629" s="364"/>
      <c r="Z629" s="364"/>
    </row>
    <row r="630" spans="1:26" ht="15.75" customHeight="1" x14ac:dyDescent="0.25">
      <c r="A630" s="364"/>
      <c r="B630" s="364"/>
      <c r="C630" s="364"/>
      <c r="D630" s="364"/>
      <c r="E630" s="364"/>
      <c r="F630" s="364"/>
      <c r="G630" s="364"/>
      <c r="H630" s="364"/>
      <c r="I630" s="364"/>
      <c r="J630" s="364"/>
      <c r="K630" s="364"/>
      <c r="L630" s="364"/>
      <c r="M630" s="364"/>
      <c r="N630" s="364"/>
      <c r="O630" s="364"/>
      <c r="P630" s="364"/>
      <c r="Q630" s="364"/>
      <c r="R630" s="364"/>
      <c r="S630" s="364"/>
      <c r="T630" s="364"/>
      <c r="U630" s="364"/>
      <c r="V630" s="364"/>
      <c r="W630" s="364"/>
      <c r="X630" s="364"/>
      <c r="Y630" s="364"/>
      <c r="Z630" s="364"/>
    </row>
    <row r="631" spans="1:26" ht="15.75" customHeight="1" x14ac:dyDescent="0.25">
      <c r="A631" s="364"/>
      <c r="B631" s="364"/>
      <c r="C631" s="364"/>
      <c r="D631" s="364"/>
      <c r="E631" s="364"/>
      <c r="F631" s="364"/>
      <c r="G631" s="364"/>
      <c r="H631" s="364"/>
      <c r="I631" s="364"/>
      <c r="J631" s="364"/>
      <c r="K631" s="364"/>
      <c r="L631" s="364"/>
      <c r="M631" s="364"/>
      <c r="N631" s="364"/>
      <c r="O631" s="364"/>
      <c r="P631" s="364"/>
      <c r="Q631" s="364"/>
      <c r="R631" s="364"/>
      <c r="S631" s="364"/>
      <c r="T631" s="364"/>
      <c r="U631" s="364"/>
      <c r="V631" s="364"/>
      <c r="W631" s="364"/>
      <c r="X631" s="364"/>
      <c r="Y631" s="364"/>
      <c r="Z631" s="364"/>
    </row>
    <row r="632" spans="1:26" ht="15.75" customHeight="1" x14ac:dyDescent="0.25">
      <c r="A632" s="364"/>
      <c r="B632" s="364"/>
      <c r="C632" s="364"/>
      <c r="D632" s="364"/>
      <c r="E632" s="364"/>
      <c r="F632" s="364"/>
      <c r="G632" s="364"/>
      <c r="H632" s="364"/>
      <c r="I632" s="364"/>
      <c r="J632" s="364"/>
      <c r="K632" s="364"/>
      <c r="L632" s="364"/>
      <c r="M632" s="364"/>
      <c r="N632" s="364"/>
      <c r="O632" s="364"/>
      <c r="P632" s="364"/>
      <c r="Q632" s="364"/>
      <c r="R632" s="364"/>
      <c r="S632" s="364"/>
      <c r="T632" s="364"/>
      <c r="U632" s="364"/>
      <c r="V632" s="364"/>
      <c r="W632" s="364"/>
      <c r="X632" s="364"/>
      <c r="Y632" s="364"/>
      <c r="Z632" s="364"/>
    </row>
    <row r="633" spans="1:26" ht="15.75" customHeight="1" x14ac:dyDescent="0.25">
      <c r="A633" s="364"/>
      <c r="B633" s="364"/>
      <c r="C633" s="364"/>
      <c r="D633" s="364"/>
      <c r="E633" s="364"/>
      <c r="F633" s="364"/>
      <c r="G633" s="364"/>
      <c r="H633" s="364"/>
      <c r="I633" s="364"/>
      <c r="J633" s="364"/>
      <c r="K633" s="364"/>
      <c r="L633" s="364"/>
      <c r="M633" s="364"/>
      <c r="N633" s="364"/>
      <c r="O633" s="364"/>
      <c r="P633" s="364"/>
      <c r="Q633" s="364"/>
      <c r="R633" s="364"/>
      <c r="S633" s="364"/>
      <c r="T633" s="364"/>
      <c r="U633" s="364"/>
      <c r="V633" s="364"/>
      <c r="W633" s="364"/>
      <c r="X633" s="364"/>
      <c r="Y633" s="364"/>
      <c r="Z633" s="364"/>
    </row>
    <row r="634" spans="1:26" ht="15.75" customHeight="1" x14ac:dyDescent="0.25">
      <c r="A634" s="364"/>
      <c r="B634" s="364"/>
      <c r="C634" s="364"/>
      <c r="D634" s="364"/>
      <c r="E634" s="364"/>
      <c r="F634" s="364"/>
      <c r="G634" s="364"/>
      <c r="H634" s="364"/>
      <c r="I634" s="364"/>
      <c r="J634" s="364"/>
      <c r="K634" s="364"/>
      <c r="L634" s="364"/>
      <c r="M634" s="364"/>
      <c r="N634" s="364"/>
      <c r="O634" s="364"/>
      <c r="P634" s="364"/>
      <c r="Q634" s="364"/>
      <c r="R634" s="364"/>
      <c r="S634" s="364"/>
      <c r="T634" s="364"/>
      <c r="U634" s="364"/>
      <c r="V634" s="364"/>
      <c r="W634" s="364"/>
      <c r="X634" s="364"/>
      <c r="Y634" s="364"/>
      <c r="Z634" s="364"/>
    </row>
    <row r="635" spans="1:26" ht="15.75" customHeight="1" x14ac:dyDescent="0.25">
      <c r="A635" s="364"/>
      <c r="B635" s="364"/>
      <c r="C635" s="364"/>
      <c r="D635" s="364"/>
      <c r="E635" s="364"/>
      <c r="F635" s="364"/>
      <c r="G635" s="364"/>
      <c r="H635" s="364"/>
      <c r="I635" s="364"/>
      <c r="J635" s="364"/>
      <c r="K635" s="364"/>
      <c r="L635" s="364"/>
      <c r="M635" s="364"/>
      <c r="N635" s="364"/>
      <c r="O635" s="364"/>
      <c r="P635" s="364"/>
      <c r="Q635" s="364"/>
      <c r="R635" s="364"/>
      <c r="S635" s="364"/>
      <c r="T635" s="364"/>
      <c r="U635" s="364"/>
      <c r="V635" s="364"/>
      <c r="W635" s="364"/>
      <c r="X635" s="364"/>
      <c r="Y635" s="364"/>
      <c r="Z635" s="364"/>
    </row>
    <row r="636" spans="1:26" ht="15.75" customHeight="1" x14ac:dyDescent="0.25">
      <c r="A636" s="364"/>
      <c r="B636" s="364"/>
      <c r="C636" s="364"/>
      <c r="D636" s="364"/>
      <c r="E636" s="364"/>
      <c r="F636" s="364"/>
      <c r="G636" s="364"/>
      <c r="H636" s="364"/>
      <c r="I636" s="364"/>
      <c r="J636" s="364"/>
      <c r="K636" s="364"/>
      <c r="L636" s="364"/>
      <c r="M636" s="364"/>
      <c r="N636" s="364"/>
      <c r="O636" s="364"/>
      <c r="P636" s="364"/>
      <c r="Q636" s="364"/>
      <c r="R636" s="364"/>
      <c r="S636" s="364"/>
      <c r="T636" s="364"/>
      <c r="U636" s="364"/>
      <c r="V636" s="364"/>
      <c r="W636" s="364"/>
      <c r="X636" s="364"/>
      <c r="Y636" s="364"/>
      <c r="Z636" s="364"/>
    </row>
    <row r="637" spans="1:26" ht="15.75" customHeight="1" x14ac:dyDescent="0.25">
      <c r="A637" s="364"/>
      <c r="B637" s="364"/>
      <c r="C637" s="364"/>
      <c r="D637" s="364"/>
      <c r="E637" s="364"/>
      <c r="F637" s="364"/>
      <c r="G637" s="364"/>
      <c r="H637" s="364"/>
      <c r="I637" s="364"/>
      <c r="J637" s="364"/>
      <c r="K637" s="364"/>
      <c r="L637" s="364"/>
      <c r="M637" s="364"/>
      <c r="N637" s="364"/>
      <c r="O637" s="364"/>
      <c r="P637" s="364"/>
      <c r="Q637" s="364"/>
      <c r="R637" s="364"/>
      <c r="S637" s="364"/>
      <c r="T637" s="364"/>
      <c r="U637" s="364"/>
      <c r="V637" s="364"/>
      <c r="W637" s="364"/>
      <c r="X637" s="364"/>
      <c r="Y637" s="364"/>
      <c r="Z637" s="364"/>
    </row>
    <row r="638" spans="1:26" ht="15.75" customHeight="1" x14ac:dyDescent="0.25">
      <c r="A638" s="364"/>
      <c r="B638" s="364"/>
      <c r="C638" s="364"/>
      <c r="D638" s="364"/>
      <c r="E638" s="364"/>
      <c r="F638" s="364"/>
      <c r="G638" s="364"/>
      <c r="H638" s="364"/>
      <c r="I638" s="364"/>
      <c r="J638" s="364"/>
      <c r="K638" s="364"/>
      <c r="L638" s="364"/>
      <c r="M638" s="364"/>
      <c r="N638" s="364"/>
      <c r="O638" s="364"/>
      <c r="P638" s="364"/>
      <c r="Q638" s="364"/>
      <c r="R638" s="364"/>
      <c r="S638" s="364"/>
      <c r="T638" s="364"/>
      <c r="U638" s="364"/>
      <c r="V638" s="364"/>
      <c r="W638" s="364"/>
      <c r="X638" s="364"/>
      <c r="Y638" s="364"/>
      <c r="Z638" s="364"/>
    </row>
    <row r="639" spans="1:26" ht="15.75" customHeight="1" x14ac:dyDescent="0.25">
      <c r="A639" s="364"/>
      <c r="B639" s="364"/>
      <c r="C639" s="364"/>
      <c r="D639" s="364"/>
      <c r="E639" s="364"/>
      <c r="F639" s="364"/>
      <c r="G639" s="364"/>
      <c r="H639" s="364"/>
      <c r="I639" s="364"/>
      <c r="J639" s="364"/>
      <c r="K639" s="364"/>
      <c r="L639" s="364"/>
      <c r="M639" s="364"/>
      <c r="N639" s="364"/>
      <c r="O639" s="364"/>
      <c r="P639" s="364"/>
      <c r="Q639" s="364"/>
      <c r="R639" s="364"/>
      <c r="S639" s="364"/>
      <c r="T639" s="364"/>
      <c r="U639" s="364"/>
      <c r="V639" s="364"/>
      <c r="W639" s="364"/>
      <c r="X639" s="364"/>
      <c r="Y639" s="364"/>
      <c r="Z639" s="364"/>
    </row>
    <row r="640" spans="1:26" ht="15.75" customHeight="1" x14ac:dyDescent="0.25">
      <c r="A640" s="364"/>
      <c r="B640" s="364"/>
      <c r="C640" s="364"/>
      <c r="D640" s="364"/>
      <c r="E640" s="364"/>
      <c r="F640" s="364"/>
      <c r="G640" s="364"/>
      <c r="H640" s="364"/>
      <c r="I640" s="364"/>
      <c r="J640" s="364"/>
      <c r="K640" s="364"/>
      <c r="L640" s="364"/>
      <c r="M640" s="364"/>
      <c r="N640" s="364"/>
      <c r="O640" s="364"/>
      <c r="P640" s="364"/>
      <c r="Q640" s="364"/>
      <c r="R640" s="364"/>
      <c r="S640" s="364"/>
      <c r="T640" s="364"/>
      <c r="U640" s="364"/>
      <c r="V640" s="364"/>
      <c r="W640" s="364"/>
      <c r="X640" s="364"/>
      <c r="Y640" s="364"/>
      <c r="Z640" s="364"/>
    </row>
    <row r="641" spans="1:26" ht="15.75" customHeight="1" x14ac:dyDescent="0.25">
      <c r="A641" s="364"/>
      <c r="B641" s="364"/>
      <c r="C641" s="364"/>
      <c r="D641" s="364"/>
      <c r="E641" s="364"/>
      <c r="F641" s="364"/>
      <c r="G641" s="364"/>
      <c r="H641" s="364"/>
      <c r="I641" s="364"/>
      <c r="J641" s="364"/>
      <c r="K641" s="364"/>
      <c r="L641" s="364"/>
      <c r="M641" s="364"/>
      <c r="N641" s="364"/>
      <c r="O641" s="364"/>
      <c r="P641" s="364"/>
      <c r="Q641" s="364"/>
      <c r="R641" s="364"/>
      <c r="S641" s="364"/>
      <c r="T641" s="364"/>
      <c r="U641" s="364"/>
      <c r="V641" s="364"/>
      <c r="W641" s="364"/>
      <c r="X641" s="364"/>
      <c r="Y641" s="364"/>
      <c r="Z641" s="364"/>
    </row>
    <row r="642" spans="1:26" ht="15.75" customHeight="1" x14ac:dyDescent="0.25">
      <c r="A642" s="364"/>
      <c r="B642" s="364"/>
      <c r="C642" s="364"/>
      <c r="D642" s="364"/>
      <c r="E642" s="364"/>
      <c r="F642" s="364"/>
      <c r="G642" s="364"/>
      <c r="H642" s="364"/>
      <c r="I642" s="364"/>
      <c r="J642" s="364"/>
      <c r="K642" s="364"/>
      <c r="L642" s="364"/>
      <c r="M642" s="364"/>
      <c r="N642" s="364"/>
      <c r="O642" s="364"/>
      <c r="P642" s="364"/>
      <c r="Q642" s="364"/>
      <c r="R642" s="364"/>
      <c r="S642" s="364"/>
      <c r="T642" s="364"/>
      <c r="U642" s="364"/>
      <c r="V642" s="364"/>
      <c r="W642" s="364"/>
      <c r="X642" s="364"/>
      <c r="Y642" s="364"/>
      <c r="Z642" s="364"/>
    </row>
    <row r="643" spans="1:26" ht="15.75" customHeight="1" x14ac:dyDescent="0.25">
      <c r="A643" s="364"/>
      <c r="B643" s="364"/>
      <c r="C643" s="364"/>
      <c r="D643" s="364"/>
      <c r="E643" s="364"/>
      <c r="F643" s="364"/>
      <c r="G643" s="364"/>
      <c r="H643" s="364"/>
      <c r="I643" s="364"/>
      <c r="J643" s="364"/>
      <c r="K643" s="364"/>
      <c r="L643" s="364"/>
      <c r="M643" s="364"/>
      <c r="N643" s="364"/>
      <c r="O643" s="364"/>
      <c r="P643" s="364"/>
      <c r="Q643" s="364"/>
      <c r="R643" s="364"/>
      <c r="S643" s="364"/>
      <c r="T643" s="364"/>
      <c r="U643" s="364"/>
      <c r="V643" s="364"/>
      <c r="W643" s="364"/>
      <c r="X643" s="364"/>
      <c r="Y643" s="364"/>
      <c r="Z643" s="364"/>
    </row>
    <row r="644" spans="1:26" ht="15.75" customHeight="1" x14ac:dyDescent="0.25">
      <c r="A644" s="364"/>
      <c r="B644" s="364"/>
      <c r="C644" s="364"/>
      <c r="D644" s="364"/>
      <c r="E644" s="364"/>
      <c r="F644" s="364"/>
      <c r="G644" s="364"/>
      <c r="H644" s="364"/>
      <c r="I644" s="364"/>
      <c r="J644" s="364"/>
      <c r="K644" s="364"/>
      <c r="L644" s="364"/>
      <c r="M644" s="364"/>
      <c r="N644" s="364"/>
      <c r="O644" s="364"/>
      <c r="P644" s="364"/>
      <c r="Q644" s="364"/>
      <c r="R644" s="364"/>
      <c r="S644" s="364"/>
      <c r="T644" s="364"/>
      <c r="U644" s="364"/>
      <c r="V644" s="364"/>
      <c r="W644" s="364"/>
      <c r="X644" s="364"/>
      <c r="Y644" s="364"/>
      <c r="Z644" s="364"/>
    </row>
    <row r="645" spans="1:26" ht="15.75" customHeight="1" x14ac:dyDescent="0.25">
      <c r="A645" s="364"/>
      <c r="B645" s="364"/>
      <c r="C645" s="364"/>
      <c r="D645" s="364"/>
      <c r="E645" s="364"/>
      <c r="F645" s="364"/>
      <c r="G645" s="364"/>
      <c r="H645" s="364"/>
      <c r="I645" s="364"/>
      <c r="J645" s="364"/>
      <c r="K645" s="364"/>
      <c r="L645" s="364"/>
      <c r="M645" s="364"/>
      <c r="N645" s="364"/>
      <c r="O645" s="364"/>
      <c r="P645" s="364"/>
      <c r="Q645" s="364"/>
      <c r="R645" s="364"/>
      <c r="S645" s="364"/>
      <c r="T645" s="364"/>
      <c r="U645" s="364"/>
      <c r="V645" s="364"/>
      <c r="W645" s="364"/>
      <c r="X645" s="364"/>
      <c r="Y645" s="364"/>
      <c r="Z645" s="364"/>
    </row>
    <row r="646" spans="1:26" ht="15.75" customHeight="1" x14ac:dyDescent="0.25">
      <c r="A646" s="364"/>
      <c r="B646" s="364"/>
      <c r="C646" s="364"/>
      <c r="D646" s="364"/>
      <c r="E646" s="364"/>
      <c r="F646" s="364"/>
      <c r="G646" s="364"/>
      <c r="H646" s="364"/>
      <c r="I646" s="364"/>
      <c r="J646" s="364"/>
      <c r="K646" s="364"/>
      <c r="L646" s="364"/>
      <c r="M646" s="364"/>
      <c r="N646" s="364"/>
      <c r="O646" s="364"/>
      <c r="P646" s="364"/>
      <c r="Q646" s="364"/>
      <c r="R646" s="364"/>
      <c r="S646" s="364"/>
      <c r="T646" s="364"/>
      <c r="U646" s="364"/>
      <c r="V646" s="364"/>
      <c r="W646" s="364"/>
      <c r="X646" s="364"/>
      <c r="Y646" s="364"/>
      <c r="Z646" s="364"/>
    </row>
    <row r="647" spans="1:26" ht="15.75" customHeight="1" x14ac:dyDescent="0.25">
      <c r="A647" s="364"/>
      <c r="B647" s="364"/>
      <c r="C647" s="364"/>
      <c r="D647" s="364"/>
      <c r="E647" s="364"/>
      <c r="F647" s="364"/>
      <c r="G647" s="364"/>
      <c r="H647" s="364"/>
      <c r="I647" s="364"/>
      <c r="J647" s="364"/>
      <c r="K647" s="364"/>
      <c r="L647" s="364"/>
      <c r="M647" s="364"/>
      <c r="N647" s="364"/>
      <c r="O647" s="364"/>
      <c r="P647" s="364"/>
      <c r="Q647" s="364"/>
      <c r="R647" s="364"/>
      <c r="S647" s="364"/>
      <c r="T647" s="364"/>
      <c r="U647" s="364"/>
      <c r="V647" s="364"/>
      <c r="W647" s="364"/>
      <c r="X647" s="364"/>
      <c r="Y647" s="364"/>
      <c r="Z647" s="364"/>
    </row>
    <row r="648" spans="1:26" ht="15.75" customHeight="1" x14ac:dyDescent="0.25">
      <c r="A648" s="364"/>
      <c r="B648" s="364"/>
      <c r="C648" s="364"/>
      <c r="D648" s="364"/>
      <c r="E648" s="364"/>
      <c r="F648" s="364"/>
      <c r="G648" s="364"/>
      <c r="H648" s="364"/>
      <c r="I648" s="364"/>
      <c r="J648" s="364"/>
      <c r="K648" s="364"/>
      <c r="L648" s="364"/>
      <c r="M648" s="364"/>
      <c r="N648" s="364"/>
      <c r="O648" s="364"/>
      <c r="P648" s="364"/>
      <c r="Q648" s="364"/>
      <c r="R648" s="364"/>
      <c r="S648" s="364"/>
      <c r="T648" s="364"/>
      <c r="U648" s="364"/>
      <c r="V648" s="364"/>
      <c r="W648" s="364"/>
      <c r="X648" s="364"/>
      <c r="Y648" s="364"/>
      <c r="Z648" s="364"/>
    </row>
    <row r="649" spans="1:26" ht="15.75" customHeight="1" x14ac:dyDescent="0.25">
      <c r="A649" s="364"/>
      <c r="B649" s="364"/>
      <c r="C649" s="364"/>
      <c r="D649" s="364"/>
      <c r="E649" s="364"/>
      <c r="F649" s="364"/>
      <c r="G649" s="364"/>
      <c r="H649" s="364"/>
      <c r="I649" s="364"/>
      <c r="J649" s="364"/>
      <c r="K649" s="364"/>
      <c r="L649" s="364"/>
      <c r="M649" s="364"/>
      <c r="N649" s="364"/>
      <c r="O649" s="364"/>
      <c r="P649" s="364"/>
      <c r="Q649" s="364"/>
      <c r="R649" s="364"/>
      <c r="S649" s="364"/>
      <c r="T649" s="364"/>
      <c r="U649" s="364"/>
      <c r="V649" s="364"/>
      <c r="W649" s="364"/>
      <c r="X649" s="364"/>
      <c r="Y649" s="364"/>
      <c r="Z649" s="364"/>
    </row>
    <row r="650" spans="1:26" ht="15.75" customHeight="1" x14ac:dyDescent="0.25">
      <c r="A650" s="364"/>
      <c r="B650" s="364"/>
      <c r="C650" s="364"/>
      <c r="D650" s="364"/>
      <c r="E650" s="364"/>
      <c r="F650" s="364"/>
      <c r="G650" s="364"/>
      <c r="H650" s="364"/>
      <c r="I650" s="364"/>
      <c r="J650" s="364"/>
      <c r="K650" s="364"/>
      <c r="L650" s="364"/>
      <c r="M650" s="364"/>
      <c r="N650" s="364"/>
      <c r="O650" s="364"/>
      <c r="P650" s="364"/>
      <c r="Q650" s="364"/>
      <c r="R650" s="364"/>
      <c r="S650" s="364"/>
      <c r="T650" s="364"/>
      <c r="U650" s="364"/>
      <c r="V650" s="364"/>
      <c r="W650" s="364"/>
      <c r="X650" s="364"/>
      <c r="Y650" s="364"/>
      <c r="Z650" s="364"/>
    </row>
    <row r="651" spans="1:26" ht="15.75" customHeight="1" x14ac:dyDescent="0.25">
      <c r="A651" s="364"/>
      <c r="B651" s="364"/>
      <c r="C651" s="364"/>
      <c r="D651" s="364"/>
      <c r="E651" s="364"/>
      <c r="F651" s="364"/>
      <c r="G651" s="364"/>
      <c r="H651" s="364"/>
      <c r="I651" s="364"/>
      <c r="J651" s="364"/>
      <c r="K651" s="364"/>
      <c r="L651" s="364"/>
      <c r="M651" s="364"/>
      <c r="N651" s="364"/>
      <c r="O651" s="364"/>
      <c r="P651" s="364"/>
      <c r="Q651" s="364"/>
      <c r="R651" s="364"/>
      <c r="S651" s="364"/>
      <c r="T651" s="364"/>
      <c r="U651" s="364"/>
      <c r="V651" s="364"/>
      <c r="W651" s="364"/>
      <c r="X651" s="364"/>
      <c r="Y651" s="364"/>
      <c r="Z651" s="364"/>
    </row>
    <row r="652" spans="1:26" ht="15.75" customHeight="1" x14ac:dyDescent="0.25">
      <c r="A652" s="364"/>
      <c r="B652" s="364"/>
      <c r="C652" s="364"/>
      <c r="D652" s="364"/>
      <c r="E652" s="364"/>
      <c r="F652" s="364"/>
      <c r="G652" s="364"/>
      <c r="H652" s="364"/>
      <c r="I652" s="364"/>
      <c r="J652" s="364"/>
      <c r="K652" s="364"/>
      <c r="L652" s="364"/>
      <c r="M652" s="364"/>
      <c r="N652" s="364"/>
      <c r="O652" s="364"/>
      <c r="P652" s="364"/>
      <c r="Q652" s="364"/>
      <c r="R652" s="364"/>
      <c r="S652" s="364"/>
      <c r="T652" s="364"/>
      <c r="U652" s="364"/>
      <c r="V652" s="364"/>
      <c r="W652" s="364"/>
      <c r="X652" s="364"/>
      <c r="Y652" s="364"/>
      <c r="Z652" s="364"/>
    </row>
    <row r="653" spans="1:26" ht="15.75" customHeight="1" x14ac:dyDescent="0.25">
      <c r="A653" s="364"/>
      <c r="B653" s="364"/>
      <c r="C653" s="364"/>
      <c r="D653" s="364"/>
      <c r="E653" s="364"/>
      <c r="F653" s="364"/>
      <c r="G653" s="364"/>
      <c r="H653" s="364"/>
      <c r="I653" s="364"/>
      <c r="J653" s="364"/>
      <c r="K653" s="364"/>
      <c r="L653" s="364"/>
      <c r="M653" s="364"/>
      <c r="N653" s="364"/>
      <c r="O653" s="364"/>
      <c r="P653" s="364"/>
      <c r="Q653" s="364"/>
      <c r="R653" s="364"/>
      <c r="S653" s="364"/>
      <c r="T653" s="364"/>
      <c r="U653" s="364"/>
      <c r="V653" s="364"/>
      <c r="W653" s="364"/>
      <c r="X653" s="364"/>
      <c r="Y653" s="364"/>
      <c r="Z653" s="364"/>
    </row>
    <row r="654" spans="1:26" ht="15.75" customHeight="1" x14ac:dyDescent="0.25">
      <c r="A654" s="364"/>
      <c r="B654" s="364"/>
      <c r="C654" s="364"/>
      <c r="D654" s="364"/>
      <c r="E654" s="364"/>
      <c r="F654" s="364"/>
      <c r="G654" s="364"/>
      <c r="H654" s="364"/>
      <c r="I654" s="364"/>
      <c r="J654" s="364"/>
      <c r="K654" s="364"/>
      <c r="L654" s="364"/>
      <c r="M654" s="364"/>
      <c r="N654" s="364"/>
      <c r="O654" s="364"/>
      <c r="P654" s="364"/>
      <c r="Q654" s="364"/>
      <c r="R654" s="364"/>
      <c r="S654" s="364"/>
      <c r="T654" s="364"/>
      <c r="U654" s="364"/>
      <c r="V654" s="364"/>
      <c r="W654" s="364"/>
      <c r="X654" s="364"/>
      <c r="Y654" s="364"/>
      <c r="Z654" s="364"/>
    </row>
    <row r="655" spans="1:26" ht="15.75" customHeight="1" x14ac:dyDescent="0.25">
      <c r="A655" s="364"/>
      <c r="B655" s="364"/>
      <c r="C655" s="364"/>
      <c r="D655" s="364"/>
      <c r="E655" s="364"/>
      <c r="F655" s="364"/>
      <c r="G655" s="364"/>
      <c r="H655" s="364"/>
      <c r="I655" s="364"/>
      <c r="J655" s="364"/>
      <c r="K655" s="364"/>
      <c r="L655" s="364"/>
      <c r="M655" s="364"/>
      <c r="N655" s="364"/>
      <c r="O655" s="364"/>
      <c r="P655" s="364"/>
      <c r="Q655" s="364"/>
      <c r="R655" s="364"/>
      <c r="S655" s="364"/>
      <c r="T655" s="364"/>
      <c r="U655" s="364"/>
      <c r="V655" s="364"/>
      <c r="W655" s="364"/>
      <c r="X655" s="364"/>
      <c r="Y655" s="364"/>
      <c r="Z655" s="364"/>
    </row>
    <row r="656" spans="1:26" ht="15.75" customHeight="1" x14ac:dyDescent="0.25">
      <c r="A656" s="364"/>
      <c r="B656" s="364"/>
      <c r="C656" s="364"/>
      <c r="D656" s="364"/>
      <c r="E656" s="364"/>
      <c r="F656" s="364"/>
      <c r="G656" s="364"/>
      <c r="H656" s="364"/>
      <c r="I656" s="364"/>
      <c r="J656" s="364"/>
      <c r="K656" s="364"/>
      <c r="L656" s="364"/>
      <c r="M656" s="364"/>
      <c r="N656" s="364"/>
      <c r="O656" s="364"/>
      <c r="P656" s="364"/>
      <c r="Q656" s="364"/>
      <c r="R656" s="364"/>
      <c r="S656" s="364"/>
      <c r="T656" s="364"/>
      <c r="U656" s="364"/>
      <c r="V656" s="364"/>
      <c r="W656" s="364"/>
      <c r="X656" s="364"/>
      <c r="Y656" s="364"/>
      <c r="Z656" s="364"/>
    </row>
    <row r="657" spans="1:26" ht="15.75" customHeight="1" x14ac:dyDescent="0.25">
      <c r="A657" s="364"/>
      <c r="B657" s="364"/>
      <c r="C657" s="364"/>
      <c r="D657" s="364"/>
      <c r="E657" s="364"/>
      <c r="F657" s="364"/>
      <c r="G657" s="364"/>
      <c r="H657" s="364"/>
      <c r="I657" s="364"/>
      <c r="J657" s="364"/>
      <c r="K657" s="364"/>
      <c r="L657" s="364"/>
      <c r="M657" s="364"/>
      <c r="N657" s="364"/>
      <c r="O657" s="364"/>
      <c r="P657" s="364"/>
      <c r="Q657" s="364"/>
      <c r="R657" s="364"/>
      <c r="S657" s="364"/>
      <c r="T657" s="364"/>
      <c r="U657" s="364"/>
      <c r="V657" s="364"/>
      <c r="W657" s="364"/>
      <c r="X657" s="364"/>
      <c r="Y657" s="364"/>
      <c r="Z657" s="364"/>
    </row>
    <row r="658" spans="1:26" ht="15.75" customHeight="1" x14ac:dyDescent="0.25">
      <c r="A658" s="364"/>
      <c r="B658" s="364"/>
      <c r="C658" s="364"/>
      <c r="D658" s="364"/>
      <c r="E658" s="364"/>
      <c r="F658" s="364"/>
      <c r="G658" s="364"/>
      <c r="H658" s="364"/>
      <c r="I658" s="364"/>
      <c r="J658" s="364"/>
      <c r="K658" s="364"/>
      <c r="L658" s="364"/>
      <c r="M658" s="364"/>
      <c r="N658" s="364"/>
      <c r="O658" s="364"/>
      <c r="P658" s="364"/>
      <c r="Q658" s="364"/>
      <c r="R658" s="364"/>
      <c r="S658" s="364"/>
      <c r="T658" s="364"/>
      <c r="U658" s="364"/>
      <c r="V658" s="364"/>
      <c r="W658" s="364"/>
      <c r="X658" s="364"/>
      <c r="Y658" s="364"/>
      <c r="Z658" s="364"/>
    </row>
    <row r="659" spans="1:26" ht="15.75" customHeight="1" x14ac:dyDescent="0.25">
      <c r="A659" s="364"/>
      <c r="B659" s="364"/>
      <c r="C659" s="364"/>
      <c r="D659" s="364"/>
      <c r="E659" s="364"/>
      <c r="F659" s="364"/>
      <c r="G659" s="364"/>
      <c r="H659" s="364"/>
      <c r="I659" s="364"/>
      <c r="J659" s="364"/>
      <c r="K659" s="364"/>
      <c r="L659" s="364"/>
      <c r="M659" s="364"/>
      <c r="N659" s="364"/>
      <c r="O659" s="364"/>
      <c r="P659" s="364"/>
      <c r="Q659" s="364"/>
      <c r="R659" s="364"/>
      <c r="S659" s="364"/>
      <c r="T659" s="364"/>
      <c r="U659" s="364"/>
      <c r="V659" s="364"/>
      <c r="W659" s="364"/>
      <c r="X659" s="364"/>
      <c r="Y659" s="364"/>
      <c r="Z659" s="364"/>
    </row>
    <row r="660" spans="1:26" ht="15.75" customHeight="1" x14ac:dyDescent="0.25">
      <c r="A660" s="364"/>
      <c r="B660" s="364"/>
      <c r="C660" s="364"/>
      <c r="D660" s="364"/>
      <c r="E660" s="364"/>
      <c r="F660" s="364"/>
      <c r="G660" s="364"/>
      <c r="H660" s="364"/>
      <c r="I660" s="364"/>
      <c r="J660" s="364"/>
      <c r="K660" s="364"/>
      <c r="L660" s="364"/>
      <c r="M660" s="364"/>
      <c r="N660" s="364"/>
      <c r="O660" s="364"/>
      <c r="P660" s="364"/>
      <c r="Q660" s="364"/>
      <c r="R660" s="364"/>
      <c r="S660" s="364"/>
      <c r="T660" s="364"/>
      <c r="U660" s="364"/>
      <c r="V660" s="364"/>
      <c r="W660" s="364"/>
      <c r="X660" s="364"/>
      <c r="Y660" s="364"/>
      <c r="Z660" s="364"/>
    </row>
    <row r="661" spans="1:26" ht="15.75" customHeight="1" x14ac:dyDescent="0.25">
      <c r="A661" s="364"/>
      <c r="B661" s="364"/>
      <c r="C661" s="364"/>
      <c r="D661" s="364"/>
      <c r="E661" s="364"/>
      <c r="F661" s="364"/>
      <c r="G661" s="364"/>
      <c r="H661" s="364"/>
      <c r="I661" s="364"/>
      <c r="J661" s="364"/>
      <c r="K661" s="364"/>
      <c r="L661" s="364"/>
      <c r="M661" s="364"/>
      <c r="N661" s="364"/>
      <c r="O661" s="364"/>
      <c r="P661" s="364"/>
      <c r="Q661" s="364"/>
      <c r="R661" s="364"/>
      <c r="S661" s="364"/>
      <c r="T661" s="364"/>
      <c r="U661" s="364"/>
      <c r="V661" s="364"/>
      <c r="W661" s="364"/>
      <c r="X661" s="364"/>
      <c r="Y661" s="364"/>
      <c r="Z661" s="364"/>
    </row>
    <row r="662" spans="1:26" ht="15.75" customHeight="1" x14ac:dyDescent="0.25">
      <c r="A662" s="364"/>
      <c r="B662" s="364"/>
      <c r="C662" s="364"/>
      <c r="D662" s="364"/>
      <c r="E662" s="364"/>
      <c r="F662" s="364"/>
      <c r="G662" s="364"/>
      <c r="H662" s="364"/>
      <c r="I662" s="364"/>
      <c r="J662" s="364"/>
      <c r="K662" s="364"/>
      <c r="L662" s="364"/>
      <c r="M662" s="364"/>
      <c r="N662" s="364"/>
      <c r="O662" s="364"/>
      <c r="P662" s="364"/>
      <c r="Q662" s="364"/>
      <c r="R662" s="364"/>
      <c r="S662" s="364"/>
      <c r="T662" s="364"/>
      <c r="U662" s="364"/>
      <c r="V662" s="364"/>
      <c r="W662" s="364"/>
      <c r="X662" s="364"/>
      <c r="Y662" s="364"/>
      <c r="Z662" s="364"/>
    </row>
    <row r="663" spans="1:26" ht="15.75" customHeight="1" x14ac:dyDescent="0.25">
      <c r="A663" s="364"/>
      <c r="B663" s="364"/>
      <c r="C663" s="364"/>
      <c r="D663" s="364"/>
      <c r="E663" s="364"/>
      <c r="F663" s="364"/>
      <c r="G663" s="364"/>
      <c r="H663" s="364"/>
      <c r="I663" s="364"/>
      <c r="J663" s="364"/>
      <c r="K663" s="364"/>
      <c r="L663" s="364"/>
      <c r="M663" s="364"/>
      <c r="N663" s="364"/>
      <c r="O663" s="364"/>
      <c r="P663" s="364"/>
      <c r="Q663" s="364"/>
      <c r="R663" s="364"/>
      <c r="S663" s="364"/>
      <c r="T663" s="364"/>
      <c r="U663" s="364"/>
      <c r="V663" s="364"/>
      <c r="W663" s="364"/>
      <c r="X663" s="364"/>
      <c r="Y663" s="364"/>
      <c r="Z663" s="364"/>
    </row>
    <row r="664" spans="1:26" ht="15.75" customHeight="1" x14ac:dyDescent="0.25">
      <c r="A664" s="364"/>
      <c r="B664" s="364"/>
      <c r="C664" s="364"/>
      <c r="D664" s="364"/>
      <c r="E664" s="364"/>
      <c r="F664" s="364"/>
      <c r="G664" s="364"/>
      <c r="H664" s="364"/>
      <c r="I664" s="364"/>
      <c r="J664" s="364"/>
      <c r="K664" s="364"/>
      <c r="L664" s="364"/>
      <c r="M664" s="364"/>
      <c r="N664" s="364"/>
      <c r="O664" s="364"/>
      <c r="P664" s="364"/>
      <c r="Q664" s="364"/>
      <c r="R664" s="364"/>
      <c r="S664" s="364"/>
      <c r="T664" s="364"/>
      <c r="U664" s="364"/>
      <c r="V664" s="364"/>
      <c r="W664" s="364"/>
      <c r="X664" s="364"/>
      <c r="Y664" s="364"/>
      <c r="Z664" s="364"/>
    </row>
    <row r="665" spans="1:26" ht="15.75" customHeight="1" x14ac:dyDescent="0.25">
      <c r="A665" s="364"/>
      <c r="B665" s="364"/>
      <c r="C665" s="364"/>
      <c r="D665" s="364"/>
      <c r="E665" s="364"/>
      <c r="F665" s="364"/>
      <c r="G665" s="364"/>
      <c r="H665" s="364"/>
      <c r="I665" s="364"/>
      <c r="J665" s="364"/>
      <c r="K665" s="364"/>
      <c r="L665" s="364"/>
      <c r="M665" s="364"/>
      <c r="N665" s="364"/>
      <c r="O665" s="364"/>
      <c r="P665" s="364"/>
      <c r="Q665" s="364"/>
      <c r="R665" s="364"/>
      <c r="S665" s="364"/>
      <c r="T665" s="364"/>
      <c r="U665" s="364"/>
      <c r="V665" s="364"/>
      <c r="W665" s="364"/>
      <c r="X665" s="364"/>
      <c r="Y665" s="364"/>
      <c r="Z665" s="364"/>
    </row>
    <row r="666" spans="1:26" ht="15.75" customHeight="1" x14ac:dyDescent="0.25">
      <c r="A666" s="364"/>
      <c r="B666" s="364"/>
      <c r="C666" s="364"/>
      <c r="D666" s="364"/>
      <c r="E666" s="364"/>
      <c r="F666" s="364"/>
      <c r="G666" s="364"/>
      <c r="H666" s="364"/>
      <c r="I666" s="364"/>
      <c r="J666" s="364"/>
      <c r="K666" s="364"/>
      <c r="L666" s="364"/>
      <c r="M666" s="364"/>
      <c r="N666" s="364"/>
      <c r="O666" s="364"/>
      <c r="P666" s="364"/>
      <c r="Q666" s="364"/>
      <c r="R666" s="364"/>
      <c r="S666" s="364"/>
      <c r="T666" s="364"/>
      <c r="U666" s="364"/>
      <c r="V666" s="364"/>
      <c r="W666" s="364"/>
      <c r="X666" s="364"/>
      <c r="Y666" s="364"/>
      <c r="Z666" s="364"/>
    </row>
    <row r="667" spans="1:26" ht="15.75" customHeight="1" x14ac:dyDescent="0.25">
      <c r="A667" s="364"/>
      <c r="B667" s="364"/>
      <c r="C667" s="364"/>
      <c r="D667" s="364"/>
      <c r="E667" s="364"/>
      <c r="F667" s="364"/>
      <c r="G667" s="364"/>
      <c r="H667" s="364"/>
      <c r="I667" s="364"/>
      <c r="J667" s="364"/>
      <c r="K667" s="364"/>
      <c r="L667" s="364"/>
      <c r="M667" s="364"/>
      <c r="N667" s="364"/>
      <c r="O667" s="364"/>
      <c r="P667" s="364"/>
      <c r="Q667" s="364"/>
      <c r="R667" s="364"/>
      <c r="S667" s="364"/>
      <c r="T667" s="364"/>
      <c r="U667" s="364"/>
      <c r="V667" s="364"/>
      <c r="W667" s="364"/>
      <c r="X667" s="364"/>
      <c r="Y667" s="364"/>
      <c r="Z667" s="364"/>
    </row>
    <row r="668" spans="1:26" ht="15.75" customHeight="1" x14ac:dyDescent="0.25">
      <c r="A668" s="364"/>
      <c r="B668" s="364"/>
      <c r="C668" s="364"/>
      <c r="D668" s="364"/>
      <c r="E668" s="364"/>
      <c r="F668" s="364"/>
      <c r="G668" s="364"/>
      <c r="H668" s="364"/>
      <c r="I668" s="364"/>
      <c r="J668" s="364"/>
      <c r="K668" s="364"/>
      <c r="L668" s="364"/>
      <c r="M668" s="364"/>
      <c r="N668" s="364"/>
      <c r="O668" s="364"/>
      <c r="P668" s="364"/>
      <c r="Q668" s="364"/>
      <c r="R668" s="364"/>
      <c r="S668" s="364"/>
      <c r="T668" s="364"/>
      <c r="U668" s="364"/>
      <c r="V668" s="364"/>
      <c r="W668" s="364"/>
      <c r="X668" s="364"/>
      <c r="Y668" s="364"/>
      <c r="Z668" s="364"/>
    </row>
    <row r="669" spans="1:26" ht="15.75" customHeight="1" x14ac:dyDescent="0.25">
      <c r="A669" s="364"/>
      <c r="B669" s="364"/>
      <c r="C669" s="364"/>
      <c r="D669" s="364"/>
      <c r="E669" s="364"/>
      <c r="F669" s="364"/>
      <c r="G669" s="364"/>
      <c r="H669" s="364"/>
      <c r="I669" s="364"/>
      <c r="J669" s="364"/>
      <c r="K669" s="364"/>
      <c r="L669" s="364"/>
      <c r="M669" s="364"/>
      <c r="N669" s="364"/>
      <c r="O669" s="364"/>
      <c r="P669" s="364"/>
      <c r="Q669" s="364"/>
      <c r="R669" s="364"/>
      <c r="S669" s="364"/>
      <c r="T669" s="364"/>
      <c r="U669" s="364"/>
      <c r="V669" s="364"/>
      <c r="W669" s="364"/>
      <c r="X669" s="364"/>
      <c r="Y669" s="364"/>
      <c r="Z669" s="364"/>
    </row>
    <row r="670" spans="1:26" ht="15.75" customHeight="1" x14ac:dyDescent="0.25">
      <c r="A670" s="364"/>
      <c r="B670" s="364"/>
      <c r="C670" s="364"/>
      <c r="D670" s="364"/>
      <c r="E670" s="364"/>
      <c r="F670" s="364"/>
      <c r="G670" s="364"/>
      <c r="H670" s="364"/>
      <c r="I670" s="364"/>
      <c r="J670" s="364"/>
      <c r="K670" s="364"/>
      <c r="L670" s="364"/>
      <c r="M670" s="364"/>
      <c r="N670" s="364"/>
      <c r="O670" s="364"/>
      <c r="P670" s="364"/>
      <c r="Q670" s="364"/>
      <c r="R670" s="364"/>
      <c r="S670" s="364"/>
      <c r="T670" s="364"/>
      <c r="U670" s="364"/>
      <c r="V670" s="364"/>
      <c r="W670" s="364"/>
      <c r="X670" s="364"/>
      <c r="Y670" s="364"/>
      <c r="Z670" s="364"/>
    </row>
    <row r="671" spans="1:26" ht="15.75" customHeight="1" x14ac:dyDescent="0.25">
      <c r="A671" s="364"/>
      <c r="B671" s="364"/>
      <c r="C671" s="364"/>
      <c r="D671" s="364"/>
      <c r="E671" s="364"/>
      <c r="F671" s="364"/>
      <c r="G671" s="364"/>
      <c r="H671" s="364"/>
      <c r="I671" s="364"/>
      <c r="J671" s="364"/>
      <c r="K671" s="364"/>
      <c r="L671" s="364"/>
      <c r="M671" s="364"/>
      <c r="N671" s="364"/>
      <c r="O671" s="364"/>
      <c r="P671" s="364"/>
      <c r="Q671" s="364"/>
      <c r="R671" s="364"/>
      <c r="S671" s="364"/>
      <c r="T671" s="364"/>
      <c r="U671" s="364"/>
      <c r="V671" s="364"/>
      <c r="W671" s="364"/>
      <c r="X671" s="364"/>
      <c r="Y671" s="364"/>
      <c r="Z671" s="364"/>
    </row>
    <row r="672" spans="1:26" ht="15.75" customHeight="1" x14ac:dyDescent="0.25">
      <c r="A672" s="364"/>
      <c r="B672" s="364"/>
      <c r="C672" s="364"/>
      <c r="D672" s="364"/>
      <c r="E672" s="364"/>
      <c r="F672" s="364"/>
      <c r="G672" s="364"/>
      <c r="H672" s="364"/>
      <c r="I672" s="364"/>
      <c r="J672" s="364"/>
      <c r="K672" s="364"/>
      <c r="L672" s="364"/>
      <c r="M672" s="364"/>
      <c r="N672" s="364"/>
      <c r="O672" s="364"/>
      <c r="P672" s="364"/>
      <c r="Q672" s="364"/>
      <c r="R672" s="364"/>
      <c r="S672" s="364"/>
      <c r="T672" s="364"/>
      <c r="U672" s="364"/>
      <c r="V672" s="364"/>
      <c r="W672" s="364"/>
      <c r="X672" s="364"/>
      <c r="Y672" s="364"/>
      <c r="Z672" s="364"/>
    </row>
    <row r="673" spans="1:26" ht="15.75" customHeight="1" x14ac:dyDescent="0.25">
      <c r="A673" s="364"/>
      <c r="B673" s="364"/>
      <c r="C673" s="364"/>
      <c r="D673" s="364"/>
      <c r="E673" s="364"/>
      <c r="F673" s="364"/>
      <c r="G673" s="364"/>
      <c r="H673" s="364"/>
      <c r="I673" s="364"/>
      <c r="J673" s="364"/>
      <c r="K673" s="364"/>
      <c r="L673" s="364"/>
      <c r="M673" s="364"/>
      <c r="N673" s="364"/>
      <c r="O673" s="364"/>
      <c r="P673" s="364"/>
      <c r="Q673" s="364"/>
      <c r="R673" s="364"/>
      <c r="S673" s="364"/>
      <c r="T673" s="364"/>
      <c r="U673" s="364"/>
      <c r="V673" s="364"/>
      <c r="W673" s="364"/>
      <c r="X673" s="364"/>
      <c r="Y673" s="364"/>
      <c r="Z673" s="364"/>
    </row>
    <row r="674" spans="1:26" ht="15.75" customHeight="1" x14ac:dyDescent="0.25">
      <c r="A674" s="364"/>
      <c r="B674" s="364"/>
      <c r="C674" s="364"/>
      <c r="D674" s="364"/>
      <c r="E674" s="364"/>
      <c r="F674" s="364"/>
      <c r="G674" s="364"/>
      <c r="H674" s="364"/>
      <c r="I674" s="364"/>
      <c r="J674" s="364"/>
      <c r="K674" s="364"/>
      <c r="L674" s="364"/>
      <c r="M674" s="364"/>
      <c r="N674" s="364"/>
      <c r="O674" s="364"/>
      <c r="P674" s="364"/>
      <c r="Q674" s="364"/>
      <c r="R674" s="364"/>
      <c r="S674" s="364"/>
      <c r="T674" s="364"/>
      <c r="U674" s="364"/>
      <c r="V674" s="364"/>
      <c r="W674" s="364"/>
      <c r="X674" s="364"/>
      <c r="Y674" s="364"/>
      <c r="Z674" s="364"/>
    </row>
    <row r="675" spans="1:26" ht="15.75" customHeight="1" x14ac:dyDescent="0.25">
      <c r="A675" s="364"/>
      <c r="B675" s="364"/>
      <c r="C675" s="364"/>
      <c r="D675" s="364"/>
      <c r="E675" s="364"/>
      <c r="F675" s="364"/>
      <c r="G675" s="364"/>
      <c r="H675" s="364"/>
      <c r="I675" s="364"/>
      <c r="J675" s="364"/>
      <c r="K675" s="364"/>
      <c r="L675" s="364"/>
      <c r="M675" s="364"/>
      <c r="N675" s="364"/>
      <c r="O675" s="364"/>
      <c r="P675" s="364"/>
      <c r="Q675" s="364"/>
      <c r="R675" s="364"/>
      <c r="S675" s="364"/>
      <c r="T675" s="364"/>
      <c r="U675" s="364"/>
      <c r="V675" s="364"/>
      <c r="W675" s="364"/>
      <c r="X675" s="364"/>
      <c r="Y675" s="364"/>
      <c r="Z675" s="364"/>
    </row>
    <row r="676" spans="1:26" ht="15.75" customHeight="1" x14ac:dyDescent="0.25">
      <c r="A676" s="364"/>
      <c r="B676" s="364"/>
      <c r="C676" s="364"/>
      <c r="D676" s="364"/>
      <c r="E676" s="364"/>
      <c r="F676" s="364"/>
      <c r="G676" s="364"/>
      <c r="H676" s="364"/>
      <c r="I676" s="364"/>
      <c r="J676" s="364"/>
      <c r="K676" s="364"/>
      <c r="L676" s="364"/>
      <c r="M676" s="364"/>
      <c r="N676" s="364"/>
      <c r="O676" s="364"/>
      <c r="P676" s="364"/>
      <c r="Q676" s="364"/>
      <c r="R676" s="364"/>
      <c r="S676" s="364"/>
      <c r="T676" s="364"/>
      <c r="U676" s="364"/>
      <c r="V676" s="364"/>
      <c r="W676" s="364"/>
      <c r="X676" s="364"/>
      <c r="Y676" s="364"/>
      <c r="Z676" s="364"/>
    </row>
    <row r="677" spans="1:26" ht="15.75" customHeight="1" x14ac:dyDescent="0.25">
      <c r="A677" s="364"/>
      <c r="B677" s="364"/>
      <c r="C677" s="364"/>
      <c r="D677" s="364"/>
      <c r="E677" s="364"/>
      <c r="F677" s="364"/>
      <c r="G677" s="364"/>
      <c r="H677" s="364"/>
      <c r="I677" s="364"/>
      <c r="J677" s="364"/>
      <c r="K677" s="364"/>
      <c r="L677" s="364"/>
      <c r="M677" s="364"/>
      <c r="N677" s="364"/>
      <c r="O677" s="364"/>
      <c r="P677" s="364"/>
      <c r="Q677" s="364"/>
      <c r="R677" s="364"/>
      <c r="S677" s="364"/>
      <c r="T677" s="364"/>
      <c r="U677" s="364"/>
      <c r="V677" s="364"/>
      <c r="W677" s="364"/>
      <c r="X677" s="364"/>
      <c r="Y677" s="364"/>
      <c r="Z677" s="364"/>
    </row>
    <row r="678" spans="1:26" ht="15.75" customHeight="1" x14ac:dyDescent="0.25">
      <c r="A678" s="364"/>
      <c r="B678" s="364"/>
      <c r="C678" s="364"/>
      <c r="D678" s="364"/>
      <c r="E678" s="364"/>
      <c r="F678" s="364"/>
      <c r="G678" s="364"/>
      <c r="H678" s="364"/>
      <c r="I678" s="364"/>
      <c r="J678" s="364"/>
      <c r="K678" s="364"/>
      <c r="L678" s="364"/>
      <c r="M678" s="364"/>
      <c r="N678" s="364"/>
      <c r="O678" s="364"/>
      <c r="P678" s="364"/>
      <c r="Q678" s="364"/>
      <c r="R678" s="364"/>
      <c r="S678" s="364"/>
      <c r="T678" s="364"/>
      <c r="U678" s="364"/>
      <c r="V678" s="364"/>
      <c r="W678" s="364"/>
      <c r="X678" s="364"/>
      <c r="Y678" s="364"/>
      <c r="Z678" s="364"/>
    </row>
    <row r="679" spans="1:26" ht="15.75" customHeight="1" x14ac:dyDescent="0.25">
      <c r="A679" s="364"/>
      <c r="B679" s="364"/>
      <c r="C679" s="364"/>
      <c r="D679" s="364"/>
      <c r="E679" s="364"/>
      <c r="F679" s="364"/>
      <c r="G679" s="364"/>
      <c r="H679" s="364"/>
      <c r="I679" s="364"/>
      <c r="J679" s="364"/>
      <c r="K679" s="364"/>
      <c r="L679" s="364"/>
      <c r="M679" s="364"/>
      <c r="N679" s="364"/>
      <c r="O679" s="364"/>
      <c r="P679" s="364"/>
      <c r="Q679" s="364"/>
      <c r="R679" s="364"/>
      <c r="S679" s="364"/>
      <c r="T679" s="364"/>
      <c r="U679" s="364"/>
      <c r="V679" s="364"/>
      <c r="W679" s="364"/>
      <c r="X679" s="364"/>
      <c r="Y679" s="364"/>
      <c r="Z679" s="364"/>
    </row>
    <row r="680" spans="1:26" ht="15.75" customHeight="1" x14ac:dyDescent="0.25">
      <c r="A680" s="364"/>
      <c r="B680" s="364"/>
      <c r="C680" s="364"/>
      <c r="D680" s="364"/>
      <c r="E680" s="364"/>
      <c r="F680" s="364"/>
      <c r="G680" s="364"/>
      <c r="H680" s="364"/>
      <c r="I680" s="364"/>
      <c r="J680" s="364"/>
      <c r="K680" s="364"/>
      <c r="L680" s="364"/>
      <c r="M680" s="364"/>
      <c r="N680" s="364"/>
      <c r="O680" s="364"/>
      <c r="P680" s="364"/>
      <c r="Q680" s="364"/>
      <c r="R680" s="364"/>
      <c r="S680" s="364"/>
      <c r="T680" s="364"/>
      <c r="U680" s="364"/>
      <c r="V680" s="364"/>
      <c r="W680" s="364"/>
      <c r="X680" s="364"/>
      <c r="Y680" s="364"/>
      <c r="Z680" s="364"/>
    </row>
    <row r="681" spans="1:26" ht="15.75" customHeight="1" x14ac:dyDescent="0.25">
      <c r="A681" s="364"/>
      <c r="B681" s="364"/>
      <c r="C681" s="364"/>
      <c r="D681" s="364"/>
      <c r="E681" s="364"/>
      <c r="F681" s="364"/>
      <c r="G681" s="364"/>
      <c r="H681" s="364"/>
      <c r="I681" s="364"/>
      <c r="J681" s="364"/>
      <c r="K681" s="364"/>
      <c r="L681" s="364"/>
      <c r="M681" s="364"/>
      <c r="N681" s="364"/>
      <c r="O681" s="364"/>
      <c r="P681" s="364"/>
      <c r="Q681" s="364"/>
      <c r="R681" s="364"/>
      <c r="S681" s="364"/>
      <c r="T681" s="364"/>
      <c r="U681" s="364"/>
      <c r="V681" s="364"/>
      <c r="W681" s="364"/>
      <c r="X681" s="364"/>
      <c r="Y681" s="364"/>
      <c r="Z681" s="364"/>
    </row>
    <row r="682" spans="1:26" ht="15.75" customHeight="1" x14ac:dyDescent="0.25">
      <c r="A682" s="364"/>
      <c r="B682" s="364"/>
      <c r="C682" s="364"/>
      <c r="D682" s="364"/>
      <c r="E682" s="364"/>
      <c r="F682" s="364"/>
      <c r="G682" s="364"/>
      <c r="H682" s="364"/>
      <c r="I682" s="364"/>
      <c r="J682" s="364"/>
      <c r="K682" s="364"/>
      <c r="L682" s="364"/>
      <c r="M682" s="364"/>
      <c r="N682" s="364"/>
      <c r="O682" s="364"/>
      <c r="P682" s="364"/>
      <c r="Q682" s="364"/>
      <c r="R682" s="364"/>
      <c r="S682" s="364"/>
      <c r="T682" s="364"/>
      <c r="U682" s="364"/>
      <c r="V682" s="364"/>
      <c r="W682" s="364"/>
      <c r="X682" s="364"/>
      <c r="Y682" s="364"/>
      <c r="Z682" s="364"/>
    </row>
    <row r="683" spans="1:26" ht="15.75" customHeight="1" x14ac:dyDescent="0.25">
      <c r="A683" s="364"/>
      <c r="B683" s="364"/>
      <c r="C683" s="364"/>
      <c r="D683" s="364"/>
      <c r="E683" s="364"/>
      <c r="F683" s="364"/>
      <c r="G683" s="364"/>
      <c r="H683" s="364"/>
      <c r="I683" s="364"/>
      <c r="J683" s="364"/>
      <c r="K683" s="364"/>
      <c r="L683" s="364"/>
      <c r="M683" s="364"/>
      <c r="N683" s="364"/>
      <c r="O683" s="364"/>
      <c r="P683" s="364"/>
      <c r="Q683" s="364"/>
      <c r="R683" s="364"/>
      <c r="S683" s="364"/>
      <c r="T683" s="364"/>
      <c r="U683" s="364"/>
      <c r="V683" s="364"/>
      <c r="W683" s="364"/>
      <c r="X683" s="364"/>
      <c r="Y683" s="364"/>
      <c r="Z683" s="364"/>
    </row>
    <row r="684" spans="1:26" ht="15.75" customHeight="1" x14ac:dyDescent="0.25">
      <c r="A684" s="364"/>
      <c r="B684" s="364"/>
      <c r="C684" s="364"/>
      <c r="D684" s="364"/>
      <c r="E684" s="364"/>
      <c r="F684" s="364"/>
      <c r="G684" s="364"/>
      <c r="H684" s="364"/>
      <c r="I684" s="364"/>
      <c r="J684" s="364"/>
      <c r="K684" s="364"/>
      <c r="L684" s="364"/>
      <c r="M684" s="364"/>
      <c r="N684" s="364"/>
      <c r="O684" s="364"/>
      <c r="P684" s="364"/>
      <c r="Q684" s="364"/>
      <c r="R684" s="364"/>
      <c r="S684" s="364"/>
      <c r="T684" s="364"/>
      <c r="U684" s="364"/>
      <c r="V684" s="364"/>
      <c r="W684" s="364"/>
      <c r="X684" s="364"/>
      <c r="Y684" s="364"/>
      <c r="Z684" s="364"/>
    </row>
    <row r="685" spans="1:26" ht="15.75" customHeight="1" x14ac:dyDescent="0.25">
      <c r="A685" s="364"/>
      <c r="B685" s="364"/>
      <c r="C685" s="364"/>
      <c r="D685" s="364"/>
      <c r="E685" s="364"/>
      <c r="F685" s="364"/>
      <c r="G685" s="364"/>
      <c r="H685" s="364"/>
      <c r="I685" s="364"/>
      <c r="J685" s="364"/>
      <c r="K685" s="364"/>
      <c r="L685" s="364"/>
      <c r="M685" s="364"/>
      <c r="N685" s="364"/>
      <c r="O685" s="364"/>
      <c r="P685" s="364"/>
      <c r="Q685" s="364"/>
      <c r="R685" s="364"/>
      <c r="S685" s="364"/>
      <c r="T685" s="364"/>
      <c r="U685" s="364"/>
      <c r="V685" s="364"/>
      <c r="W685" s="364"/>
      <c r="X685" s="364"/>
      <c r="Y685" s="364"/>
      <c r="Z685" s="364"/>
    </row>
    <row r="686" spans="1:26" ht="15.75" customHeight="1" x14ac:dyDescent="0.25">
      <c r="A686" s="364"/>
      <c r="B686" s="364"/>
      <c r="C686" s="364"/>
      <c r="D686" s="364"/>
      <c r="E686" s="364"/>
      <c r="F686" s="364"/>
      <c r="G686" s="364"/>
      <c r="H686" s="364"/>
      <c r="I686" s="364"/>
      <c r="J686" s="364"/>
      <c r="K686" s="364"/>
      <c r="L686" s="364"/>
      <c r="M686" s="364"/>
      <c r="N686" s="364"/>
      <c r="O686" s="364"/>
      <c r="P686" s="364"/>
      <c r="Q686" s="364"/>
      <c r="R686" s="364"/>
      <c r="S686" s="364"/>
      <c r="T686" s="364"/>
      <c r="U686" s="364"/>
      <c r="V686" s="364"/>
      <c r="W686" s="364"/>
      <c r="X686" s="364"/>
      <c r="Y686" s="364"/>
      <c r="Z686" s="364"/>
    </row>
    <row r="687" spans="1:26" ht="15.75" customHeight="1" x14ac:dyDescent="0.25">
      <c r="A687" s="364"/>
      <c r="B687" s="364"/>
      <c r="C687" s="364"/>
      <c r="D687" s="364"/>
      <c r="E687" s="364"/>
      <c r="F687" s="364"/>
      <c r="G687" s="364"/>
      <c r="H687" s="364"/>
      <c r="I687" s="364"/>
      <c r="J687" s="364"/>
      <c r="K687" s="364"/>
      <c r="L687" s="364"/>
      <c r="M687" s="364"/>
      <c r="N687" s="364"/>
      <c r="O687" s="364"/>
      <c r="P687" s="364"/>
      <c r="Q687" s="364"/>
      <c r="R687" s="364"/>
      <c r="S687" s="364"/>
      <c r="T687" s="364"/>
      <c r="U687" s="364"/>
      <c r="V687" s="364"/>
      <c r="W687" s="364"/>
      <c r="X687" s="364"/>
      <c r="Y687" s="364"/>
      <c r="Z687" s="364"/>
    </row>
    <row r="688" spans="1:26" ht="15.75" customHeight="1" x14ac:dyDescent="0.25">
      <c r="A688" s="364"/>
      <c r="B688" s="364"/>
      <c r="C688" s="364"/>
      <c r="D688" s="364"/>
      <c r="E688" s="364"/>
      <c r="F688" s="364"/>
      <c r="G688" s="364"/>
      <c r="H688" s="364"/>
      <c r="I688" s="364"/>
      <c r="J688" s="364"/>
      <c r="K688" s="364"/>
      <c r="L688" s="364"/>
      <c r="M688" s="364"/>
      <c r="N688" s="364"/>
      <c r="O688" s="364"/>
      <c r="P688" s="364"/>
      <c r="Q688" s="364"/>
      <c r="R688" s="364"/>
      <c r="S688" s="364"/>
      <c r="T688" s="364"/>
      <c r="U688" s="364"/>
      <c r="V688" s="364"/>
      <c r="W688" s="364"/>
      <c r="X688" s="364"/>
      <c r="Y688" s="364"/>
      <c r="Z688" s="364"/>
    </row>
    <row r="689" spans="1:26" ht="15.75" customHeight="1" x14ac:dyDescent="0.25">
      <c r="A689" s="364"/>
      <c r="B689" s="364"/>
      <c r="C689" s="364"/>
      <c r="D689" s="364"/>
      <c r="E689" s="364"/>
      <c r="F689" s="364"/>
      <c r="G689" s="364"/>
      <c r="H689" s="364"/>
      <c r="I689" s="364"/>
      <c r="J689" s="364"/>
      <c r="K689" s="364"/>
      <c r="L689" s="364"/>
      <c r="M689" s="364"/>
      <c r="N689" s="364"/>
      <c r="O689" s="364"/>
      <c r="P689" s="364"/>
      <c r="Q689" s="364"/>
      <c r="R689" s="364"/>
      <c r="S689" s="364"/>
      <c r="T689" s="364"/>
      <c r="U689" s="364"/>
      <c r="V689" s="364"/>
      <c r="W689" s="364"/>
      <c r="X689" s="364"/>
      <c r="Y689" s="364"/>
      <c r="Z689" s="364"/>
    </row>
    <row r="690" spans="1:26" ht="15.75" customHeight="1" x14ac:dyDescent="0.25">
      <c r="A690" s="364"/>
      <c r="B690" s="364"/>
      <c r="C690" s="364"/>
      <c r="D690" s="364"/>
      <c r="E690" s="364"/>
      <c r="F690" s="364"/>
      <c r="G690" s="364"/>
      <c r="H690" s="364"/>
      <c r="I690" s="364"/>
      <c r="J690" s="364"/>
      <c r="K690" s="364"/>
      <c r="L690" s="364"/>
      <c r="M690" s="364"/>
      <c r="N690" s="364"/>
      <c r="O690" s="364"/>
      <c r="P690" s="364"/>
      <c r="Q690" s="364"/>
      <c r="R690" s="364"/>
      <c r="S690" s="364"/>
      <c r="T690" s="364"/>
      <c r="U690" s="364"/>
      <c r="V690" s="364"/>
      <c r="W690" s="364"/>
      <c r="X690" s="364"/>
      <c r="Y690" s="364"/>
      <c r="Z690" s="364"/>
    </row>
    <row r="691" spans="1:26" ht="15.75" customHeight="1" x14ac:dyDescent="0.25">
      <c r="A691" s="364"/>
      <c r="B691" s="364"/>
      <c r="C691" s="364"/>
      <c r="D691" s="364"/>
      <c r="E691" s="364"/>
      <c r="F691" s="364"/>
      <c r="G691" s="364"/>
      <c r="H691" s="364"/>
      <c r="I691" s="364"/>
      <c r="J691" s="364"/>
      <c r="K691" s="364"/>
      <c r="L691" s="364"/>
      <c r="M691" s="364"/>
      <c r="N691" s="364"/>
      <c r="O691" s="364"/>
      <c r="P691" s="364"/>
      <c r="Q691" s="364"/>
      <c r="R691" s="364"/>
      <c r="S691" s="364"/>
      <c r="T691" s="364"/>
      <c r="U691" s="364"/>
      <c r="V691" s="364"/>
      <c r="W691" s="364"/>
      <c r="X691" s="364"/>
      <c r="Y691" s="364"/>
      <c r="Z691" s="364"/>
    </row>
    <row r="692" spans="1:26" ht="15.75" customHeight="1" x14ac:dyDescent="0.25">
      <c r="A692" s="364"/>
      <c r="B692" s="364"/>
      <c r="C692" s="364"/>
      <c r="D692" s="364"/>
      <c r="E692" s="364"/>
      <c r="F692" s="364"/>
      <c r="G692" s="364"/>
      <c r="H692" s="364"/>
      <c r="I692" s="364"/>
      <c r="J692" s="364"/>
      <c r="K692" s="364"/>
      <c r="L692" s="364"/>
      <c r="M692" s="364"/>
      <c r="N692" s="364"/>
      <c r="O692" s="364"/>
      <c r="P692" s="364"/>
      <c r="Q692" s="364"/>
      <c r="R692" s="364"/>
      <c r="S692" s="364"/>
      <c r="T692" s="364"/>
      <c r="U692" s="364"/>
      <c r="V692" s="364"/>
      <c r="W692" s="364"/>
      <c r="X692" s="364"/>
      <c r="Y692" s="364"/>
      <c r="Z692" s="364"/>
    </row>
    <row r="693" spans="1:26" ht="15.75" customHeight="1" x14ac:dyDescent="0.25">
      <c r="A693" s="364"/>
      <c r="B693" s="364"/>
      <c r="C693" s="364"/>
      <c r="D693" s="364"/>
      <c r="E693" s="364"/>
      <c r="F693" s="364"/>
      <c r="G693" s="364"/>
      <c r="H693" s="364"/>
      <c r="I693" s="364"/>
      <c r="J693" s="364"/>
      <c r="K693" s="364"/>
      <c r="L693" s="364"/>
      <c r="M693" s="364"/>
      <c r="N693" s="364"/>
      <c r="O693" s="364"/>
      <c r="P693" s="364"/>
      <c r="Q693" s="364"/>
      <c r="R693" s="364"/>
      <c r="S693" s="364"/>
      <c r="T693" s="364"/>
      <c r="U693" s="364"/>
      <c r="V693" s="364"/>
      <c r="W693" s="364"/>
      <c r="X693" s="364"/>
      <c r="Y693" s="364"/>
      <c r="Z693" s="364"/>
    </row>
    <row r="694" spans="1:26" ht="15.75" customHeight="1" x14ac:dyDescent="0.25">
      <c r="A694" s="364"/>
      <c r="B694" s="364"/>
      <c r="C694" s="364"/>
      <c r="D694" s="364"/>
      <c r="E694" s="364"/>
      <c r="F694" s="364"/>
      <c r="G694" s="364"/>
      <c r="H694" s="364"/>
      <c r="I694" s="364"/>
      <c r="J694" s="364"/>
      <c r="K694" s="364"/>
      <c r="L694" s="364"/>
      <c r="M694" s="364"/>
      <c r="N694" s="364"/>
      <c r="O694" s="364"/>
      <c r="P694" s="364"/>
      <c r="Q694" s="364"/>
      <c r="R694" s="364"/>
      <c r="S694" s="364"/>
      <c r="T694" s="364"/>
      <c r="U694" s="364"/>
      <c r="V694" s="364"/>
      <c r="W694" s="364"/>
      <c r="X694" s="364"/>
      <c r="Y694" s="364"/>
      <c r="Z694" s="364"/>
    </row>
    <row r="695" spans="1:26" ht="15.75" customHeight="1" x14ac:dyDescent="0.25">
      <c r="A695" s="364"/>
      <c r="B695" s="364"/>
      <c r="C695" s="364"/>
      <c r="D695" s="364"/>
      <c r="E695" s="364"/>
      <c r="F695" s="364"/>
      <c r="G695" s="364"/>
      <c r="H695" s="364"/>
      <c r="I695" s="364"/>
      <c r="J695" s="364"/>
      <c r="K695" s="364"/>
      <c r="L695" s="364"/>
      <c r="M695" s="364"/>
      <c r="N695" s="364"/>
      <c r="O695" s="364"/>
      <c r="P695" s="364"/>
      <c r="Q695" s="364"/>
      <c r="R695" s="364"/>
      <c r="S695" s="364"/>
      <c r="T695" s="364"/>
      <c r="U695" s="364"/>
      <c r="V695" s="364"/>
      <c r="W695" s="364"/>
      <c r="X695" s="364"/>
      <c r="Y695" s="364"/>
      <c r="Z695" s="364"/>
    </row>
    <row r="696" spans="1:26" ht="15.75" customHeight="1" x14ac:dyDescent="0.25">
      <c r="A696" s="364"/>
      <c r="B696" s="364"/>
      <c r="C696" s="364"/>
      <c r="D696" s="364"/>
      <c r="E696" s="364"/>
      <c r="F696" s="364"/>
      <c r="G696" s="364"/>
      <c r="H696" s="364"/>
      <c r="I696" s="364"/>
      <c r="J696" s="364"/>
      <c r="K696" s="364"/>
      <c r="L696" s="364"/>
      <c r="M696" s="364"/>
      <c r="N696" s="364"/>
      <c r="O696" s="364"/>
      <c r="P696" s="364"/>
      <c r="Q696" s="364"/>
      <c r="R696" s="364"/>
      <c r="S696" s="364"/>
      <c r="T696" s="364"/>
      <c r="U696" s="364"/>
      <c r="V696" s="364"/>
      <c r="W696" s="364"/>
      <c r="X696" s="364"/>
      <c r="Y696" s="364"/>
      <c r="Z696" s="364"/>
    </row>
    <row r="697" spans="1:26" ht="15.75" customHeight="1" x14ac:dyDescent="0.25">
      <c r="A697" s="364"/>
      <c r="B697" s="364"/>
      <c r="C697" s="364"/>
      <c r="D697" s="364"/>
      <c r="E697" s="364"/>
      <c r="F697" s="364"/>
      <c r="G697" s="364"/>
      <c r="H697" s="364"/>
      <c r="I697" s="364"/>
      <c r="J697" s="364"/>
      <c r="K697" s="364"/>
      <c r="L697" s="364"/>
      <c r="M697" s="364"/>
      <c r="N697" s="364"/>
      <c r="O697" s="364"/>
      <c r="P697" s="364"/>
      <c r="Q697" s="364"/>
      <c r="R697" s="364"/>
      <c r="S697" s="364"/>
      <c r="T697" s="364"/>
      <c r="U697" s="364"/>
      <c r="V697" s="364"/>
      <c r="W697" s="364"/>
      <c r="X697" s="364"/>
      <c r="Y697" s="364"/>
      <c r="Z697" s="364"/>
    </row>
    <row r="698" spans="1:26" ht="15.75" customHeight="1" x14ac:dyDescent="0.25">
      <c r="A698" s="364"/>
      <c r="B698" s="364"/>
      <c r="C698" s="364"/>
      <c r="D698" s="364"/>
      <c r="E698" s="364"/>
      <c r="F698" s="364"/>
      <c r="G698" s="364"/>
      <c r="H698" s="364"/>
      <c r="I698" s="364"/>
      <c r="J698" s="364"/>
      <c r="K698" s="364"/>
      <c r="L698" s="364"/>
      <c r="M698" s="364"/>
      <c r="N698" s="364"/>
      <c r="O698" s="364"/>
      <c r="P698" s="364"/>
      <c r="Q698" s="364"/>
      <c r="R698" s="364"/>
      <c r="S698" s="364"/>
      <c r="T698" s="364"/>
      <c r="U698" s="364"/>
      <c r="V698" s="364"/>
      <c r="W698" s="364"/>
      <c r="X698" s="364"/>
      <c r="Y698" s="364"/>
      <c r="Z698" s="364"/>
    </row>
    <row r="699" spans="1:26" ht="15.75" customHeight="1" x14ac:dyDescent="0.25">
      <c r="A699" s="364"/>
      <c r="B699" s="364"/>
      <c r="C699" s="364"/>
      <c r="D699" s="364"/>
      <c r="E699" s="364"/>
      <c r="F699" s="364"/>
      <c r="G699" s="364"/>
      <c r="H699" s="364"/>
      <c r="I699" s="364"/>
      <c r="J699" s="364"/>
      <c r="K699" s="364"/>
      <c r="L699" s="364"/>
      <c r="M699" s="364"/>
      <c r="N699" s="364"/>
      <c r="O699" s="364"/>
      <c r="P699" s="364"/>
      <c r="Q699" s="364"/>
      <c r="R699" s="364"/>
      <c r="S699" s="364"/>
      <c r="T699" s="364"/>
      <c r="U699" s="364"/>
      <c r="V699" s="364"/>
      <c r="W699" s="364"/>
      <c r="X699" s="364"/>
      <c r="Y699" s="364"/>
      <c r="Z699" s="364"/>
    </row>
    <row r="700" spans="1:26" ht="15.75" customHeight="1" x14ac:dyDescent="0.25">
      <c r="A700" s="364"/>
      <c r="B700" s="364"/>
      <c r="C700" s="364"/>
      <c r="D700" s="364"/>
      <c r="E700" s="364"/>
      <c r="F700" s="364"/>
      <c r="G700" s="364"/>
      <c r="H700" s="364"/>
      <c r="I700" s="364"/>
      <c r="J700" s="364"/>
      <c r="K700" s="364"/>
      <c r="L700" s="364"/>
      <c r="M700" s="364"/>
      <c r="N700" s="364"/>
      <c r="O700" s="364"/>
      <c r="P700" s="364"/>
      <c r="Q700" s="364"/>
      <c r="R700" s="364"/>
      <c r="S700" s="364"/>
      <c r="T700" s="364"/>
      <c r="U700" s="364"/>
      <c r="V700" s="364"/>
      <c r="W700" s="364"/>
      <c r="X700" s="364"/>
      <c r="Y700" s="364"/>
      <c r="Z700" s="364"/>
    </row>
    <row r="701" spans="1:26" ht="15.75" customHeight="1" x14ac:dyDescent="0.25">
      <c r="A701" s="364"/>
      <c r="B701" s="364"/>
      <c r="C701" s="364"/>
      <c r="D701" s="364"/>
      <c r="E701" s="364"/>
      <c r="F701" s="364"/>
      <c r="G701" s="364"/>
      <c r="H701" s="364"/>
      <c r="I701" s="364"/>
      <c r="J701" s="364"/>
      <c r="K701" s="364"/>
      <c r="L701" s="364"/>
      <c r="M701" s="364"/>
      <c r="N701" s="364"/>
      <c r="O701" s="364"/>
      <c r="P701" s="364"/>
      <c r="Q701" s="364"/>
      <c r="R701" s="364"/>
      <c r="S701" s="364"/>
      <c r="T701" s="364"/>
      <c r="U701" s="364"/>
      <c r="V701" s="364"/>
      <c r="W701" s="364"/>
      <c r="X701" s="364"/>
      <c r="Y701" s="364"/>
      <c r="Z701" s="364"/>
    </row>
    <row r="702" spans="1:26" ht="15.75" customHeight="1" x14ac:dyDescent="0.25">
      <c r="A702" s="364"/>
      <c r="B702" s="364"/>
      <c r="C702" s="364"/>
      <c r="D702" s="364"/>
      <c r="E702" s="364"/>
      <c r="F702" s="364"/>
      <c r="G702" s="364"/>
      <c r="H702" s="364"/>
      <c r="I702" s="364"/>
      <c r="J702" s="364"/>
      <c r="K702" s="364"/>
      <c r="L702" s="364"/>
      <c r="M702" s="364"/>
      <c r="N702" s="364"/>
      <c r="O702" s="364"/>
      <c r="P702" s="364"/>
      <c r="Q702" s="364"/>
      <c r="R702" s="364"/>
      <c r="S702" s="364"/>
      <c r="T702" s="364"/>
      <c r="U702" s="364"/>
      <c r="V702" s="364"/>
      <c r="W702" s="364"/>
      <c r="X702" s="364"/>
      <c r="Y702" s="364"/>
      <c r="Z702" s="364"/>
    </row>
    <row r="703" spans="1:26" ht="15.75" customHeight="1" x14ac:dyDescent="0.25">
      <c r="A703" s="364"/>
      <c r="B703" s="364"/>
      <c r="C703" s="364"/>
      <c r="D703" s="364"/>
      <c r="E703" s="364"/>
      <c r="F703" s="364"/>
      <c r="G703" s="364"/>
      <c r="H703" s="364"/>
      <c r="I703" s="364"/>
      <c r="J703" s="364"/>
      <c r="K703" s="364"/>
      <c r="L703" s="364"/>
      <c r="M703" s="364"/>
      <c r="N703" s="364"/>
      <c r="O703" s="364"/>
      <c r="P703" s="364"/>
      <c r="Q703" s="364"/>
      <c r="R703" s="364"/>
      <c r="S703" s="364"/>
      <c r="T703" s="364"/>
      <c r="U703" s="364"/>
      <c r="V703" s="364"/>
      <c r="W703" s="364"/>
      <c r="X703" s="364"/>
      <c r="Y703" s="364"/>
      <c r="Z703" s="364"/>
    </row>
    <row r="704" spans="1:26" ht="15.75" customHeight="1" x14ac:dyDescent="0.25">
      <c r="A704" s="364"/>
      <c r="B704" s="364"/>
      <c r="C704" s="364"/>
      <c r="D704" s="364"/>
      <c r="E704" s="364"/>
      <c r="F704" s="364"/>
      <c r="G704" s="364"/>
      <c r="H704" s="364"/>
      <c r="I704" s="364"/>
      <c r="J704" s="364"/>
      <c r="K704" s="364"/>
      <c r="L704" s="364"/>
      <c r="M704" s="364"/>
      <c r="N704" s="364"/>
      <c r="O704" s="364"/>
      <c r="P704" s="364"/>
      <c r="Q704" s="364"/>
      <c r="R704" s="364"/>
      <c r="S704" s="364"/>
      <c r="T704" s="364"/>
      <c r="U704" s="364"/>
      <c r="V704" s="364"/>
      <c r="W704" s="364"/>
      <c r="X704" s="364"/>
      <c r="Y704" s="364"/>
      <c r="Z704" s="364"/>
    </row>
    <row r="705" spans="1:26" ht="15.75" customHeight="1" x14ac:dyDescent="0.25">
      <c r="A705" s="364"/>
      <c r="B705" s="364"/>
      <c r="C705" s="364"/>
      <c r="D705" s="364"/>
      <c r="E705" s="364"/>
      <c r="F705" s="364"/>
      <c r="G705" s="364"/>
      <c r="H705" s="364"/>
      <c r="I705" s="364"/>
      <c r="J705" s="364"/>
      <c r="K705" s="364"/>
      <c r="L705" s="364"/>
      <c r="M705" s="364"/>
      <c r="N705" s="364"/>
      <c r="O705" s="364"/>
      <c r="P705" s="364"/>
      <c r="Q705" s="364"/>
      <c r="R705" s="364"/>
      <c r="S705" s="364"/>
      <c r="T705" s="364"/>
      <c r="U705" s="364"/>
      <c r="V705" s="364"/>
      <c r="W705" s="364"/>
      <c r="X705" s="364"/>
      <c r="Y705" s="364"/>
      <c r="Z705" s="364"/>
    </row>
    <row r="706" spans="1:26" ht="15.75" customHeight="1" x14ac:dyDescent="0.25">
      <c r="A706" s="364"/>
      <c r="B706" s="364"/>
      <c r="C706" s="364"/>
      <c r="D706" s="364"/>
      <c r="E706" s="364"/>
      <c r="F706" s="364"/>
      <c r="G706" s="364"/>
      <c r="H706" s="364"/>
      <c r="I706" s="364"/>
      <c r="J706" s="364"/>
      <c r="K706" s="364"/>
      <c r="L706" s="364"/>
      <c r="M706" s="364"/>
      <c r="N706" s="364"/>
      <c r="O706" s="364"/>
      <c r="P706" s="364"/>
      <c r="Q706" s="364"/>
      <c r="R706" s="364"/>
      <c r="S706" s="364"/>
      <c r="T706" s="364"/>
      <c r="U706" s="364"/>
      <c r="V706" s="364"/>
      <c r="W706" s="364"/>
      <c r="X706" s="364"/>
      <c r="Y706" s="364"/>
      <c r="Z706" s="364"/>
    </row>
    <row r="707" spans="1:26" ht="15.75" customHeight="1" x14ac:dyDescent="0.25">
      <c r="A707" s="364"/>
      <c r="B707" s="364"/>
      <c r="C707" s="364"/>
      <c r="D707" s="364"/>
      <c r="E707" s="364"/>
      <c r="F707" s="364"/>
      <c r="G707" s="364"/>
      <c r="H707" s="364"/>
      <c r="I707" s="364"/>
      <c r="J707" s="364"/>
      <c r="K707" s="364"/>
      <c r="L707" s="364"/>
      <c r="M707" s="364"/>
      <c r="N707" s="364"/>
      <c r="O707" s="364"/>
      <c r="P707" s="364"/>
      <c r="Q707" s="364"/>
      <c r="R707" s="364"/>
      <c r="S707" s="364"/>
      <c r="T707" s="364"/>
      <c r="U707" s="364"/>
      <c r="V707" s="364"/>
      <c r="W707" s="364"/>
      <c r="X707" s="364"/>
      <c r="Y707" s="364"/>
      <c r="Z707" s="364"/>
    </row>
    <row r="708" spans="1:26" ht="15.75" customHeight="1" x14ac:dyDescent="0.25">
      <c r="A708" s="364"/>
      <c r="B708" s="364"/>
      <c r="C708" s="364"/>
      <c r="D708" s="364"/>
      <c r="E708" s="364"/>
      <c r="F708" s="364"/>
      <c r="G708" s="364"/>
      <c r="H708" s="364"/>
      <c r="I708" s="364"/>
      <c r="J708" s="364"/>
      <c r="K708" s="364"/>
      <c r="L708" s="364"/>
      <c r="M708" s="364"/>
      <c r="N708" s="364"/>
      <c r="O708" s="364"/>
      <c r="P708" s="364"/>
      <c r="Q708" s="364"/>
      <c r="R708" s="364"/>
      <c r="S708" s="364"/>
      <c r="T708" s="364"/>
      <c r="U708" s="364"/>
      <c r="V708" s="364"/>
      <c r="W708" s="364"/>
      <c r="X708" s="364"/>
      <c r="Y708" s="364"/>
      <c r="Z708" s="364"/>
    </row>
    <row r="709" spans="1:26" ht="15.75" customHeight="1" x14ac:dyDescent="0.25">
      <c r="A709" s="364"/>
      <c r="B709" s="364"/>
      <c r="C709" s="364"/>
      <c r="D709" s="364"/>
      <c r="E709" s="364"/>
      <c r="F709" s="364"/>
      <c r="G709" s="364"/>
      <c r="H709" s="364"/>
      <c r="I709" s="364"/>
      <c r="J709" s="364"/>
      <c r="K709" s="364"/>
      <c r="L709" s="364"/>
      <c r="M709" s="364"/>
      <c r="N709" s="364"/>
      <c r="O709" s="364"/>
      <c r="P709" s="364"/>
      <c r="Q709" s="364"/>
      <c r="R709" s="364"/>
      <c r="S709" s="364"/>
      <c r="T709" s="364"/>
      <c r="U709" s="364"/>
      <c r="V709" s="364"/>
      <c r="W709" s="364"/>
      <c r="X709" s="364"/>
      <c r="Y709" s="364"/>
      <c r="Z709" s="364"/>
    </row>
    <row r="710" spans="1:26" ht="15.75" customHeight="1" x14ac:dyDescent="0.25">
      <c r="A710" s="364"/>
      <c r="B710" s="364"/>
      <c r="C710" s="364"/>
      <c r="D710" s="364"/>
      <c r="E710" s="364"/>
      <c r="F710" s="364"/>
      <c r="G710" s="364"/>
      <c r="H710" s="364"/>
      <c r="I710" s="364"/>
      <c r="J710" s="364"/>
      <c r="K710" s="364"/>
      <c r="L710" s="364"/>
      <c r="M710" s="364"/>
      <c r="N710" s="364"/>
      <c r="O710" s="364"/>
      <c r="P710" s="364"/>
      <c r="Q710" s="364"/>
      <c r="R710" s="364"/>
      <c r="S710" s="364"/>
      <c r="T710" s="364"/>
      <c r="U710" s="364"/>
      <c r="V710" s="364"/>
      <c r="W710" s="364"/>
      <c r="X710" s="364"/>
      <c r="Y710" s="364"/>
      <c r="Z710" s="364"/>
    </row>
    <row r="711" spans="1:26" ht="15.75" customHeight="1" x14ac:dyDescent="0.25">
      <c r="A711" s="364"/>
      <c r="B711" s="364"/>
      <c r="C711" s="364"/>
      <c r="D711" s="364"/>
      <c r="E711" s="364"/>
      <c r="F711" s="364"/>
      <c r="G711" s="364"/>
      <c r="H711" s="364"/>
      <c r="I711" s="364"/>
      <c r="J711" s="364"/>
      <c r="K711" s="364"/>
      <c r="L711" s="364"/>
      <c r="M711" s="364"/>
      <c r="N711" s="364"/>
      <c r="O711" s="364"/>
      <c r="P711" s="364"/>
      <c r="Q711" s="364"/>
      <c r="R711" s="364"/>
      <c r="S711" s="364"/>
      <c r="T711" s="364"/>
      <c r="U711" s="364"/>
      <c r="V711" s="364"/>
      <c r="W711" s="364"/>
      <c r="X711" s="364"/>
      <c r="Y711" s="364"/>
      <c r="Z711" s="364"/>
    </row>
    <row r="712" spans="1:26" ht="15.75" customHeight="1" x14ac:dyDescent="0.25">
      <c r="A712" s="364"/>
      <c r="B712" s="364"/>
      <c r="C712" s="364"/>
      <c r="D712" s="364"/>
      <c r="E712" s="364"/>
      <c r="F712" s="364"/>
      <c r="G712" s="364"/>
      <c r="H712" s="364"/>
      <c r="I712" s="364"/>
      <c r="J712" s="364"/>
      <c r="K712" s="364"/>
      <c r="L712" s="364"/>
      <c r="M712" s="364"/>
      <c r="N712" s="364"/>
      <c r="O712" s="364"/>
      <c r="P712" s="364"/>
      <c r="Q712" s="364"/>
      <c r="R712" s="364"/>
      <c r="S712" s="364"/>
      <c r="T712" s="364"/>
      <c r="U712" s="364"/>
      <c r="V712" s="364"/>
      <c r="W712" s="364"/>
      <c r="X712" s="364"/>
      <c r="Y712" s="364"/>
      <c r="Z712" s="364"/>
    </row>
    <row r="713" spans="1:26" ht="15.75" customHeight="1" x14ac:dyDescent="0.25">
      <c r="A713" s="364"/>
      <c r="B713" s="364"/>
      <c r="C713" s="364"/>
      <c r="D713" s="364"/>
      <c r="E713" s="364"/>
      <c r="F713" s="364"/>
      <c r="G713" s="364"/>
      <c r="H713" s="364"/>
      <c r="I713" s="364"/>
      <c r="J713" s="364"/>
      <c r="K713" s="364"/>
      <c r="L713" s="364"/>
      <c r="M713" s="364"/>
      <c r="N713" s="364"/>
      <c r="O713" s="364"/>
      <c r="P713" s="364"/>
      <c r="Q713" s="364"/>
      <c r="R713" s="364"/>
      <c r="S713" s="364"/>
      <c r="T713" s="364"/>
      <c r="U713" s="364"/>
      <c r="V713" s="364"/>
      <c r="W713" s="364"/>
      <c r="X713" s="364"/>
      <c r="Y713" s="364"/>
      <c r="Z713" s="364"/>
    </row>
    <row r="714" spans="1:26" ht="15.75" customHeight="1" x14ac:dyDescent="0.25">
      <c r="A714" s="364"/>
      <c r="B714" s="364"/>
      <c r="C714" s="364"/>
      <c r="D714" s="364"/>
      <c r="E714" s="364"/>
      <c r="F714" s="364"/>
      <c r="G714" s="364"/>
      <c r="H714" s="364"/>
      <c r="I714" s="364"/>
      <c r="J714" s="364"/>
      <c r="K714" s="364"/>
      <c r="L714" s="364"/>
      <c r="M714" s="364"/>
      <c r="N714" s="364"/>
      <c r="O714" s="364"/>
      <c r="P714" s="364"/>
      <c r="Q714" s="364"/>
      <c r="R714" s="364"/>
      <c r="S714" s="364"/>
      <c r="T714" s="364"/>
      <c r="U714" s="364"/>
      <c r="V714" s="364"/>
      <c r="W714" s="364"/>
      <c r="X714" s="364"/>
      <c r="Y714" s="364"/>
      <c r="Z714" s="364"/>
    </row>
    <row r="715" spans="1:26" ht="15.75" customHeight="1" x14ac:dyDescent="0.25">
      <c r="A715" s="364"/>
      <c r="B715" s="364"/>
      <c r="C715" s="364"/>
      <c r="D715" s="364"/>
      <c r="E715" s="364"/>
      <c r="F715" s="364"/>
      <c r="G715" s="364"/>
      <c r="H715" s="364"/>
      <c r="I715" s="364"/>
      <c r="J715" s="364"/>
      <c r="K715" s="364"/>
      <c r="L715" s="364"/>
      <c r="M715" s="364"/>
      <c r="N715" s="364"/>
      <c r="O715" s="364"/>
      <c r="P715" s="364"/>
      <c r="Q715" s="364"/>
      <c r="R715" s="364"/>
      <c r="S715" s="364"/>
      <c r="T715" s="364"/>
      <c r="U715" s="364"/>
      <c r="V715" s="364"/>
      <c r="W715" s="364"/>
      <c r="X715" s="364"/>
      <c r="Y715" s="364"/>
      <c r="Z715" s="364"/>
    </row>
    <row r="716" spans="1:26" ht="15.75" customHeight="1" x14ac:dyDescent="0.25">
      <c r="A716" s="364"/>
      <c r="B716" s="364"/>
      <c r="C716" s="364"/>
      <c r="D716" s="364"/>
      <c r="E716" s="364"/>
      <c r="F716" s="364"/>
      <c r="G716" s="364"/>
      <c r="H716" s="364"/>
      <c r="I716" s="364"/>
      <c r="J716" s="364"/>
      <c r="K716" s="364"/>
      <c r="L716" s="364"/>
      <c r="M716" s="364"/>
      <c r="N716" s="364"/>
      <c r="O716" s="364"/>
      <c r="P716" s="364"/>
      <c r="Q716" s="364"/>
      <c r="R716" s="364"/>
      <c r="S716" s="364"/>
      <c r="T716" s="364"/>
      <c r="U716" s="364"/>
      <c r="V716" s="364"/>
      <c r="W716" s="364"/>
      <c r="X716" s="364"/>
      <c r="Y716" s="364"/>
      <c r="Z716" s="364"/>
    </row>
    <row r="717" spans="1:26" ht="15.75" customHeight="1" x14ac:dyDescent="0.25">
      <c r="A717" s="364"/>
      <c r="B717" s="364"/>
      <c r="C717" s="364"/>
      <c r="D717" s="364"/>
      <c r="E717" s="364"/>
      <c r="F717" s="364"/>
      <c r="G717" s="364"/>
      <c r="H717" s="364"/>
      <c r="I717" s="364"/>
      <c r="J717" s="364"/>
      <c r="K717" s="364"/>
      <c r="L717" s="364"/>
      <c r="M717" s="364"/>
      <c r="N717" s="364"/>
      <c r="O717" s="364"/>
      <c r="P717" s="364"/>
      <c r="Q717" s="364"/>
      <c r="R717" s="364"/>
      <c r="S717" s="364"/>
      <c r="T717" s="364"/>
      <c r="U717" s="364"/>
      <c r="V717" s="364"/>
      <c r="W717" s="364"/>
      <c r="X717" s="364"/>
      <c r="Y717" s="364"/>
      <c r="Z717" s="364"/>
    </row>
    <row r="718" spans="1:26" ht="15.75" customHeight="1" x14ac:dyDescent="0.25">
      <c r="A718" s="364"/>
      <c r="B718" s="364"/>
      <c r="C718" s="364"/>
      <c r="D718" s="364"/>
      <c r="E718" s="364"/>
      <c r="F718" s="364"/>
      <c r="G718" s="364"/>
      <c r="H718" s="364"/>
      <c r="I718" s="364"/>
      <c r="J718" s="364"/>
      <c r="K718" s="364"/>
      <c r="L718" s="364"/>
      <c r="M718" s="364"/>
      <c r="N718" s="364"/>
      <c r="O718" s="364"/>
      <c r="P718" s="364"/>
      <c r="Q718" s="364"/>
      <c r="R718" s="364"/>
      <c r="S718" s="364"/>
      <c r="T718" s="364"/>
      <c r="U718" s="364"/>
      <c r="V718" s="364"/>
      <c r="W718" s="364"/>
      <c r="X718" s="364"/>
      <c r="Y718" s="364"/>
      <c r="Z718" s="364"/>
    </row>
    <row r="719" spans="1:26" ht="15.75" customHeight="1" x14ac:dyDescent="0.25">
      <c r="A719" s="364"/>
      <c r="B719" s="364"/>
      <c r="C719" s="364"/>
      <c r="D719" s="364"/>
      <c r="E719" s="364"/>
      <c r="F719" s="364"/>
      <c r="G719" s="364"/>
      <c r="H719" s="364"/>
      <c r="I719" s="364"/>
      <c r="J719" s="364"/>
      <c r="K719" s="364"/>
      <c r="L719" s="364"/>
      <c r="M719" s="364"/>
      <c r="N719" s="364"/>
      <c r="O719" s="364"/>
      <c r="P719" s="364"/>
      <c r="Q719" s="364"/>
      <c r="R719" s="364"/>
      <c r="S719" s="364"/>
      <c r="T719" s="364"/>
      <c r="U719" s="364"/>
      <c r="V719" s="364"/>
      <c r="W719" s="364"/>
      <c r="X719" s="364"/>
      <c r="Y719" s="364"/>
      <c r="Z719" s="364"/>
    </row>
    <row r="720" spans="1:26" ht="15.75" customHeight="1" x14ac:dyDescent="0.25">
      <c r="A720" s="364"/>
      <c r="B720" s="364"/>
      <c r="C720" s="364"/>
      <c r="D720" s="364"/>
      <c r="E720" s="364"/>
      <c r="F720" s="364"/>
      <c r="G720" s="364"/>
      <c r="H720" s="364"/>
      <c r="I720" s="364"/>
      <c r="J720" s="364"/>
      <c r="K720" s="364"/>
      <c r="L720" s="364"/>
      <c r="M720" s="364"/>
      <c r="N720" s="364"/>
      <c r="O720" s="364"/>
      <c r="P720" s="364"/>
      <c r="Q720" s="364"/>
      <c r="R720" s="364"/>
      <c r="S720" s="364"/>
      <c r="T720" s="364"/>
      <c r="U720" s="364"/>
      <c r="V720" s="364"/>
      <c r="W720" s="364"/>
      <c r="X720" s="364"/>
      <c r="Y720" s="364"/>
      <c r="Z720" s="364"/>
    </row>
    <row r="721" spans="1:26" ht="15.75" customHeight="1" x14ac:dyDescent="0.25">
      <c r="A721" s="364"/>
      <c r="B721" s="364"/>
      <c r="C721" s="364"/>
      <c r="D721" s="364"/>
      <c r="E721" s="364"/>
      <c r="F721" s="364"/>
      <c r="G721" s="364"/>
      <c r="H721" s="364"/>
      <c r="I721" s="364"/>
      <c r="J721" s="364"/>
      <c r="K721" s="364"/>
      <c r="L721" s="364"/>
      <c r="M721" s="364"/>
      <c r="N721" s="364"/>
      <c r="O721" s="364"/>
      <c r="P721" s="364"/>
      <c r="Q721" s="364"/>
      <c r="R721" s="364"/>
      <c r="S721" s="364"/>
      <c r="T721" s="364"/>
      <c r="U721" s="364"/>
      <c r="V721" s="364"/>
      <c r="W721" s="364"/>
      <c r="X721" s="364"/>
      <c r="Y721" s="364"/>
      <c r="Z721" s="364"/>
    </row>
    <row r="722" spans="1:26" ht="15.75" customHeight="1" x14ac:dyDescent="0.25">
      <c r="A722" s="364"/>
      <c r="B722" s="364"/>
      <c r="C722" s="364"/>
      <c r="D722" s="364"/>
      <c r="E722" s="364"/>
      <c r="F722" s="364"/>
      <c r="G722" s="364"/>
      <c r="H722" s="364"/>
      <c r="I722" s="364"/>
      <c r="J722" s="364"/>
      <c r="K722" s="364"/>
      <c r="L722" s="364"/>
      <c r="M722" s="364"/>
      <c r="N722" s="364"/>
      <c r="O722" s="364"/>
      <c r="P722" s="364"/>
      <c r="Q722" s="364"/>
      <c r="R722" s="364"/>
      <c r="S722" s="364"/>
      <c r="T722" s="364"/>
      <c r="U722" s="364"/>
      <c r="V722" s="364"/>
      <c r="W722" s="364"/>
      <c r="X722" s="364"/>
      <c r="Y722" s="364"/>
      <c r="Z722" s="364"/>
    </row>
    <row r="723" spans="1:26" ht="15.75" customHeight="1" x14ac:dyDescent="0.25">
      <c r="A723" s="364"/>
      <c r="B723" s="364"/>
      <c r="C723" s="364"/>
      <c r="D723" s="364"/>
      <c r="E723" s="364"/>
      <c r="F723" s="364"/>
      <c r="G723" s="364"/>
      <c r="H723" s="364"/>
      <c r="I723" s="364"/>
      <c r="J723" s="364"/>
      <c r="K723" s="364"/>
      <c r="L723" s="364"/>
      <c r="M723" s="364"/>
      <c r="N723" s="364"/>
      <c r="O723" s="364"/>
      <c r="P723" s="364"/>
      <c r="Q723" s="364"/>
      <c r="R723" s="364"/>
      <c r="S723" s="364"/>
      <c r="T723" s="364"/>
      <c r="U723" s="364"/>
      <c r="V723" s="364"/>
      <c r="W723" s="364"/>
      <c r="X723" s="364"/>
      <c r="Y723" s="364"/>
      <c r="Z723" s="364"/>
    </row>
    <row r="724" spans="1:26" ht="15.75" customHeight="1" x14ac:dyDescent="0.25">
      <c r="A724" s="364"/>
      <c r="B724" s="364"/>
      <c r="C724" s="364"/>
      <c r="D724" s="364"/>
      <c r="E724" s="364"/>
      <c r="F724" s="364"/>
      <c r="G724" s="364"/>
      <c r="H724" s="364"/>
      <c r="I724" s="364"/>
      <c r="J724" s="364"/>
      <c r="K724" s="364"/>
      <c r="L724" s="364"/>
      <c r="M724" s="364"/>
      <c r="N724" s="364"/>
      <c r="O724" s="364"/>
      <c r="P724" s="364"/>
      <c r="Q724" s="364"/>
      <c r="R724" s="364"/>
      <c r="S724" s="364"/>
      <c r="T724" s="364"/>
      <c r="U724" s="364"/>
      <c r="V724" s="364"/>
      <c r="W724" s="364"/>
      <c r="X724" s="364"/>
      <c r="Y724" s="364"/>
      <c r="Z724" s="364"/>
    </row>
    <row r="725" spans="1:26" ht="15.75" customHeight="1" x14ac:dyDescent="0.25">
      <c r="A725" s="364"/>
      <c r="B725" s="364"/>
      <c r="C725" s="364"/>
      <c r="D725" s="364"/>
      <c r="E725" s="364"/>
      <c r="F725" s="364"/>
      <c r="G725" s="364"/>
      <c r="H725" s="364"/>
      <c r="I725" s="364"/>
      <c r="J725" s="364"/>
      <c r="K725" s="364"/>
      <c r="L725" s="364"/>
      <c r="M725" s="364"/>
      <c r="N725" s="364"/>
      <c r="O725" s="364"/>
      <c r="P725" s="364"/>
      <c r="Q725" s="364"/>
      <c r="R725" s="364"/>
      <c r="S725" s="364"/>
      <c r="T725" s="364"/>
      <c r="U725" s="364"/>
      <c r="V725" s="364"/>
      <c r="W725" s="364"/>
      <c r="X725" s="364"/>
      <c r="Y725" s="364"/>
      <c r="Z725" s="364"/>
    </row>
    <row r="726" spans="1:26" ht="15.75" customHeight="1" x14ac:dyDescent="0.25">
      <c r="A726" s="364"/>
      <c r="B726" s="364"/>
      <c r="C726" s="364"/>
      <c r="D726" s="364"/>
      <c r="E726" s="364"/>
      <c r="F726" s="364"/>
      <c r="G726" s="364"/>
      <c r="H726" s="364"/>
      <c r="I726" s="364"/>
      <c r="J726" s="364"/>
      <c r="K726" s="364"/>
      <c r="L726" s="364"/>
      <c r="M726" s="364"/>
      <c r="N726" s="364"/>
      <c r="O726" s="364"/>
      <c r="P726" s="364"/>
      <c r="Q726" s="364"/>
      <c r="R726" s="364"/>
      <c r="S726" s="364"/>
      <c r="T726" s="364"/>
      <c r="U726" s="364"/>
      <c r="V726" s="364"/>
      <c r="W726" s="364"/>
      <c r="X726" s="364"/>
      <c r="Y726" s="364"/>
      <c r="Z726" s="364"/>
    </row>
    <row r="727" spans="1:26" ht="15.75" customHeight="1" x14ac:dyDescent="0.25">
      <c r="A727" s="364"/>
      <c r="B727" s="364"/>
      <c r="C727" s="364"/>
      <c r="D727" s="364"/>
      <c r="E727" s="364"/>
      <c r="F727" s="364"/>
      <c r="G727" s="364"/>
      <c r="H727" s="364"/>
      <c r="I727" s="364"/>
      <c r="J727" s="364"/>
      <c r="K727" s="364"/>
      <c r="L727" s="364"/>
      <c r="M727" s="364"/>
      <c r="N727" s="364"/>
      <c r="O727" s="364"/>
      <c r="P727" s="364"/>
      <c r="Q727" s="364"/>
      <c r="R727" s="364"/>
      <c r="S727" s="364"/>
      <c r="T727" s="364"/>
      <c r="U727" s="364"/>
      <c r="V727" s="364"/>
      <c r="W727" s="364"/>
      <c r="X727" s="364"/>
      <c r="Y727" s="364"/>
      <c r="Z727" s="364"/>
    </row>
    <row r="728" spans="1:26" ht="15.75" customHeight="1" x14ac:dyDescent="0.25">
      <c r="A728" s="364"/>
      <c r="B728" s="364"/>
      <c r="C728" s="364"/>
      <c r="D728" s="364"/>
      <c r="E728" s="364"/>
      <c r="F728" s="364"/>
      <c r="G728" s="364"/>
      <c r="H728" s="364"/>
      <c r="I728" s="364"/>
      <c r="J728" s="364"/>
      <c r="K728" s="364"/>
      <c r="L728" s="364"/>
      <c r="M728" s="364"/>
      <c r="N728" s="364"/>
      <c r="O728" s="364"/>
      <c r="P728" s="364"/>
      <c r="Q728" s="364"/>
      <c r="R728" s="364"/>
      <c r="S728" s="364"/>
      <c r="T728" s="364"/>
      <c r="U728" s="364"/>
      <c r="V728" s="364"/>
      <c r="W728" s="364"/>
      <c r="X728" s="364"/>
      <c r="Y728" s="364"/>
      <c r="Z728" s="364"/>
    </row>
    <row r="729" spans="1:26" ht="15.75" customHeight="1" x14ac:dyDescent="0.25">
      <c r="A729" s="364"/>
      <c r="B729" s="364"/>
      <c r="C729" s="364"/>
      <c r="D729" s="364"/>
      <c r="E729" s="364"/>
      <c r="F729" s="364"/>
      <c r="G729" s="364"/>
      <c r="H729" s="364"/>
      <c r="I729" s="364"/>
      <c r="J729" s="364"/>
      <c r="K729" s="364"/>
      <c r="L729" s="364"/>
      <c r="M729" s="364"/>
      <c r="N729" s="364"/>
      <c r="O729" s="364"/>
      <c r="P729" s="364"/>
      <c r="Q729" s="364"/>
      <c r="R729" s="364"/>
      <c r="S729" s="364"/>
      <c r="T729" s="364"/>
      <c r="U729" s="364"/>
      <c r="V729" s="364"/>
      <c r="W729" s="364"/>
      <c r="X729" s="364"/>
      <c r="Y729" s="364"/>
      <c r="Z729" s="364"/>
    </row>
    <row r="730" spans="1:26" ht="15.75" customHeight="1" x14ac:dyDescent="0.25">
      <c r="A730" s="364"/>
      <c r="B730" s="364"/>
      <c r="C730" s="364"/>
      <c r="D730" s="364"/>
      <c r="E730" s="364"/>
      <c r="F730" s="364"/>
      <c r="G730" s="364"/>
      <c r="H730" s="364"/>
      <c r="I730" s="364"/>
      <c r="J730" s="364"/>
      <c r="K730" s="364"/>
      <c r="L730" s="364"/>
      <c r="M730" s="364"/>
      <c r="N730" s="364"/>
      <c r="O730" s="364"/>
      <c r="P730" s="364"/>
      <c r="Q730" s="364"/>
      <c r="R730" s="364"/>
      <c r="S730" s="364"/>
      <c r="T730" s="364"/>
      <c r="U730" s="364"/>
      <c r="V730" s="364"/>
      <c r="W730" s="364"/>
      <c r="X730" s="364"/>
      <c r="Y730" s="364"/>
      <c r="Z730" s="364"/>
    </row>
    <row r="731" spans="1:26" ht="15.75" customHeight="1" x14ac:dyDescent="0.25">
      <c r="A731" s="364"/>
      <c r="B731" s="364"/>
      <c r="C731" s="364"/>
      <c r="D731" s="364"/>
      <c r="E731" s="364"/>
      <c r="F731" s="364"/>
      <c r="G731" s="364"/>
      <c r="H731" s="364"/>
      <c r="I731" s="364"/>
      <c r="J731" s="364"/>
      <c r="K731" s="364"/>
      <c r="L731" s="364"/>
      <c r="M731" s="364"/>
      <c r="N731" s="364"/>
      <c r="O731" s="364"/>
      <c r="P731" s="364"/>
      <c r="Q731" s="364"/>
      <c r="R731" s="364"/>
      <c r="S731" s="364"/>
      <c r="T731" s="364"/>
      <c r="U731" s="364"/>
      <c r="V731" s="364"/>
      <c r="W731" s="364"/>
      <c r="X731" s="364"/>
      <c r="Y731" s="364"/>
      <c r="Z731" s="364"/>
    </row>
    <row r="732" spans="1:26" ht="15.75" customHeight="1" x14ac:dyDescent="0.25">
      <c r="A732" s="364"/>
      <c r="B732" s="364"/>
      <c r="C732" s="364"/>
      <c r="D732" s="364"/>
      <c r="E732" s="364"/>
      <c r="F732" s="364"/>
      <c r="G732" s="364"/>
      <c r="H732" s="364"/>
      <c r="I732" s="364"/>
      <c r="J732" s="364"/>
      <c r="K732" s="364"/>
      <c r="L732" s="364"/>
      <c r="M732" s="364"/>
      <c r="N732" s="364"/>
      <c r="O732" s="364"/>
      <c r="P732" s="364"/>
      <c r="Q732" s="364"/>
      <c r="R732" s="364"/>
      <c r="S732" s="364"/>
      <c r="T732" s="364"/>
      <c r="U732" s="364"/>
      <c r="V732" s="364"/>
      <c r="W732" s="364"/>
      <c r="X732" s="364"/>
      <c r="Y732" s="364"/>
      <c r="Z732" s="364"/>
    </row>
    <row r="733" spans="1:26" ht="15.75" customHeight="1" x14ac:dyDescent="0.25">
      <c r="A733" s="364"/>
      <c r="B733" s="364"/>
      <c r="C733" s="364"/>
      <c r="D733" s="364"/>
      <c r="E733" s="364"/>
      <c r="F733" s="364"/>
      <c r="G733" s="364"/>
      <c r="H733" s="364"/>
      <c r="I733" s="364"/>
      <c r="J733" s="364"/>
      <c r="K733" s="364"/>
      <c r="L733" s="364"/>
      <c r="M733" s="364"/>
      <c r="N733" s="364"/>
      <c r="O733" s="364"/>
      <c r="P733" s="364"/>
      <c r="Q733" s="364"/>
      <c r="R733" s="364"/>
      <c r="S733" s="364"/>
      <c r="T733" s="364"/>
      <c r="U733" s="364"/>
      <c r="V733" s="364"/>
      <c r="W733" s="364"/>
      <c r="X733" s="364"/>
      <c r="Y733" s="364"/>
      <c r="Z733" s="364"/>
    </row>
    <row r="734" spans="1:26" ht="15.75" customHeight="1" x14ac:dyDescent="0.25">
      <c r="A734" s="364"/>
      <c r="B734" s="364"/>
      <c r="C734" s="364"/>
      <c r="D734" s="364"/>
      <c r="E734" s="364"/>
      <c r="F734" s="364"/>
      <c r="G734" s="364"/>
      <c r="H734" s="364"/>
      <c r="I734" s="364"/>
      <c r="J734" s="364"/>
      <c r="K734" s="364"/>
      <c r="L734" s="364"/>
      <c r="M734" s="364"/>
      <c r="N734" s="364"/>
      <c r="O734" s="364"/>
      <c r="P734" s="364"/>
      <c r="Q734" s="364"/>
      <c r="R734" s="364"/>
      <c r="S734" s="364"/>
      <c r="T734" s="364"/>
      <c r="U734" s="364"/>
      <c r="V734" s="364"/>
      <c r="W734" s="364"/>
      <c r="X734" s="364"/>
      <c r="Y734" s="364"/>
      <c r="Z734" s="364"/>
    </row>
    <row r="735" spans="1:26" ht="15.75" customHeight="1" x14ac:dyDescent="0.25">
      <c r="A735" s="364"/>
      <c r="B735" s="364"/>
      <c r="C735" s="364"/>
      <c r="D735" s="364"/>
      <c r="E735" s="364"/>
      <c r="F735" s="364"/>
      <c r="G735" s="364"/>
      <c r="H735" s="364"/>
      <c r="I735" s="364"/>
      <c r="J735" s="364"/>
      <c r="K735" s="364"/>
      <c r="L735" s="364"/>
      <c r="M735" s="364"/>
      <c r="N735" s="364"/>
      <c r="O735" s="364"/>
      <c r="P735" s="364"/>
      <c r="Q735" s="364"/>
      <c r="R735" s="364"/>
      <c r="S735" s="364"/>
      <c r="T735" s="364"/>
      <c r="U735" s="364"/>
      <c r="V735" s="364"/>
      <c r="W735" s="364"/>
      <c r="X735" s="364"/>
      <c r="Y735" s="364"/>
      <c r="Z735" s="364"/>
    </row>
    <row r="736" spans="1:26" ht="15.75" customHeight="1" x14ac:dyDescent="0.25">
      <c r="A736" s="364"/>
      <c r="B736" s="364"/>
      <c r="C736" s="364"/>
      <c r="D736" s="364"/>
      <c r="E736" s="364"/>
      <c r="F736" s="364"/>
      <c r="G736" s="364"/>
      <c r="H736" s="364"/>
      <c r="I736" s="364"/>
      <c r="J736" s="364"/>
      <c r="K736" s="364"/>
      <c r="L736" s="364"/>
      <c r="M736" s="364"/>
      <c r="N736" s="364"/>
      <c r="O736" s="364"/>
      <c r="P736" s="364"/>
      <c r="Q736" s="364"/>
      <c r="R736" s="364"/>
      <c r="S736" s="364"/>
      <c r="T736" s="364"/>
      <c r="U736" s="364"/>
      <c r="V736" s="364"/>
      <c r="W736" s="364"/>
      <c r="X736" s="364"/>
      <c r="Y736" s="364"/>
      <c r="Z736" s="364"/>
    </row>
    <row r="737" spans="1:26" ht="15.75" customHeight="1" x14ac:dyDescent="0.25">
      <c r="A737" s="364"/>
      <c r="B737" s="364"/>
      <c r="C737" s="364"/>
      <c r="D737" s="364"/>
      <c r="E737" s="364"/>
      <c r="F737" s="364"/>
      <c r="G737" s="364"/>
      <c r="H737" s="364"/>
      <c r="I737" s="364"/>
      <c r="J737" s="364"/>
      <c r="K737" s="364"/>
      <c r="L737" s="364"/>
      <c r="M737" s="364"/>
      <c r="N737" s="364"/>
      <c r="O737" s="364"/>
      <c r="P737" s="364"/>
      <c r="Q737" s="364"/>
      <c r="R737" s="364"/>
      <c r="S737" s="364"/>
      <c r="T737" s="364"/>
      <c r="U737" s="364"/>
      <c r="V737" s="364"/>
      <c r="W737" s="364"/>
      <c r="X737" s="364"/>
      <c r="Y737" s="364"/>
      <c r="Z737" s="364"/>
    </row>
    <row r="738" spans="1:26" ht="15.75" customHeight="1" x14ac:dyDescent="0.25">
      <c r="A738" s="364"/>
      <c r="B738" s="364"/>
      <c r="C738" s="364"/>
      <c r="D738" s="364"/>
      <c r="E738" s="364"/>
      <c r="F738" s="364"/>
      <c r="G738" s="364"/>
      <c r="H738" s="364"/>
      <c r="I738" s="364"/>
      <c r="J738" s="364"/>
      <c r="K738" s="364"/>
      <c r="L738" s="364"/>
      <c r="M738" s="364"/>
      <c r="N738" s="364"/>
      <c r="O738" s="364"/>
      <c r="P738" s="364"/>
      <c r="Q738" s="364"/>
      <c r="R738" s="364"/>
      <c r="S738" s="364"/>
      <c r="T738" s="364"/>
      <c r="U738" s="364"/>
      <c r="V738" s="364"/>
      <c r="W738" s="364"/>
      <c r="X738" s="364"/>
      <c r="Y738" s="364"/>
      <c r="Z738" s="364"/>
    </row>
    <row r="739" spans="1:26" ht="15.75" customHeight="1" x14ac:dyDescent="0.25">
      <c r="A739" s="364"/>
      <c r="B739" s="364"/>
      <c r="C739" s="364"/>
      <c r="D739" s="364"/>
      <c r="E739" s="364"/>
      <c r="F739" s="364"/>
      <c r="G739" s="364"/>
      <c r="H739" s="364"/>
      <c r="I739" s="364"/>
      <c r="J739" s="364"/>
      <c r="K739" s="364"/>
      <c r="L739" s="364"/>
      <c r="M739" s="364"/>
      <c r="N739" s="364"/>
      <c r="O739" s="364"/>
      <c r="P739" s="364"/>
      <c r="Q739" s="364"/>
      <c r="R739" s="364"/>
      <c r="S739" s="364"/>
      <c r="T739" s="364"/>
      <c r="U739" s="364"/>
      <c r="V739" s="364"/>
      <c r="W739" s="364"/>
      <c r="X739" s="364"/>
      <c r="Y739" s="364"/>
      <c r="Z739" s="364"/>
    </row>
    <row r="740" spans="1:26" ht="15.75" customHeight="1" x14ac:dyDescent="0.25">
      <c r="A740" s="364"/>
      <c r="B740" s="364"/>
      <c r="C740" s="364"/>
      <c r="D740" s="364"/>
      <c r="E740" s="364"/>
      <c r="F740" s="364"/>
      <c r="G740" s="364"/>
      <c r="H740" s="364"/>
      <c r="I740" s="364"/>
      <c r="J740" s="364"/>
      <c r="K740" s="364"/>
      <c r="L740" s="364"/>
      <c r="M740" s="364"/>
      <c r="N740" s="364"/>
      <c r="O740" s="364"/>
      <c r="P740" s="364"/>
      <c r="Q740" s="364"/>
      <c r="R740" s="364"/>
      <c r="S740" s="364"/>
      <c r="T740" s="364"/>
      <c r="U740" s="364"/>
      <c r="V740" s="364"/>
      <c r="W740" s="364"/>
      <c r="X740" s="364"/>
      <c r="Y740" s="364"/>
      <c r="Z740" s="364"/>
    </row>
    <row r="741" spans="1:26" ht="15.75" customHeight="1" x14ac:dyDescent="0.25">
      <c r="A741" s="364"/>
      <c r="B741" s="364"/>
      <c r="C741" s="364"/>
      <c r="D741" s="364"/>
      <c r="E741" s="364"/>
      <c r="F741" s="364"/>
      <c r="G741" s="364"/>
      <c r="H741" s="364"/>
      <c r="I741" s="364"/>
      <c r="J741" s="364"/>
      <c r="K741" s="364"/>
      <c r="L741" s="364"/>
      <c r="M741" s="364"/>
      <c r="N741" s="364"/>
      <c r="O741" s="364"/>
      <c r="P741" s="364"/>
      <c r="Q741" s="364"/>
      <c r="R741" s="364"/>
      <c r="S741" s="364"/>
      <c r="T741" s="364"/>
      <c r="U741" s="364"/>
      <c r="V741" s="364"/>
      <c r="W741" s="364"/>
      <c r="X741" s="364"/>
      <c r="Y741" s="364"/>
      <c r="Z741" s="364"/>
    </row>
    <row r="742" spans="1:26" ht="15.75" customHeight="1" x14ac:dyDescent="0.25">
      <c r="A742" s="364"/>
      <c r="B742" s="364"/>
      <c r="C742" s="364"/>
      <c r="D742" s="364"/>
      <c r="E742" s="364"/>
      <c r="F742" s="364"/>
      <c r="G742" s="364"/>
      <c r="H742" s="364"/>
      <c r="I742" s="364"/>
      <c r="J742" s="364"/>
      <c r="K742" s="364"/>
      <c r="L742" s="364"/>
      <c r="M742" s="364"/>
      <c r="N742" s="364"/>
      <c r="O742" s="364"/>
      <c r="P742" s="364"/>
      <c r="Q742" s="364"/>
      <c r="R742" s="364"/>
      <c r="S742" s="364"/>
      <c r="T742" s="364"/>
      <c r="U742" s="364"/>
      <c r="V742" s="364"/>
      <c r="W742" s="364"/>
      <c r="X742" s="364"/>
      <c r="Y742" s="364"/>
      <c r="Z742" s="364"/>
    </row>
    <row r="743" spans="1:26" ht="15.75" customHeight="1" x14ac:dyDescent="0.25">
      <c r="A743" s="364"/>
      <c r="B743" s="364"/>
      <c r="C743" s="364"/>
      <c r="D743" s="364"/>
      <c r="E743" s="364"/>
      <c r="F743" s="364"/>
      <c r="G743" s="364"/>
      <c r="H743" s="364"/>
      <c r="I743" s="364"/>
      <c r="J743" s="364"/>
      <c r="K743" s="364"/>
      <c r="L743" s="364"/>
      <c r="M743" s="364"/>
      <c r="N743" s="364"/>
      <c r="O743" s="364"/>
      <c r="P743" s="364"/>
      <c r="Q743" s="364"/>
      <c r="R743" s="364"/>
      <c r="S743" s="364"/>
      <c r="T743" s="364"/>
      <c r="U743" s="364"/>
      <c r="V743" s="364"/>
      <c r="W743" s="364"/>
      <c r="X743" s="364"/>
      <c r="Y743" s="364"/>
      <c r="Z743" s="364"/>
    </row>
    <row r="744" spans="1:26" ht="15.75" customHeight="1" x14ac:dyDescent="0.25">
      <c r="A744" s="364"/>
      <c r="B744" s="364"/>
      <c r="C744" s="364"/>
      <c r="D744" s="364"/>
      <c r="E744" s="364"/>
      <c r="F744" s="364"/>
      <c r="G744" s="364"/>
      <c r="H744" s="364"/>
      <c r="I744" s="364"/>
      <c r="J744" s="364"/>
      <c r="K744" s="364"/>
      <c r="L744" s="364"/>
      <c r="M744" s="364"/>
      <c r="N744" s="364"/>
      <c r="O744" s="364"/>
      <c r="P744" s="364"/>
      <c r="Q744" s="364"/>
      <c r="R744" s="364"/>
      <c r="S744" s="364"/>
      <c r="T744" s="364"/>
      <c r="U744" s="364"/>
      <c r="V744" s="364"/>
      <c r="W744" s="364"/>
      <c r="X744" s="364"/>
      <c r="Y744" s="364"/>
      <c r="Z744" s="364"/>
    </row>
    <row r="745" spans="1:26" ht="15.75" customHeight="1" x14ac:dyDescent="0.25">
      <c r="A745" s="364"/>
      <c r="B745" s="364"/>
      <c r="C745" s="364"/>
      <c r="D745" s="364"/>
      <c r="E745" s="364"/>
      <c r="F745" s="364"/>
      <c r="G745" s="364"/>
      <c r="H745" s="364"/>
      <c r="I745" s="364"/>
      <c r="J745" s="364"/>
      <c r="K745" s="364"/>
      <c r="L745" s="364"/>
      <c r="M745" s="364"/>
      <c r="N745" s="364"/>
      <c r="O745" s="364"/>
      <c r="P745" s="364"/>
      <c r="Q745" s="364"/>
      <c r="R745" s="364"/>
      <c r="S745" s="364"/>
      <c r="T745" s="364"/>
      <c r="U745" s="364"/>
      <c r="V745" s="364"/>
      <c r="W745" s="364"/>
      <c r="X745" s="364"/>
      <c r="Y745" s="364"/>
      <c r="Z745" s="364"/>
    </row>
    <row r="746" spans="1:26" ht="15.75" customHeight="1" x14ac:dyDescent="0.25">
      <c r="A746" s="364"/>
      <c r="B746" s="364"/>
      <c r="C746" s="364"/>
      <c r="D746" s="364"/>
      <c r="E746" s="364"/>
      <c r="F746" s="364"/>
      <c r="G746" s="364"/>
      <c r="H746" s="364"/>
      <c r="I746" s="364"/>
      <c r="J746" s="364"/>
      <c r="K746" s="364"/>
      <c r="L746" s="364"/>
      <c r="M746" s="364"/>
      <c r="N746" s="364"/>
      <c r="O746" s="364"/>
      <c r="P746" s="364"/>
      <c r="Q746" s="364"/>
      <c r="R746" s="364"/>
      <c r="S746" s="364"/>
      <c r="T746" s="364"/>
      <c r="U746" s="364"/>
      <c r="V746" s="364"/>
      <c r="W746" s="364"/>
      <c r="X746" s="364"/>
      <c r="Y746" s="364"/>
      <c r="Z746" s="364"/>
    </row>
    <row r="747" spans="1:26" ht="15.75" customHeight="1" x14ac:dyDescent="0.25">
      <c r="A747" s="364"/>
      <c r="B747" s="364"/>
      <c r="C747" s="364"/>
      <c r="D747" s="364"/>
      <c r="E747" s="364"/>
      <c r="F747" s="364"/>
      <c r="G747" s="364"/>
      <c r="H747" s="364"/>
      <c r="I747" s="364"/>
      <c r="J747" s="364"/>
      <c r="K747" s="364"/>
      <c r="L747" s="364"/>
      <c r="M747" s="364"/>
      <c r="N747" s="364"/>
      <c r="O747" s="364"/>
      <c r="P747" s="364"/>
      <c r="Q747" s="364"/>
      <c r="R747" s="364"/>
      <c r="S747" s="364"/>
      <c r="T747" s="364"/>
      <c r="U747" s="364"/>
      <c r="V747" s="364"/>
      <c r="W747" s="364"/>
      <c r="X747" s="364"/>
      <c r="Y747" s="364"/>
      <c r="Z747" s="364"/>
    </row>
    <row r="748" spans="1:26" ht="15.75" customHeight="1" x14ac:dyDescent="0.25">
      <c r="A748" s="364"/>
      <c r="B748" s="364"/>
      <c r="C748" s="364"/>
      <c r="D748" s="364"/>
      <c r="E748" s="364"/>
      <c r="F748" s="364"/>
      <c r="G748" s="364"/>
      <c r="H748" s="364"/>
      <c r="I748" s="364"/>
      <c r="J748" s="364"/>
      <c r="K748" s="364"/>
      <c r="L748" s="364"/>
      <c r="M748" s="364"/>
      <c r="N748" s="364"/>
      <c r="O748" s="364"/>
      <c r="P748" s="364"/>
      <c r="Q748" s="364"/>
      <c r="R748" s="364"/>
      <c r="S748" s="364"/>
      <c r="T748" s="364"/>
      <c r="U748" s="364"/>
      <c r="V748" s="364"/>
      <c r="W748" s="364"/>
      <c r="X748" s="364"/>
      <c r="Y748" s="364"/>
      <c r="Z748" s="364"/>
    </row>
    <row r="749" spans="1:26" ht="15.75" customHeight="1" x14ac:dyDescent="0.25">
      <c r="A749" s="364"/>
      <c r="B749" s="364"/>
      <c r="C749" s="364"/>
      <c r="D749" s="364"/>
      <c r="E749" s="364"/>
      <c r="F749" s="364"/>
      <c r="G749" s="364"/>
      <c r="H749" s="364"/>
      <c r="I749" s="364"/>
      <c r="J749" s="364"/>
      <c r="K749" s="364"/>
      <c r="L749" s="364"/>
      <c r="M749" s="364"/>
      <c r="N749" s="364"/>
      <c r="O749" s="364"/>
      <c r="P749" s="364"/>
      <c r="Q749" s="364"/>
      <c r="R749" s="364"/>
      <c r="S749" s="364"/>
      <c r="T749" s="364"/>
      <c r="U749" s="364"/>
      <c r="V749" s="364"/>
      <c r="W749" s="364"/>
      <c r="X749" s="364"/>
      <c r="Y749" s="364"/>
      <c r="Z749" s="364"/>
    </row>
    <row r="750" spans="1:26" ht="15.75" customHeight="1" x14ac:dyDescent="0.25">
      <c r="A750" s="364"/>
      <c r="B750" s="364"/>
      <c r="C750" s="364"/>
      <c r="D750" s="364"/>
      <c r="E750" s="364"/>
      <c r="F750" s="364"/>
      <c r="G750" s="364"/>
      <c r="H750" s="364"/>
      <c r="I750" s="364"/>
      <c r="J750" s="364"/>
      <c r="K750" s="364"/>
      <c r="L750" s="364"/>
      <c r="M750" s="364"/>
      <c r="N750" s="364"/>
      <c r="O750" s="364"/>
      <c r="P750" s="364"/>
      <c r="Q750" s="364"/>
      <c r="R750" s="364"/>
      <c r="S750" s="364"/>
      <c r="T750" s="364"/>
      <c r="U750" s="364"/>
      <c r="V750" s="364"/>
      <c r="W750" s="364"/>
      <c r="X750" s="364"/>
      <c r="Y750" s="364"/>
      <c r="Z750" s="364"/>
    </row>
    <row r="751" spans="1:26" ht="15.75" customHeight="1" x14ac:dyDescent="0.25">
      <c r="A751" s="364"/>
      <c r="B751" s="364"/>
      <c r="C751" s="364"/>
      <c r="D751" s="364"/>
      <c r="E751" s="364"/>
      <c r="F751" s="364"/>
      <c r="G751" s="364"/>
      <c r="H751" s="364"/>
      <c r="I751" s="364"/>
      <c r="J751" s="364"/>
      <c r="K751" s="364"/>
      <c r="L751" s="364"/>
      <c r="M751" s="364"/>
      <c r="N751" s="364"/>
      <c r="O751" s="364"/>
      <c r="P751" s="364"/>
      <c r="Q751" s="364"/>
      <c r="R751" s="364"/>
      <c r="S751" s="364"/>
      <c r="T751" s="364"/>
      <c r="U751" s="364"/>
      <c r="V751" s="364"/>
      <c r="W751" s="364"/>
      <c r="X751" s="364"/>
      <c r="Y751" s="364"/>
      <c r="Z751" s="364"/>
    </row>
    <row r="752" spans="1:26" ht="15.75" customHeight="1" x14ac:dyDescent="0.25">
      <c r="A752" s="364"/>
      <c r="B752" s="364"/>
      <c r="C752" s="364"/>
      <c r="D752" s="364"/>
      <c r="E752" s="364"/>
      <c r="F752" s="364"/>
      <c r="G752" s="364"/>
      <c r="H752" s="364"/>
      <c r="I752" s="364"/>
      <c r="J752" s="364"/>
      <c r="K752" s="364"/>
      <c r="L752" s="364"/>
      <c r="M752" s="364"/>
      <c r="N752" s="364"/>
      <c r="O752" s="364"/>
      <c r="P752" s="364"/>
      <c r="Q752" s="364"/>
      <c r="R752" s="364"/>
      <c r="S752" s="364"/>
      <c r="T752" s="364"/>
      <c r="U752" s="364"/>
      <c r="V752" s="364"/>
      <c r="W752" s="364"/>
      <c r="X752" s="364"/>
      <c r="Y752" s="364"/>
      <c r="Z752" s="364"/>
    </row>
    <row r="753" spans="1:26" ht="15.75" customHeight="1" x14ac:dyDescent="0.25">
      <c r="A753" s="364"/>
      <c r="B753" s="364"/>
      <c r="C753" s="364"/>
      <c r="D753" s="364"/>
      <c r="E753" s="364"/>
      <c r="F753" s="364"/>
      <c r="G753" s="364"/>
      <c r="H753" s="364"/>
      <c r="I753" s="364"/>
      <c r="J753" s="364"/>
      <c r="K753" s="364"/>
      <c r="L753" s="364"/>
      <c r="M753" s="364"/>
      <c r="N753" s="364"/>
      <c r="O753" s="364"/>
      <c r="P753" s="364"/>
      <c r="Q753" s="364"/>
      <c r="R753" s="364"/>
      <c r="S753" s="364"/>
      <c r="T753" s="364"/>
      <c r="U753" s="364"/>
      <c r="V753" s="364"/>
      <c r="W753" s="364"/>
      <c r="X753" s="364"/>
      <c r="Y753" s="364"/>
      <c r="Z753" s="364"/>
    </row>
    <row r="754" spans="1:26" ht="15.75" customHeight="1" x14ac:dyDescent="0.25">
      <c r="A754" s="364"/>
      <c r="B754" s="364"/>
      <c r="C754" s="364"/>
      <c r="D754" s="364"/>
      <c r="E754" s="364"/>
      <c r="F754" s="364"/>
      <c r="G754" s="364"/>
      <c r="H754" s="364"/>
      <c r="I754" s="364"/>
      <c r="J754" s="364"/>
      <c r="K754" s="364"/>
      <c r="L754" s="364"/>
      <c r="M754" s="364"/>
      <c r="N754" s="364"/>
      <c r="O754" s="364"/>
      <c r="P754" s="364"/>
      <c r="Q754" s="364"/>
      <c r="R754" s="364"/>
      <c r="S754" s="364"/>
      <c r="T754" s="364"/>
      <c r="U754" s="364"/>
      <c r="V754" s="364"/>
      <c r="W754" s="364"/>
      <c r="X754" s="364"/>
      <c r="Y754" s="364"/>
      <c r="Z754" s="364"/>
    </row>
    <row r="755" spans="1:26" ht="15.75" customHeight="1" x14ac:dyDescent="0.25">
      <c r="A755" s="364"/>
      <c r="B755" s="364"/>
      <c r="C755" s="364"/>
      <c r="D755" s="364"/>
      <c r="E755" s="364"/>
      <c r="F755" s="364"/>
      <c r="G755" s="364"/>
      <c r="H755" s="364"/>
      <c r="I755" s="364"/>
      <c r="J755" s="364"/>
      <c r="K755" s="364"/>
      <c r="L755" s="364"/>
      <c r="M755" s="364"/>
      <c r="N755" s="364"/>
      <c r="O755" s="364"/>
      <c r="P755" s="364"/>
      <c r="Q755" s="364"/>
      <c r="R755" s="364"/>
      <c r="S755" s="364"/>
      <c r="T755" s="364"/>
      <c r="U755" s="364"/>
      <c r="V755" s="364"/>
      <c r="W755" s="364"/>
      <c r="X755" s="364"/>
      <c r="Y755" s="364"/>
      <c r="Z755" s="364"/>
    </row>
    <row r="756" spans="1:26" ht="15.75" customHeight="1" x14ac:dyDescent="0.25">
      <c r="A756" s="364"/>
      <c r="B756" s="364"/>
      <c r="C756" s="364"/>
      <c r="D756" s="364"/>
      <c r="E756" s="364"/>
      <c r="F756" s="364"/>
      <c r="G756" s="364"/>
      <c r="H756" s="364"/>
      <c r="I756" s="364"/>
      <c r="J756" s="364"/>
      <c r="K756" s="364"/>
      <c r="L756" s="364"/>
      <c r="M756" s="364"/>
      <c r="N756" s="364"/>
      <c r="O756" s="364"/>
      <c r="P756" s="364"/>
      <c r="Q756" s="364"/>
      <c r="R756" s="364"/>
      <c r="S756" s="364"/>
      <c r="T756" s="364"/>
      <c r="U756" s="364"/>
      <c r="V756" s="364"/>
      <c r="W756" s="364"/>
      <c r="X756" s="364"/>
      <c r="Y756" s="364"/>
      <c r="Z756" s="364"/>
    </row>
    <row r="757" spans="1:26" ht="15.75" customHeight="1" x14ac:dyDescent="0.25">
      <c r="A757" s="364"/>
      <c r="B757" s="364"/>
      <c r="C757" s="364"/>
      <c r="D757" s="364"/>
      <c r="E757" s="364"/>
      <c r="F757" s="364"/>
      <c r="G757" s="364"/>
      <c r="H757" s="364"/>
      <c r="I757" s="364"/>
      <c r="J757" s="364"/>
      <c r="K757" s="364"/>
      <c r="L757" s="364"/>
      <c r="M757" s="364"/>
      <c r="N757" s="364"/>
      <c r="O757" s="364"/>
      <c r="P757" s="364"/>
      <c r="Q757" s="364"/>
      <c r="R757" s="364"/>
      <c r="S757" s="364"/>
      <c r="T757" s="364"/>
      <c r="U757" s="364"/>
      <c r="V757" s="364"/>
      <c r="W757" s="364"/>
      <c r="X757" s="364"/>
      <c r="Y757" s="364"/>
      <c r="Z757" s="364"/>
    </row>
    <row r="758" spans="1:26" ht="15.75" customHeight="1" x14ac:dyDescent="0.25">
      <c r="A758" s="364"/>
      <c r="B758" s="364"/>
      <c r="C758" s="364"/>
      <c r="D758" s="364"/>
      <c r="E758" s="364"/>
      <c r="F758" s="364"/>
      <c r="G758" s="364"/>
      <c r="H758" s="364"/>
      <c r="I758" s="364"/>
      <c r="J758" s="364"/>
      <c r="K758" s="364"/>
      <c r="L758" s="364"/>
      <c r="M758" s="364"/>
      <c r="N758" s="364"/>
      <c r="O758" s="364"/>
      <c r="P758" s="364"/>
      <c r="Q758" s="364"/>
      <c r="R758" s="364"/>
      <c r="S758" s="364"/>
      <c r="T758" s="364"/>
      <c r="U758" s="364"/>
      <c r="V758" s="364"/>
      <c r="W758" s="364"/>
      <c r="X758" s="364"/>
      <c r="Y758" s="364"/>
      <c r="Z758" s="364"/>
    </row>
    <row r="759" spans="1:26" ht="15.75" customHeight="1" x14ac:dyDescent="0.25">
      <c r="A759" s="364"/>
      <c r="B759" s="364"/>
      <c r="C759" s="364"/>
      <c r="D759" s="364"/>
      <c r="E759" s="364"/>
      <c r="F759" s="364"/>
      <c r="G759" s="364"/>
      <c r="H759" s="364"/>
      <c r="I759" s="364"/>
      <c r="J759" s="364"/>
      <c r="K759" s="364"/>
      <c r="L759" s="364"/>
      <c r="M759" s="364"/>
      <c r="N759" s="364"/>
      <c r="O759" s="364"/>
      <c r="P759" s="364"/>
      <c r="Q759" s="364"/>
      <c r="R759" s="364"/>
      <c r="S759" s="364"/>
      <c r="T759" s="364"/>
      <c r="U759" s="364"/>
      <c r="V759" s="364"/>
      <c r="W759" s="364"/>
      <c r="X759" s="364"/>
      <c r="Y759" s="364"/>
      <c r="Z759" s="364"/>
    </row>
    <row r="760" spans="1:26" ht="15.75" customHeight="1" x14ac:dyDescent="0.25">
      <c r="A760" s="364"/>
      <c r="B760" s="364"/>
      <c r="C760" s="364"/>
      <c r="D760" s="364"/>
      <c r="E760" s="364"/>
      <c r="F760" s="364"/>
      <c r="G760" s="364"/>
      <c r="H760" s="364"/>
      <c r="I760" s="364"/>
      <c r="J760" s="364"/>
      <c r="K760" s="364"/>
      <c r="L760" s="364"/>
      <c r="M760" s="364"/>
      <c r="N760" s="364"/>
      <c r="O760" s="364"/>
      <c r="P760" s="364"/>
      <c r="Q760" s="364"/>
      <c r="R760" s="364"/>
      <c r="S760" s="364"/>
      <c r="T760" s="364"/>
      <c r="U760" s="364"/>
      <c r="V760" s="364"/>
      <c r="W760" s="364"/>
      <c r="X760" s="364"/>
      <c r="Y760" s="364"/>
      <c r="Z760" s="364"/>
    </row>
    <row r="761" spans="1:26" ht="15.75" customHeight="1" x14ac:dyDescent="0.25">
      <c r="A761" s="364"/>
      <c r="B761" s="364"/>
      <c r="C761" s="364"/>
      <c r="D761" s="364"/>
      <c r="E761" s="364"/>
      <c r="F761" s="364"/>
      <c r="G761" s="364"/>
      <c r="H761" s="364"/>
      <c r="I761" s="364"/>
      <c r="J761" s="364"/>
      <c r="K761" s="364"/>
      <c r="L761" s="364"/>
      <c r="M761" s="364"/>
      <c r="N761" s="364"/>
      <c r="O761" s="364"/>
      <c r="P761" s="364"/>
      <c r="Q761" s="364"/>
      <c r="R761" s="364"/>
      <c r="S761" s="364"/>
      <c r="T761" s="364"/>
      <c r="U761" s="364"/>
      <c r="V761" s="364"/>
      <c r="W761" s="364"/>
      <c r="X761" s="364"/>
      <c r="Y761" s="364"/>
      <c r="Z761" s="364"/>
    </row>
    <row r="762" spans="1:26" ht="15.75" customHeight="1" x14ac:dyDescent="0.25">
      <c r="A762" s="364"/>
      <c r="B762" s="364"/>
      <c r="C762" s="364"/>
      <c r="D762" s="364"/>
      <c r="E762" s="364"/>
      <c r="F762" s="364"/>
      <c r="G762" s="364"/>
      <c r="H762" s="364"/>
      <c r="I762" s="364"/>
      <c r="J762" s="364"/>
      <c r="K762" s="364"/>
      <c r="L762" s="364"/>
      <c r="M762" s="364"/>
      <c r="N762" s="364"/>
      <c r="O762" s="364"/>
      <c r="P762" s="364"/>
      <c r="Q762" s="364"/>
      <c r="R762" s="364"/>
      <c r="S762" s="364"/>
      <c r="T762" s="364"/>
      <c r="U762" s="364"/>
      <c r="V762" s="364"/>
      <c r="W762" s="364"/>
      <c r="X762" s="364"/>
      <c r="Y762" s="364"/>
      <c r="Z762" s="364"/>
    </row>
    <row r="763" spans="1:26" ht="15.75" customHeight="1" x14ac:dyDescent="0.25">
      <c r="A763" s="364"/>
      <c r="B763" s="364"/>
      <c r="C763" s="364"/>
      <c r="D763" s="364"/>
      <c r="E763" s="364"/>
      <c r="F763" s="364"/>
      <c r="G763" s="364"/>
      <c r="H763" s="364"/>
      <c r="I763" s="364"/>
      <c r="J763" s="364"/>
      <c r="K763" s="364"/>
      <c r="L763" s="364"/>
      <c r="M763" s="364"/>
      <c r="N763" s="364"/>
      <c r="O763" s="364"/>
      <c r="P763" s="364"/>
      <c r="Q763" s="364"/>
      <c r="R763" s="364"/>
      <c r="S763" s="364"/>
      <c r="T763" s="364"/>
      <c r="U763" s="364"/>
      <c r="V763" s="364"/>
      <c r="W763" s="364"/>
      <c r="X763" s="364"/>
      <c r="Y763" s="364"/>
      <c r="Z763" s="364"/>
    </row>
    <row r="764" spans="1:26" ht="15.75" customHeight="1" x14ac:dyDescent="0.25">
      <c r="A764" s="364"/>
      <c r="B764" s="364"/>
      <c r="C764" s="364"/>
      <c r="D764" s="364"/>
      <c r="E764" s="364"/>
      <c r="F764" s="364"/>
      <c r="G764" s="364"/>
      <c r="H764" s="364"/>
      <c r="I764" s="364"/>
      <c r="J764" s="364"/>
      <c r="K764" s="364"/>
      <c r="L764" s="364"/>
      <c r="M764" s="364"/>
      <c r="N764" s="364"/>
      <c r="O764" s="364"/>
      <c r="P764" s="364"/>
      <c r="Q764" s="364"/>
      <c r="R764" s="364"/>
      <c r="S764" s="364"/>
      <c r="T764" s="364"/>
      <c r="U764" s="364"/>
      <c r="V764" s="364"/>
      <c r="W764" s="364"/>
      <c r="X764" s="364"/>
      <c r="Y764" s="364"/>
      <c r="Z764" s="364"/>
    </row>
    <row r="765" spans="1:26" ht="15.75" customHeight="1" x14ac:dyDescent="0.25">
      <c r="A765" s="364"/>
      <c r="B765" s="364"/>
      <c r="C765" s="364"/>
      <c r="D765" s="364"/>
      <c r="E765" s="364"/>
      <c r="F765" s="364"/>
      <c r="G765" s="364"/>
      <c r="H765" s="364"/>
      <c r="I765" s="364"/>
      <c r="J765" s="364"/>
      <c r="K765" s="364"/>
      <c r="L765" s="364"/>
      <c r="M765" s="364"/>
      <c r="N765" s="364"/>
      <c r="O765" s="364"/>
      <c r="P765" s="364"/>
      <c r="Q765" s="364"/>
      <c r="R765" s="364"/>
      <c r="S765" s="364"/>
      <c r="T765" s="364"/>
      <c r="U765" s="364"/>
      <c r="V765" s="364"/>
      <c r="W765" s="364"/>
      <c r="X765" s="364"/>
      <c r="Y765" s="364"/>
      <c r="Z765" s="364"/>
    </row>
    <row r="766" spans="1:26" ht="15.75" customHeight="1" x14ac:dyDescent="0.25">
      <c r="A766" s="364"/>
      <c r="B766" s="364"/>
      <c r="C766" s="364"/>
      <c r="D766" s="364"/>
      <c r="E766" s="364"/>
      <c r="F766" s="364"/>
      <c r="G766" s="364"/>
      <c r="H766" s="364"/>
      <c r="I766" s="364"/>
      <c r="J766" s="364"/>
      <c r="K766" s="364"/>
      <c r="L766" s="364"/>
      <c r="M766" s="364"/>
      <c r="N766" s="364"/>
      <c r="O766" s="364"/>
      <c r="P766" s="364"/>
      <c r="Q766" s="364"/>
      <c r="R766" s="364"/>
      <c r="S766" s="364"/>
      <c r="T766" s="364"/>
      <c r="U766" s="364"/>
      <c r="V766" s="364"/>
      <c r="W766" s="364"/>
      <c r="X766" s="364"/>
      <c r="Y766" s="364"/>
      <c r="Z766" s="364"/>
    </row>
    <row r="767" spans="1:26" ht="15.75" customHeight="1" x14ac:dyDescent="0.25">
      <c r="A767" s="364"/>
      <c r="B767" s="364"/>
      <c r="C767" s="364"/>
      <c r="D767" s="364"/>
      <c r="E767" s="364"/>
      <c r="F767" s="364"/>
      <c r="G767" s="364"/>
      <c r="H767" s="364"/>
      <c r="I767" s="364"/>
      <c r="J767" s="364"/>
      <c r="K767" s="364"/>
      <c r="L767" s="364"/>
      <c r="M767" s="364"/>
      <c r="N767" s="364"/>
      <c r="O767" s="364"/>
      <c r="P767" s="364"/>
      <c r="Q767" s="364"/>
      <c r="R767" s="364"/>
      <c r="S767" s="364"/>
      <c r="T767" s="364"/>
      <c r="U767" s="364"/>
      <c r="V767" s="364"/>
      <c r="W767" s="364"/>
      <c r="X767" s="364"/>
      <c r="Y767" s="364"/>
      <c r="Z767" s="364"/>
    </row>
    <row r="768" spans="1:26" ht="15.75" customHeight="1" x14ac:dyDescent="0.25">
      <c r="A768" s="364"/>
      <c r="B768" s="364"/>
      <c r="C768" s="364"/>
      <c r="D768" s="364"/>
      <c r="E768" s="364"/>
      <c r="F768" s="364"/>
      <c r="G768" s="364"/>
      <c r="H768" s="364"/>
      <c r="I768" s="364"/>
      <c r="J768" s="364"/>
      <c r="K768" s="364"/>
      <c r="L768" s="364"/>
      <c r="M768" s="364"/>
      <c r="N768" s="364"/>
      <c r="O768" s="364"/>
      <c r="P768" s="364"/>
      <c r="Q768" s="364"/>
      <c r="R768" s="364"/>
      <c r="S768" s="364"/>
      <c r="T768" s="364"/>
      <c r="U768" s="364"/>
      <c r="V768" s="364"/>
      <c r="W768" s="364"/>
      <c r="X768" s="364"/>
      <c r="Y768" s="364"/>
      <c r="Z768" s="364"/>
    </row>
    <row r="769" spans="1:26" ht="15.75" customHeight="1" x14ac:dyDescent="0.25">
      <c r="A769" s="364"/>
      <c r="B769" s="364"/>
      <c r="C769" s="364"/>
      <c r="D769" s="364"/>
      <c r="E769" s="364"/>
      <c r="F769" s="364"/>
      <c r="G769" s="364"/>
      <c r="H769" s="364"/>
      <c r="I769" s="364"/>
      <c r="J769" s="364"/>
      <c r="K769" s="364"/>
      <c r="L769" s="364"/>
      <c r="M769" s="364"/>
      <c r="N769" s="364"/>
      <c r="O769" s="364"/>
      <c r="P769" s="364"/>
      <c r="Q769" s="364"/>
      <c r="R769" s="364"/>
      <c r="S769" s="364"/>
      <c r="T769" s="364"/>
      <c r="U769" s="364"/>
      <c r="V769" s="364"/>
      <c r="W769" s="364"/>
      <c r="X769" s="364"/>
      <c r="Y769" s="364"/>
      <c r="Z769" s="364"/>
    </row>
    <row r="770" spans="1:26" ht="15.75" customHeight="1" x14ac:dyDescent="0.25">
      <c r="A770" s="364"/>
      <c r="B770" s="364"/>
      <c r="C770" s="364"/>
      <c r="D770" s="364"/>
      <c r="E770" s="364"/>
      <c r="F770" s="364"/>
      <c r="G770" s="364"/>
      <c r="H770" s="364"/>
      <c r="I770" s="364"/>
      <c r="J770" s="364"/>
      <c r="K770" s="364"/>
      <c r="L770" s="364"/>
      <c r="M770" s="364"/>
      <c r="N770" s="364"/>
      <c r="O770" s="364"/>
      <c r="P770" s="364"/>
      <c r="Q770" s="364"/>
      <c r="R770" s="364"/>
      <c r="S770" s="364"/>
      <c r="T770" s="364"/>
      <c r="U770" s="364"/>
      <c r="V770" s="364"/>
      <c r="W770" s="364"/>
      <c r="X770" s="364"/>
      <c r="Y770" s="364"/>
      <c r="Z770" s="364"/>
    </row>
    <row r="771" spans="1:26" ht="15.75" customHeight="1" x14ac:dyDescent="0.25">
      <c r="A771" s="364"/>
      <c r="B771" s="364"/>
      <c r="C771" s="364"/>
      <c r="D771" s="364"/>
      <c r="E771" s="364"/>
      <c r="F771" s="364"/>
      <c r="G771" s="364"/>
      <c r="H771" s="364"/>
      <c r="I771" s="364"/>
      <c r="J771" s="364"/>
      <c r="K771" s="364"/>
      <c r="L771" s="364"/>
      <c r="M771" s="364"/>
      <c r="N771" s="364"/>
      <c r="O771" s="364"/>
      <c r="P771" s="364"/>
      <c r="Q771" s="364"/>
      <c r="R771" s="364"/>
      <c r="S771" s="364"/>
      <c r="T771" s="364"/>
      <c r="U771" s="364"/>
      <c r="V771" s="364"/>
      <c r="W771" s="364"/>
      <c r="X771" s="364"/>
      <c r="Y771" s="364"/>
      <c r="Z771" s="364"/>
    </row>
    <row r="772" spans="1:26" ht="15.75" customHeight="1" x14ac:dyDescent="0.25">
      <c r="A772" s="364"/>
      <c r="B772" s="364"/>
      <c r="C772" s="364"/>
      <c r="D772" s="364"/>
      <c r="E772" s="364"/>
      <c r="F772" s="364"/>
      <c r="G772" s="364"/>
      <c r="H772" s="364"/>
      <c r="I772" s="364"/>
      <c r="J772" s="364"/>
      <c r="K772" s="364"/>
      <c r="L772" s="364"/>
      <c r="M772" s="364"/>
      <c r="N772" s="364"/>
      <c r="O772" s="364"/>
      <c r="P772" s="364"/>
      <c r="Q772" s="364"/>
      <c r="R772" s="364"/>
      <c r="S772" s="364"/>
      <c r="T772" s="364"/>
      <c r="U772" s="364"/>
      <c r="V772" s="364"/>
      <c r="W772" s="364"/>
      <c r="X772" s="364"/>
      <c r="Y772" s="364"/>
      <c r="Z772" s="364"/>
    </row>
    <row r="773" spans="1:26" ht="15.75" customHeight="1" x14ac:dyDescent="0.25">
      <c r="A773" s="364"/>
      <c r="B773" s="364"/>
      <c r="C773" s="364"/>
      <c r="D773" s="364"/>
      <c r="E773" s="364"/>
      <c r="F773" s="364"/>
      <c r="G773" s="364"/>
      <c r="H773" s="364"/>
      <c r="I773" s="364"/>
      <c r="J773" s="364"/>
      <c r="K773" s="364"/>
      <c r="L773" s="364"/>
      <c r="M773" s="364"/>
      <c r="N773" s="364"/>
      <c r="O773" s="364"/>
      <c r="P773" s="364"/>
      <c r="Q773" s="364"/>
      <c r="R773" s="364"/>
      <c r="S773" s="364"/>
      <c r="T773" s="364"/>
      <c r="U773" s="364"/>
      <c r="V773" s="364"/>
      <c r="W773" s="364"/>
      <c r="X773" s="364"/>
      <c r="Y773" s="364"/>
      <c r="Z773" s="364"/>
    </row>
    <row r="774" spans="1:26" ht="15.75" customHeight="1" x14ac:dyDescent="0.25">
      <c r="A774" s="364"/>
      <c r="B774" s="364"/>
      <c r="C774" s="364"/>
      <c r="D774" s="364"/>
      <c r="E774" s="364"/>
      <c r="F774" s="364"/>
      <c r="G774" s="364"/>
      <c r="H774" s="364"/>
      <c r="I774" s="364"/>
      <c r="J774" s="364"/>
      <c r="K774" s="364"/>
      <c r="L774" s="364"/>
      <c r="M774" s="364"/>
      <c r="N774" s="364"/>
      <c r="O774" s="364"/>
      <c r="P774" s="364"/>
      <c r="Q774" s="364"/>
      <c r="R774" s="364"/>
      <c r="S774" s="364"/>
      <c r="T774" s="364"/>
      <c r="U774" s="364"/>
      <c r="V774" s="364"/>
      <c r="W774" s="364"/>
      <c r="X774" s="364"/>
      <c r="Y774" s="364"/>
      <c r="Z774" s="364"/>
    </row>
    <row r="775" spans="1:26" ht="15.75" customHeight="1" x14ac:dyDescent="0.25">
      <c r="A775" s="364"/>
      <c r="B775" s="364"/>
      <c r="C775" s="364"/>
      <c r="D775" s="364"/>
      <c r="E775" s="364"/>
      <c r="F775" s="364"/>
      <c r="G775" s="364"/>
      <c r="H775" s="364"/>
      <c r="I775" s="364"/>
      <c r="J775" s="364"/>
      <c r="K775" s="364"/>
      <c r="L775" s="364"/>
      <c r="M775" s="364"/>
      <c r="N775" s="364"/>
      <c r="O775" s="364"/>
      <c r="P775" s="364"/>
      <c r="Q775" s="364"/>
      <c r="R775" s="364"/>
      <c r="S775" s="364"/>
      <c r="T775" s="364"/>
      <c r="U775" s="364"/>
      <c r="V775" s="364"/>
      <c r="W775" s="364"/>
      <c r="X775" s="364"/>
      <c r="Y775" s="364"/>
      <c r="Z775" s="364"/>
    </row>
    <row r="776" spans="1:26" ht="15.75" customHeight="1" x14ac:dyDescent="0.25">
      <c r="A776" s="364"/>
      <c r="B776" s="364"/>
      <c r="C776" s="364"/>
      <c r="D776" s="364"/>
      <c r="E776" s="364"/>
      <c r="F776" s="364"/>
      <c r="G776" s="364"/>
      <c r="H776" s="364"/>
      <c r="I776" s="364"/>
      <c r="J776" s="364"/>
      <c r="K776" s="364"/>
      <c r="L776" s="364"/>
      <c r="M776" s="364"/>
      <c r="N776" s="364"/>
      <c r="O776" s="364"/>
      <c r="P776" s="364"/>
      <c r="Q776" s="364"/>
      <c r="R776" s="364"/>
      <c r="S776" s="364"/>
      <c r="T776" s="364"/>
      <c r="U776" s="364"/>
      <c r="V776" s="364"/>
      <c r="W776" s="364"/>
      <c r="X776" s="364"/>
      <c r="Y776" s="364"/>
      <c r="Z776" s="364"/>
    </row>
    <row r="777" spans="1:26" ht="15.75" customHeight="1" x14ac:dyDescent="0.25">
      <c r="A777" s="364"/>
      <c r="B777" s="364"/>
      <c r="C777" s="364"/>
      <c r="D777" s="364"/>
      <c r="E777" s="364"/>
      <c r="F777" s="364"/>
      <c r="G777" s="364"/>
      <c r="H777" s="364"/>
      <c r="I777" s="364"/>
      <c r="J777" s="364"/>
      <c r="K777" s="364"/>
      <c r="L777" s="364"/>
      <c r="M777" s="364"/>
      <c r="N777" s="364"/>
      <c r="O777" s="364"/>
      <c r="P777" s="364"/>
      <c r="Q777" s="364"/>
      <c r="R777" s="364"/>
      <c r="S777" s="364"/>
      <c r="T777" s="364"/>
      <c r="U777" s="364"/>
      <c r="V777" s="364"/>
      <c r="W777" s="364"/>
      <c r="X777" s="364"/>
      <c r="Y777" s="364"/>
      <c r="Z777" s="364"/>
    </row>
    <row r="778" spans="1:26" ht="15.75" customHeight="1" x14ac:dyDescent="0.25">
      <c r="A778" s="364"/>
      <c r="B778" s="364"/>
      <c r="C778" s="364"/>
      <c r="D778" s="364"/>
      <c r="E778" s="364"/>
      <c r="F778" s="364"/>
      <c r="G778" s="364"/>
      <c r="H778" s="364"/>
      <c r="I778" s="364"/>
      <c r="J778" s="364"/>
      <c r="K778" s="364"/>
      <c r="L778" s="364"/>
      <c r="M778" s="364"/>
      <c r="N778" s="364"/>
      <c r="O778" s="364"/>
      <c r="P778" s="364"/>
      <c r="Q778" s="364"/>
      <c r="R778" s="364"/>
      <c r="S778" s="364"/>
      <c r="T778" s="364"/>
      <c r="U778" s="364"/>
      <c r="V778" s="364"/>
      <c r="W778" s="364"/>
      <c r="X778" s="364"/>
      <c r="Y778" s="364"/>
      <c r="Z778" s="364"/>
    </row>
    <row r="779" spans="1:26" ht="15.75" customHeight="1" x14ac:dyDescent="0.25">
      <c r="A779" s="364"/>
      <c r="B779" s="364"/>
      <c r="C779" s="364"/>
      <c r="D779" s="364"/>
      <c r="E779" s="364"/>
      <c r="F779" s="364"/>
      <c r="G779" s="364"/>
      <c r="H779" s="364"/>
      <c r="I779" s="364"/>
      <c r="J779" s="364"/>
      <c r="K779" s="364"/>
      <c r="L779" s="364"/>
      <c r="M779" s="364"/>
      <c r="N779" s="364"/>
      <c r="O779" s="364"/>
      <c r="P779" s="364"/>
      <c r="Q779" s="364"/>
      <c r="R779" s="364"/>
      <c r="S779" s="364"/>
      <c r="T779" s="364"/>
      <c r="U779" s="364"/>
      <c r="V779" s="364"/>
      <c r="W779" s="364"/>
      <c r="X779" s="364"/>
      <c r="Y779" s="364"/>
      <c r="Z779" s="364"/>
    </row>
    <row r="780" spans="1:26" ht="15.75" customHeight="1" x14ac:dyDescent="0.25">
      <c r="A780" s="364"/>
      <c r="B780" s="364"/>
      <c r="C780" s="364"/>
      <c r="D780" s="364"/>
      <c r="E780" s="364"/>
      <c r="F780" s="364"/>
      <c r="G780" s="364"/>
      <c r="H780" s="364"/>
      <c r="I780" s="364"/>
      <c r="J780" s="364"/>
      <c r="K780" s="364"/>
      <c r="L780" s="364"/>
      <c r="M780" s="364"/>
      <c r="N780" s="364"/>
      <c r="O780" s="364"/>
      <c r="P780" s="364"/>
      <c r="Q780" s="364"/>
      <c r="R780" s="364"/>
      <c r="S780" s="364"/>
      <c r="T780" s="364"/>
      <c r="U780" s="364"/>
      <c r="V780" s="364"/>
      <c r="W780" s="364"/>
      <c r="X780" s="364"/>
      <c r="Y780" s="364"/>
      <c r="Z780" s="364"/>
    </row>
    <row r="781" spans="1:26" ht="15.75" customHeight="1" x14ac:dyDescent="0.25">
      <c r="A781" s="364"/>
      <c r="B781" s="364"/>
      <c r="C781" s="364"/>
      <c r="D781" s="364"/>
      <c r="E781" s="364"/>
      <c r="F781" s="364"/>
      <c r="G781" s="364"/>
      <c r="H781" s="364"/>
      <c r="I781" s="364"/>
      <c r="J781" s="364"/>
      <c r="K781" s="364"/>
      <c r="L781" s="364"/>
      <c r="M781" s="364"/>
      <c r="N781" s="364"/>
      <c r="O781" s="364"/>
      <c r="P781" s="364"/>
      <c r="Q781" s="364"/>
      <c r="R781" s="364"/>
      <c r="S781" s="364"/>
      <c r="T781" s="364"/>
      <c r="U781" s="364"/>
      <c r="V781" s="364"/>
      <c r="W781" s="364"/>
      <c r="X781" s="364"/>
      <c r="Y781" s="364"/>
      <c r="Z781" s="364"/>
    </row>
    <row r="782" spans="1:26" ht="15.75" customHeight="1" x14ac:dyDescent="0.25">
      <c r="A782" s="364"/>
      <c r="B782" s="364"/>
      <c r="C782" s="364"/>
      <c r="D782" s="364"/>
      <c r="E782" s="364"/>
      <c r="F782" s="364"/>
      <c r="G782" s="364"/>
      <c r="H782" s="364"/>
      <c r="I782" s="364"/>
      <c r="J782" s="364"/>
      <c r="K782" s="364"/>
      <c r="L782" s="364"/>
      <c r="M782" s="364"/>
      <c r="N782" s="364"/>
      <c r="O782" s="364"/>
      <c r="P782" s="364"/>
      <c r="Q782" s="364"/>
      <c r="R782" s="364"/>
      <c r="S782" s="364"/>
      <c r="T782" s="364"/>
      <c r="U782" s="364"/>
      <c r="V782" s="364"/>
      <c r="W782" s="364"/>
      <c r="X782" s="364"/>
      <c r="Y782" s="364"/>
      <c r="Z782" s="364"/>
    </row>
    <row r="783" spans="1:26" ht="15.75" customHeight="1" x14ac:dyDescent="0.25">
      <c r="A783" s="364"/>
      <c r="B783" s="364"/>
      <c r="C783" s="364"/>
      <c r="D783" s="364"/>
      <c r="E783" s="364"/>
      <c r="F783" s="364"/>
      <c r="G783" s="364"/>
      <c r="H783" s="364"/>
      <c r="I783" s="364"/>
      <c r="J783" s="364"/>
      <c r="K783" s="364"/>
      <c r="L783" s="364"/>
      <c r="M783" s="364"/>
      <c r="N783" s="364"/>
      <c r="O783" s="364"/>
      <c r="P783" s="364"/>
      <c r="Q783" s="364"/>
      <c r="R783" s="364"/>
      <c r="S783" s="364"/>
      <c r="T783" s="364"/>
      <c r="U783" s="364"/>
      <c r="V783" s="364"/>
      <c r="W783" s="364"/>
      <c r="X783" s="364"/>
      <c r="Y783" s="364"/>
      <c r="Z783" s="364"/>
    </row>
    <row r="784" spans="1:26" ht="15.75" customHeight="1" x14ac:dyDescent="0.25">
      <c r="A784" s="364"/>
      <c r="B784" s="364"/>
      <c r="C784" s="364"/>
      <c r="D784" s="364"/>
      <c r="E784" s="364"/>
      <c r="F784" s="364"/>
      <c r="G784" s="364"/>
      <c r="H784" s="364"/>
      <c r="I784" s="364"/>
      <c r="J784" s="364"/>
      <c r="K784" s="364"/>
      <c r="L784" s="364"/>
      <c r="M784" s="364"/>
      <c r="N784" s="364"/>
      <c r="O784" s="364"/>
      <c r="P784" s="364"/>
      <c r="Q784" s="364"/>
      <c r="R784" s="364"/>
      <c r="S784" s="364"/>
      <c r="T784" s="364"/>
      <c r="U784" s="364"/>
      <c r="V784" s="364"/>
      <c r="W784" s="364"/>
      <c r="X784" s="364"/>
      <c r="Y784" s="364"/>
      <c r="Z784" s="364"/>
    </row>
    <row r="785" spans="1:26" ht="15.75" customHeight="1" x14ac:dyDescent="0.25">
      <c r="A785" s="364"/>
      <c r="B785" s="364"/>
      <c r="C785" s="364"/>
      <c r="D785" s="364"/>
      <c r="E785" s="364"/>
      <c r="F785" s="364"/>
      <c r="G785" s="364"/>
      <c r="H785" s="364"/>
      <c r="I785" s="364"/>
      <c r="J785" s="364"/>
      <c r="K785" s="364"/>
      <c r="L785" s="364"/>
      <c r="M785" s="364"/>
      <c r="N785" s="364"/>
      <c r="O785" s="364"/>
      <c r="P785" s="364"/>
      <c r="Q785" s="364"/>
      <c r="R785" s="364"/>
      <c r="S785" s="364"/>
      <c r="T785" s="364"/>
      <c r="U785" s="364"/>
      <c r="V785" s="364"/>
      <c r="W785" s="364"/>
      <c r="X785" s="364"/>
      <c r="Y785" s="364"/>
      <c r="Z785" s="364"/>
    </row>
    <row r="786" spans="1:26" ht="15.75" customHeight="1" x14ac:dyDescent="0.25">
      <c r="A786" s="364"/>
      <c r="B786" s="364"/>
      <c r="C786" s="364"/>
      <c r="D786" s="364"/>
      <c r="E786" s="364"/>
      <c r="F786" s="364"/>
      <c r="G786" s="364"/>
      <c r="H786" s="364"/>
      <c r="I786" s="364"/>
      <c r="J786" s="364"/>
      <c r="K786" s="364"/>
      <c r="L786" s="364"/>
      <c r="M786" s="364"/>
      <c r="N786" s="364"/>
      <c r="O786" s="364"/>
      <c r="P786" s="364"/>
      <c r="Q786" s="364"/>
      <c r="R786" s="364"/>
      <c r="S786" s="364"/>
      <c r="T786" s="364"/>
      <c r="U786" s="364"/>
      <c r="V786" s="364"/>
      <c r="W786" s="364"/>
      <c r="X786" s="364"/>
      <c r="Y786" s="364"/>
      <c r="Z786" s="364"/>
    </row>
    <row r="787" spans="1:26" ht="15.75" customHeight="1" x14ac:dyDescent="0.25">
      <c r="A787" s="364"/>
      <c r="B787" s="364"/>
      <c r="C787" s="364"/>
      <c r="D787" s="364"/>
      <c r="E787" s="364"/>
      <c r="F787" s="364"/>
      <c r="G787" s="364"/>
      <c r="H787" s="364"/>
      <c r="I787" s="364"/>
      <c r="J787" s="364"/>
      <c r="K787" s="364"/>
      <c r="L787" s="364"/>
      <c r="M787" s="364"/>
      <c r="N787" s="364"/>
      <c r="O787" s="364"/>
      <c r="P787" s="364"/>
      <c r="Q787" s="364"/>
      <c r="R787" s="364"/>
      <c r="S787" s="364"/>
      <c r="T787" s="364"/>
      <c r="U787" s="364"/>
      <c r="V787" s="364"/>
      <c r="W787" s="364"/>
      <c r="X787" s="364"/>
      <c r="Y787" s="364"/>
      <c r="Z787" s="364"/>
    </row>
    <row r="788" spans="1:26" ht="15.75" customHeight="1" x14ac:dyDescent="0.25">
      <c r="A788" s="364"/>
      <c r="B788" s="364"/>
      <c r="C788" s="364"/>
      <c r="D788" s="364"/>
      <c r="E788" s="364"/>
      <c r="F788" s="364"/>
      <c r="G788" s="364"/>
      <c r="H788" s="364"/>
      <c r="I788" s="364"/>
      <c r="J788" s="364"/>
      <c r="K788" s="364"/>
      <c r="L788" s="364"/>
      <c r="M788" s="364"/>
      <c r="N788" s="364"/>
      <c r="O788" s="364"/>
      <c r="P788" s="364"/>
      <c r="Q788" s="364"/>
      <c r="R788" s="364"/>
      <c r="S788" s="364"/>
      <c r="T788" s="364"/>
      <c r="U788" s="364"/>
      <c r="V788" s="364"/>
      <c r="W788" s="364"/>
      <c r="X788" s="364"/>
      <c r="Y788" s="364"/>
      <c r="Z788" s="364"/>
    </row>
    <row r="789" spans="1:26" ht="15.75" customHeight="1" x14ac:dyDescent="0.25">
      <c r="A789" s="364"/>
      <c r="B789" s="364"/>
      <c r="C789" s="364"/>
      <c r="D789" s="364"/>
      <c r="E789" s="364"/>
      <c r="F789" s="364"/>
      <c r="G789" s="364"/>
      <c r="H789" s="364"/>
      <c r="I789" s="364"/>
      <c r="J789" s="364"/>
      <c r="K789" s="364"/>
      <c r="L789" s="364"/>
      <c r="M789" s="364"/>
      <c r="N789" s="364"/>
      <c r="O789" s="364"/>
      <c r="P789" s="364"/>
      <c r="Q789" s="364"/>
      <c r="R789" s="364"/>
      <c r="S789" s="364"/>
      <c r="T789" s="364"/>
      <c r="U789" s="364"/>
      <c r="V789" s="364"/>
      <c r="W789" s="364"/>
      <c r="X789" s="364"/>
      <c r="Y789" s="364"/>
      <c r="Z789" s="364"/>
    </row>
    <row r="790" spans="1:26" ht="15.75" customHeight="1" x14ac:dyDescent="0.25">
      <c r="A790" s="364"/>
      <c r="B790" s="364"/>
      <c r="C790" s="364"/>
      <c r="D790" s="364"/>
      <c r="E790" s="364"/>
      <c r="F790" s="364"/>
      <c r="G790" s="364"/>
      <c r="H790" s="364"/>
      <c r="I790" s="364"/>
      <c r="J790" s="364"/>
      <c r="K790" s="364"/>
      <c r="L790" s="364"/>
      <c r="M790" s="364"/>
      <c r="N790" s="364"/>
      <c r="O790" s="364"/>
      <c r="P790" s="364"/>
      <c r="Q790" s="364"/>
      <c r="R790" s="364"/>
      <c r="S790" s="364"/>
      <c r="T790" s="364"/>
      <c r="U790" s="364"/>
      <c r="V790" s="364"/>
      <c r="W790" s="364"/>
      <c r="X790" s="364"/>
      <c r="Y790" s="364"/>
      <c r="Z790" s="364"/>
    </row>
    <row r="791" spans="1:26" ht="15.75" customHeight="1" x14ac:dyDescent="0.25">
      <c r="A791" s="364"/>
      <c r="B791" s="364"/>
      <c r="C791" s="364"/>
      <c r="D791" s="364"/>
      <c r="E791" s="364"/>
      <c r="F791" s="364"/>
      <c r="G791" s="364"/>
      <c r="H791" s="364"/>
      <c r="I791" s="364"/>
      <c r="J791" s="364"/>
      <c r="K791" s="364"/>
      <c r="L791" s="364"/>
      <c r="M791" s="364"/>
      <c r="N791" s="364"/>
      <c r="O791" s="364"/>
      <c r="P791" s="364"/>
      <c r="Q791" s="364"/>
      <c r="R791" s="364"/>
      <c r="S791" s="364"/>
      <c r="T791" s="364"/>
      <c r="U791" s="364"/>
      <c r="V791" s="364"/>
      <c r="W791" s="364"/>
      <c r="X791" s="364"/>
      <c r="Y791" s="364"/>
      <c r="Z791" s="364"/>
    </row>
    <row r="792" spans="1:26" ht="15.75" customHeight="1" x14ac:dyDescent="0.25">
      <c r="A792" s="364"/>
      <c r="B792" s="364"/>
      <c r="C792" s="364"/>
      <c r="D792" s="364"/>
      <c r="E792" s="364"/>
      <c r="F792" s="364"/>
      <c r="G792" s="364"/>
      <c r="H792" s="364"/>
      <c r="I792" s="364"/>
      <c r="J792" s="364"/>
      <c r="K792" s="364"/>
      <c r="L792" s="364"/>
      <c r="M792" s="364"/>
      <c r="N792" s="364"/>
      <c r="O792" s="364"/>
      <c r="P792" s="364"/>
      <c r="Q792" s="364"/>
      <c r="R792" s="364"/>
      <c r="S792" s="364"/>
      <c r="T792" s="364"/>
      <c r="U792" s="364"/>
      <c r="V792" s="364"/>
      <c r="W792" s="364"/>
      <c r="X792" s="364"/>
      <c r="Y792" s="364"/>
      <c r="Z792" s="364"/>
    </row>
    <row r="793" spans="1:26" ht="15.75" customHeight="1" x14ac:dyDescent="0.25">
      <c r="A793" s="364"/>
      <c r="B793" s="364"/>
      <c r="C793" s="364"/>
      <c r="D793" s="364"/>
      <c r="E793" s="364"/>
      <c r="F793" s="364"/>
      <c r="G793" s="364"/>
      <c r="H793" s="364"/>
      <c r="I793" s="364"/>
      <c r="J793" s="364"/>
      <c r="K793" s="364"/>
      <c r="L793" s="364"/>
      <c r="M793" s="364"/>
      <c r="N793" s="364"/>
      <c r="O793" s="364"/>
      <c r="P793" s="364"/>
      <c r="Q793" s="364"/>
      <c r="R793" s="364"/>
      <c r="S793" s="364"/>
      <c r="T793" s="364"/>
      <c r="U793" s="364"/>
      <c r="V793" s="364"/>
      <c r="W793" s="364"/>
      <c r="X793" s="364"/>
      <c r="Y793" s="364"/>
      <c r="Z793" s="364"/>
    </row>
    <row r="794" spans="1:26" ht="15.75" customHeight="1" x14ac:dyDescent="0.25">
      <c r="A794" s="364"/>
      <c r="B794" s="364"/>
      <c r="C794" s="364"/>
      <c r="D794" s="364"/>
      <c r="E794" s="364"/>
      <c r="F794" s="364"/>
      <c r="G794" s="364"/>
      <c r="H794" s="364"/>
      <c r="I794" s="364"/>
      <c r="J794" s="364"/>
      <c r="K794" s="364"/>
      <c r="L794" s="364"/>
      <c r="M794" s="364"/>
      <c r="N794" s="364"/>
      <c r="O794" s="364"/>
      <c r="P794" s="364"/>
      <c r="Q794" s="364"/>
      <c r="R794" s="364"/>
      <c r="S794" s="364"/>
      <c r="T794" s="364"/>
      <c r="U794" s="364"/>
      <c r="V794" s="364"/>
      <c r="W794" s="364"/>
      <c r="X794" s="364"/>
      <c r="Y794" s="364"/>
      <c r="Z794" s="364"/>
    </row>
    <row r="795" spans="1:26" ht="15.75" customHeight="1" x14ac:dyDescent="0.25">
      <c r="A795" s="364"/>
      <c r="B795" s="364"/>
      <c r="C795" s="364"/>
      <c r="D795" s="364"/>
      <c r="E795" s="364"/>
      <c r="F795" s="364"/>
      <c r="G795" s="364"/>
      <c r="H795" s="364"/>
      <c r="I795" s="364"/>
      <c r="J795" s="364"/>
      <c r="K795" s="364"/>
      <c r="L795" s="364"/>
      <c r="M795" s="364"/>
      <c r="N795" s="364"/>
      <c r="O795" s="364"/>
      <c r="P795" s="364"/>
      <c r="Q795" s="364"/>
      <c r="R795" s="364"/>
      <c r="S795" s="364"/>
      <c r="T795" s="364"/>
      <c r="U795" s="364"/>
      <c r="V795" s="364"/>
      <c r="W795" s="364"/>
      <c r="X795" s="364"/>
      <c r="Y795" s="364"/>
      <c r="Z795" s="364"/>
    </row>
    <row r="796" spans="1:26" ht="15.75" customHeight="1" x14ac:dyDescent="0.25">
      <c r="A796" s="364"/>
      <c r="B796" s="364"/>
      <c r="C796" s="364"/>
      <c r="D796" s="364"/>
      <c r="E796" s="364"/>
      <c r="F796" s="364"/>
      <c r="G796" s="364"/>
      <c r="H796" s="364"/>
      <c r="I796" s="364"/>
      <c r="J796" s="364"/>
      <c r="K796" s="364"/>
      <c r="L796" s="364"/>
      <c r="M796" s="364"/>
      <c r="N796" s="364"/>
      <c r="O796" s="364"/>
      <c r="P796" s="364"/>
      <c r="Q796" s="364"/>
      <c r="R796" s="364"/>
      <c r="S796" s="364"/>
      <c r="T796" s="364"/>
      <c r="U796" s="364"/>
      <c r="V796" s="364"/>
      <c r="W796" s="364"/>
      <c r="X796" s="364"/>
      <c r="Y796" s="364"/>
      <c r="Z796" s="364"/>
    </row>
    <row r="797" spans="1:26" ht="15.75" customHeight="1" x14ac:dyDescent="0.25">
      <c r="A797" s="364"/>
      <c r="B797" s="364"/>
      <c r="C797" s="364"/>
      <c r="D797" s="364"/>
      <c r="E797" s="364"/>
      <c r="F797" s="364"/>
      <c r="G797" s="364"/>
      <c r="H797" s="364"/>
      <c r="I797" s="364"/>
      <c r="J797" s="364"/>
      <c r="K797" s="364"/>
      <c r="L797" s="364"/>
      <c r="M797" s="364"/>
      <c r="N797" s="364"/>
      <c r="O797" s="364"/>
      <c r="P797" s="364"/>
      <c r="Q797" s="364"/>
      <c r="R797" s="364"/>
      <c r="S797" s="364"/>
      <c r="T797" s="364"/>
      <c r="U797" s="364"/>
      <c r="V797" s="364"/>
      <c r="W797" s="364"/>
      <c r="X797" s="364"/>
      <c r="Y797" s="364"/>
      <c r="Z797" s="364"/>
    </row>
    <row r="798" spans="1:26" ht="15.75" customHeight="1" x14ac:dyDescent="0.25">
      <c r="A798" s="364"/>
      <c r="B798" s="364"/>
      <c r="C798" s="364"/>
      <c r="D798" s="364"/>
      <c r="E798" s="364"/>
      <c r="F798" s="364"/>
      <c r="G798" s="364"/>
      <c r="H798" s="364"/>
      <c r="I798" s="364"/>
      <c r="J798" s="364"/>
      <c r="K798" s="364"/>
      <c r="L798" s="364"/>
      <c r="M798" s="364"/>
      <c r="N798" s="364"/>
      <c r="O798" s="364"/>
      <c r="P798" s="364"/>
      <c r="Q798" s="364"/>
      <c r="R798" s="364"/>
      <c r="S798" s="364"/>
      <c r="T798" s="364"/>
      <c r="U798" s="364"/>
      <c r="V798" s="364"/>
      <c r="W798" s="364"/>
      <c r="X798" s="364"/>
      <c r="Y798" s="364"/>
      <c r="Z798" s="364"/>
    </row>
    <row r="799" spans="1:26" ht="15.75" customHeight="1" x14ac:dyDescent="0.25">
      <c r="A799" s="364"/>
      <c r="B799" s="364"/>
      <c r="C799" s="364"/>
      <c r="D799" s="364"/>
      <c r="E799" s="364"/>
      <c r="F799" s="364"/>
      <c r="G799" s="364"/>
      <c r="H799" s="364"/>
      <c r="I799" s="364"/>
      <c r="J799" s="364"/>
      <c r="K799" s="364"/>
      <c r="L799" s="364"/>
      <c r="M799" s="364"/>
      <c r="N799" s="364"/>
      <c r="O799" s="364"/>
      <c r="P799" s="364"/>
      <c r="Q799" s="364"/>
      <c r="R799" s="364"/>
      <c r="S799" s="364"/>
      <c r="T799" s="364"/>
      <c r="U799" s="364"/>
      <c r="V799" s="364"/>
      <c r="W799" s="364"/>
      <c r="X799" s="364"/>
      <c r="Y799" s="364"/>
      <c r="Z799" s="364"/>
    </row>
    <row r="800" spans="1:26" ht="15.75" customHeight="1" x14ac:dyDescent="0.25">
      <c r="A800" s="364"/>
      <c r="B800" s="364"/>
      <c r="C800" s="364"/>
      <c r="D800" s="364"/>
      <c r="E800" s="364"/>
      <c r="F800" s="364"/>
      <c r="G800" s="364"/>
      <c r="H800" s="364"/>
      <c r="I800" s="364"/>
      <c r="J800" s="364"/>
      <c r="K800" s="364"/>
      <c r="L800" s="364"/>
      <c r="M800" s="364"/>
      <c r="N800" s="364"/>
      <c r="O800" s="364"/>
      <c r="P800" s="364"/>
      <c r="Q800" s="364"/>
      <c r="R800" s="364"/>
      <c r="S800" s="364"/>
      <c r="T800" s="364"/>
      <c r="U800" s="364"/>
      <c r="V800" s="364"/>
      <c r="W800" s="364"/>
      <c r="X800" s="364"/>
      <c r="Y800" s="364"/>
      <c r="Z800" s="364"/>
    </row>
    <row r="801" spans="1:26" ht="15.75" customHeight="1" x14ac:dyDescent="0.25">
      <c r="A801" s="364"/>
      <c r="B801" s="364"/>
      <c r="C801" s="364"/>
      <c r="D801" s="364"/>
      <c r="E801" s="364"/>
      <c r="F801" s="364"/>
      <c r="G801" s="364"/>
      <c r="H801" s="364"/>
      <c r="I801" s="364"/>
      <c r="J801" s="364"/>
      <c r="K801" s="364"/>
      <c r="L801" s="364"/>
      <c r="M801" s="364"/>
      <c r="N801" s="364"/>
      <c r="O801" s="364"/>
      <c r="P801" s="364"/>
      <c r="Q801" s="364"/>
      <c r="R801" s="364"/>
      <c r="S801" s="364"/>
      <c r="T801" s="364"/>
      <c r="U801" s="364"/>
      <c r="V801" s="364"/>
      <c r="W801" s="364"/>
      <c r="X801" s="364"/>
      <c r="Y801" s="364"/>
      <c r="Z801" s="364"/>
    </row>
    <row r="802" spans="1:26" ht="15.75" customHeight="1" x14ac:dyDescent="0.25">
      <c r="A802" s="364"/>
      <c r="B802" s="364"/>
      <c r="C802" s="364"/>
      <c r="D802" s="364"/>
      <c r="E802" s="364"/>
      <c r="F802" s="364"/>
      <c r="G802" s="364"/>
      <c r="H802" s="364"/>
      <c r="I802" s="364"/>
      <c r="J802" s="364"/>
      <c r="K802" s="364"/>
      <c r="L802" s="364"/>
      <c r="M802" s="364"/>
      <c r="N802" s="364"/>
      <c r="O802" s="364"/>
      <c r="P802" s="364"/>
      <c r="Q802" s="364"/>
      <c r="R802" s="364"/>
      <c r="S802" s="364"/>
      <c r="T802" s="364"/>
      <c r="U802" s="364"/>
      <c r="V802" s="364"/>
      <c r="W802" s="364"/>
      <c r="X802" s="364"/>
      <c r="Y802" s="364"/>
      <c r="Z802" s="364"/>
    </row>
    <row r="803" spans="1:26" ht="15.75" customHeight="1" x14ac:dyDescent="0.25">
      <c r="A803" s="364"/>
      <c r="B803" s="364"/>
      <c r="C803" s="364"/>
      <c r="D803" s="364"/>
      <c r="E803" s="364"/>
      <c r="F803" s="364"/>
      <c r="G803" s="364"/>
      <c r="H803" s="364"/>
      <c r="I803" s="364"/>
      <c r="J803" s="364"/>
      <c r="K803" s="364"/>
      <c r="L803" s="364"/>
      <c r="M803" s="364"/>
      <c r="N803" s="364"/>
      <c r="O803" s="364"/>
      <c r="P803" s="364"/>
      <c r="Q803" s="364"/>
      <c r="R803" s="364"/>
      <c r="S803" s="364"/>
      <c r="T803" s="364"/>
      <c r="U803" s="364"/>
      <c r="V803" s="364"/>
      <c r="W803" s="364"/>
      <c r="X803" s="364"/>
      <c r="Y803" s="364"/>
      <c r="Z803" s="364"/>
    </row>
    <row r="804" spans="1:26" ht="15.75" customHeight="1" x14ac:dyDescent="0.25">
      <c r="A804" s="364"/>
      <c r="B804" s="364"/>
      <c r="C804" s="364"/>
      <c r="D804" s="364"/>
      <c r="E804" s="364"/>
      <c r="F804" s="364"/>
      <c r="G804" s="364"/>
      <c r="H804" s="364"/>
      <c r="I804" s="364"/>
      <c r="J804" s="364"/>
      <c r="K804" s="364"/>
      <c r="L804" s="364"/>
      <c r="M804" s="364"/>
      <c r="N804" s="364"/>
      <c r="O804" s="364"/>
      <c r="P804" s="364"/>
      <c r="Q804" s="364"/>
      <c r="R804" s="364"/>
      <c r="S804" s="364"/>
      <c r="T804" s="364"/>
      <c r="U804" s="364"/>
      <c r="V804" s="364"/>
      <c r="W804" s="364"/>
      <c r="X804" s="364"/>
      <c r="Y804" s="364"/>
      <c r="Z804" s="364"/>
    </row>
    <row r="805" spans="1:26" ht="15.75" customHeight="1" x14ac:dyDescent="0.25">
      <c r="A805" s="364"/>
      <c r="B805" s="364"/>
      <c r="C805" s="364"/>
      <c r="D805" s="364"/>
      <c r="E805" s="364"/>
      <c r="F805" s="364"/>
      <c r="G805" s="364"/>
      <c r="H805" s="364"/>
      <c r="I805" s="364"/>
      <c r="J805" s="364"/>
      <c r="K805" s="364"/>
      <c r="L805" s="364"/>
      <c r="M805" s="364"/>
      <c r="N805" s="364"/>
      <c r="O805" s="364"/>
      <c r="P805" s="364"/>
      <c r="Q805" s="364"/>
      <c r="R805" s="364"/>
      <c r="S805" s="364"/>
      <c r="T805" s="364"/>
      <c r="U805" s="364"/>
      <c r="V805" s="364"/>
      <c r="W805" s="364"/>
      <c r="X805" s="364"/>
      <c r="Y805" s="364"/>
      <c r="Z805" s="364"/>
    </row>
    <row r="806" spans="1:26" ht="15.75" customHeight="1" x14ac:dyDescent="0.25">
      <c r="A806" s="364"/>
      <c r="B806" s="364"/>
      <c r="C806" s="364"/>
      <c r="D806" s="364"/>
      <c r="E806" s="364"/>
      <c r="F806" s="364"/>
      <c r="G806" s="364"/>
      <c r="H806" s="364"/>
      <c r="I806" s="364"/>
      <c r="J806" s="364"/>
      <c r="K806" s="364"/>
      <c r="L806" s="364"/>
      <c r="M806" s="364"/>
      <c r="N806" s="364"/>
      <c r="O806" s="364"/>
      <c r="P806" s="364"/>
      <c r="Q806" s="364"/>
      <c r="R806" s="364"/>
      <c r="S806" s="364"/>
      <c r="T806" s="364"/>
      <c r="U806" s="364"/>
      <c r="V806" s="364"/>
      <c r="W806" s="364"/>
      <c r="X806" s="364"/>
      <c r="Y806" s="364"/>
      <c r="Z806" s="364"/>
    </row>
    <row r="807" spans="1:26" ht="15.75" customHeight="1" x14ac:dyDescent="0.25">
      <c r="A807" s="364"/>
      <c r="B807" s="364"/>
      <c r="C807" s="364"/>
      <c r="D807" s="364"/>
      <c r="E807" s="364"/>
      <c r="F807" s="364"/>
      <c r="G807" s="364"/>
      <c r="H807" s="364"/>
      <c r="I807" s="364"/>
      <c r="J807" s="364"/>
      <c r="K807" s="364"/>
      <c r="L807" s="364"/>
      <c r="M807" s="364"/>
      <c r="N807" s="364"/>
      <c r="O807" s="364"/>
      <c r="P807" s="364"/>
      <c r="Q807" s="364"/>
      <c r="R807" s="364"/>
      <c r="S807" s="364"/>
      <c r="T807" s="364"/>
      <c r="U807" s="364"/>
      <c r="V807" s="364"/>
      <c r="W807" s="364"/>
      <c r="X807" s="364"/>
      <c r="Y807" s="364"/>
      <c r="Z807" s="364"/>
    </row>
    <row r="808" spans="1:26" ht="15.75" customHeight="1" x14ac:dyDescent="0.25">
      <c r="A808" s="364"/>
      <c r="B808" s="364"/>
      <c r="C808" s="364"/>
      <c r="D808" s="364"/>
      <c r="E808" s="364"/>
      <c r="F808" s="364"/>
      <c r="G808" s="364"/>
      <c r="H808" s="364"/>
      <c r="I808" s="364"/>
      <c r="J808" s="364"/>
      <c r="K808" s="364"/>
      <c r="L808" s="364"/>
      <c r="M808" s="364"/>
      <c r="N808" s="364"/>
      <c r="O808" s="364"/>
      <c r="P808" s="364"/>
      <c r="Q808" s="364"/>
      <c r="R808" s="364"/>
      <c r="S808" s="364"/>
      <c r="T808" s="364"/>
      <c r="U808" s="364"/>
      <c r="V808" s="364"/>
      <c r="W808" s="364"/>
      <c r="X808" s="364"/>
      <c r="Y808" s="364"/>
      <c r="Z808" s="364"/>
    </row>
    <row r="809" spans="1:26" ht="15.75" customHeight="1" x14ac:dyDescent="0.25">
      <c r="A809" s="364"/>
      <c r="B809" s="364"/>
      <c r="C809" s="364"/>
      <c r="D809" s="364"/>
      <c r="E809" s="364"/>
      <c r="F809" s="364"/>
      <c r="G809" s="364"/>
      <c r="H809" s="364"/>
      <c r="I809" s="364"/>
      <c r="J809" s="364"/>
      <c r="K809" s="364"/>
      <c r="L809" s="364"/>
      <c r="M809" s="364"/>
      <c r="N809" s="364"/>
      <c r="O809" s="364"/>
      <c r="P809" s="364"/>
      <c r="Q809" s="364"/>
      <c r="R809" s="364"/>
      <c r="S809" s="364"/>
      <c r="T809" s="364"/>
      <c r="U809" s="364"/>
      <c r="V809" s="364"/>
      <c r="W809" s="364"/>
      <c r="X809" s="364"/>
      <c r="Y809" s="364"/>
      <c r="Z809" s="364"/>
    </row>
    <row r="810" spans="1:26" ht="15.75" customHeight="1" x14ac:dyDescent="0.25">
      <c r="A810" s="364"/>
      <c r="B810" s="364"/>
      <c r="C810" s="364"/>
      <c r="D810" s="364"/>
      <c r="E810" s="364"/>
      <c r="F810" s="364"/>
      <c r="G810" s="364"/>
      <c r="H810" s="364"/>
      <c r="I810" s="364"/>
      <c r="J810" s="364"/>
      <c r="K810" s="364"/>
      <c r="L810" s="364"/>
      <c r="M810" s="364"/>
      <c r="N810" s="364"/>
      <c r="O810" s="364"/>
      <c r="P810" s="364"/>
      <c r="Q810" s="364"/>
      <c r="R810" s="364"/>
      <c r="S810" s="364"/>
      <c r="T810" s="364"/>
      <c r="U810" s="364"/>
      <c r="V810" s="364"/>
      <c r="W810" s="364"/>
      <c r="X810" s="364"/>
      <c r="Y810" s="364"/>
      <c r="Z810" s="364"/>
    </row>
    <row r="811" spans="1:26" ht="15.75" customHeight="1" x14ac:dyDescent="0.25">
      <c r="A811" s="364"/>
      <c r="B811" s="364"/>
      <c r="C811" s="364"/>
      <c r="D811" s="364"/>
      <c r="E811" s="364"/>
      <c r="F811" s="364"/>
      <c r="G811" s="364"/>
      <c r="H811" s="364"/>
      <c r="I811" s="364"/>
      <c r="J811" s="364"/>
      <c r="K811" s="364"/>
      <c r="L811" s="364"/>
      <c r="M811" s="364"/>
      <c r="N811" s="364"/>
      <c r="O811" s="364"/>
      <c r="P811" s="364"/>
      <c r="Q811" s="364"/>
      <c r="R811" s="364"/>
      <c r="S811" s="364"/>
      <c r="T811" s="364"/>
      <c r="U811" s="364"/>
      <c r="V811" s="364"/>
      <c r="W811" s="364"/>
      <c r="X811" s="364"/>
      <c r="Y811" s="364"/>
      <c r="Z811" s="364"/>
    </row>
    <row r="812" spans="1:26" ht="15.75" customHeight="1" x14ac:dyDescent="0.25">
      <c r="A812" s="364"/>
      <c r="B812" s="364"/>
      <c r="C812" s="364"/>
      <c r="D812" s="364"/>
      <c r="E812" s="364"/>
      <c r="F812" s="364"/>
      <c r="G812" s="364"/>
      <c r="H812" s="364"/>
      <c r="I812" s="364"/>
      <c r="J812" s="364"/>
      <c r="K812" s="364"/>
      <c r="L812" s="364"/>
      <c r="M812" s="364"/>
      <c r="N812" s="364"/>
      <c r="O812" s="364"/>
      <c r="P812" s="364"/>
      <c r="Q812" s="364"/>
      <c r="R812" s="364"/>
      <c r="S812" s="364"/>
      <c r="T812" s="364"/>
      <c r="U812" s="364"/>
      <c r="V812" s="364"/>
      <c r="W812" s="364"/>
      <c r="X812" s="364"/>
      <c r="Y812" s="364"/>
      <c r="Z812" s="364"/>
    </row>
    <row r="813" spans="1:26" ht="15.75" customHeight="1" x14ac:dyDescent="0.25">
      <c r="A813" s="364"/>
      <c r="B813" s="364"/>
      <c r="C813" s="364"/>
      <c r="D813" s="364"/>
      <c r="E813" s="364"/>
      <c r="F813" s="364"/>
      <c r="G813" s="364"/>
      <c r="H813" s="364"/>
      <c r="I813" s="364"/>
      <c r="J813" s="364"/>
      <c r="K813" s="364"/>
      <c r="L813" s="364"/>
      <c r="M813" s="364"/>
      <c r="N813" s="364"/>
      <c r="O813" s="364"/>
      <c r="P813" s="364"/>
      <c r="Q813" s="364"/>
      <c r="R813" s="364"/>
      <c r="S813" s="364"/>
      <c r="T813" s="364"/>
      <c r="U813" s="364"/>
      <c r="V813" s="364"/>
      <c r="W813" s="364"/>
      <c r="X813" s="364"/>
      <c r="Y813" s="364"/>
      <c r="Z813" s="364"/>
    </row>
    <row r="814" spans="1:26" ht="15.75" customHeight="1" x14ac:dyDescent="0.25">
      <c r="A814" s="364"/>
      <c r="B814" s="364"/>
      <c r="C814" s="364"/>
      <c r="D814" s="364"/>
      <c r="E814" s="364"/>
      <c r="F814" s="364"/>
      <c r="G814" s="364"/>
      <c r="H814" s="364"/>
      <c r="I814" s="364"/>
      <c r="J814" s="364"/>
      <c r="K814" s="364"/>
      <c r="L814" s="364"/>
      <c r="M814" s="364"/>
      <c r="N814" s="364"/>
      <c r="O814" s="364"/>
      <c r="P814" s="364"/>
      <c r="Q814" s="364"/>
      <c r="R814" s="364"/>
      <c r="S814" s="364"/>
      <c r="T814" s="364"/>
      <c r="U814" s="364"/>
      <c r="V814" s="364"/>
      <c r="W814" s="364"/>
      <c r="X814" s="364"/>
      <c r="Y814" s="364"/>
      <c r="Z814" s="364"/>
    </row>
    <row r="815" spans="1:26" ht="15.75" customHeight="1" x14ac:dyDescent="0.25">
      <c r="A815" s="364"/>
      <c r="B815" s="364"/>
      <c r="C815" s="364"/>
      <c r="D815" s="364"/>
      <c r="E815" s="364"/>
      <c r="F815" s="364"/>
      <c r="G815" s="364"/>
      <c r="H815" s="364"/>
      <c r="I815" s="364"/>
      <c r="J815" s="364"/>
      <c r="K815" s="364"/>
      <c r="L815" s="364"/>
      <c r="M815" s="364"/>
      <c r="N815" s="364"/>
      <c r="O815" s="364"/>
      <c r="P815" s="364"/>
      <c r="Q815" s="364"/>
      <c r="R815" s="364"/>
      <c r="S815" s="364"/>
      <c r="T815" s="364"/>
      <c r="U815" s="364"/>
      <c r="V815" s="364"/>
      <c r="W815" s="364"/>
      <c r="X815" s="364"/>
      <c r="Y815" s="364"/>
      <c r="Z815" s="364"/>
    </row>
    <row r="816" spans="1:26" ht="15.75" customHeight="1" x14ac:dyDescent="0.25">
      <c r="A816" s="364"/>
      <c r="B816" s="364"/>
      <c r="C816" s="364"/>
      <c r="D816" s="364"/>
      <c r="E816" s="364"/>
      <c r="F816" s="364"/>
      <c r="G816" s="364"/>
      <c r="H816" s="364"/>
      <c r="I816" s="364"/>
      <c r="J816" s="364"/>
      <c r="K816" s="364"/>
      <c r="L816" s="364"/>
      <c r="M816" s="364"/>
      <c r="N816" s="364"/>
      <c r="O816" s="364"/>
      <c r="P816" s="364"/>
      <c r="Q816" s="364"/>
      <c r="R816" s="364"/>
      <c r="S816" s="364"/>
      <c r="T816" s="364"/>
      <c r="U816" s="364"/>
      <c r="V816" s="364"/>
      <c r="W816" s="364"/>
      <c r="X816" s="364"/>
      <c r="Y816" s="364"/>
      <c r="Z816" s="364"/>
    </row>
    <row r="817" spans="1:26" ht="15.75" customHeight="1" x14ac:dyDescent="0.25">
      <c r="A817" s="364"/>
      <c r="B817" s="364"/>
      <c r="C817" s="364"/>
      <c r="D817" s="364"/>
      <c r="E817" s="364"/>
      <c r="F817" s="364"/>
      <c r="G817" s="364"/>
      <c r="H817" s="364"/>
      <c r="I817" s="364"/>
      <c r="J817" s="364"/>
      <c r="K817" s="364"/>
      <c r="L817" s="364"/>
      <c r="M817" s="364"/>
      <c r="N817" s="364"/>
      <c r="O817" s="364"/>
      <c r="P817" s="364"/>
      <c r="Q817" s="364"/>
      <c r="R817" s="364"/>
      <c r="S817" s="364"/>
      <c r="T817" s="364"/>
      <c r="U817" s="364"/>
      <c r="V817" s="364"/>
      <c r="W817" s="364"/>
      <c r="X817" s="364"/>
      <c r="Y817" s="364"/>
      <c r="Z817" s="364"/>
    </row>
    <row r="818" spans="1:26" ht="15.75" customHeight="1" x14ac:dyDescent="0.25">
      <c r="A818" s="364"/>
      <c r="B818" s="364"/>
      <c r="C818" s="364"/>
      <c r="D818" s="364"/>
      <c r="E818" s="364"/>
      <c r="F818" s="364"/>
      <c r="G818" s="364"/>
      <c r="H818" s="364"/>
      <c r="I818" s="364"/>
      <c r="J818" s="364"/>
      <c r="K818" s="364"/>
      <c r="L818" s="364"/>
      <c r="M818" s="364"/>
      <c r="N818" s="364"/>
      <c r="O818" s="364"/>
      <c r="P818" s="364"/>
      <c r="Q818" s="364"/>
      <c r="R818" s="364"/>
      <c r="S818" s="364"/>
      <c r="T818" s="364"/>
      <c r="U818" s="364"/>
      <c r="V818" s="364"/>
      <c r="W818" s="364"/>
      <c r="X818" s="364"/>
      <c r="Y818" s="364"/>
      <c r="Z818" s="364"/>
    </row>
    <row r="819" spans="1:26" ht="15.75" customHeight="1" x14ac:dyDescent="0.25">
      <c r="A819" s="364"/>
      <c r="B819" s="364"/>
      <c r="C819" s="364"/>
      <c r="D819" s="364"/>
      <c r="E819" s="364"/>
      <c r="F819" s="364"/>
      <c r="G819" s="364"/>
      <c r="H819" s="364"/>
      <c r="I819" s="364"/>
      <c r="J819" s="364"/>
      <c r="K819" s="364"/>
      <c r="L819" s="364"/>
      <c r="M819" s="364"/>
      <c r="N819" s="364"/>
      <c r="O819" s="364"/>
      <c r="P819" s="364"/>
      <c r="Q819" s="364"/>
      <c r="R819" s="364"/>
      <c r="S819" s="364"/>
      <c r="T819" s="364"/>
      <c r="U819" s="364"/>
      <c r="V819" s="364"/>
      <c r="W819" s="364"/>
      <c r="X819" s="364"/>
      <c r="Y819" s="364"/>
      <c r="Z819" s="364"/>
    </row>
    <row r="820" spans="1:26" ht="15.75" customHeight="1" x14ac:dyDescent="0.25">
      <c r="A820" s="364"/>
      <c r="B820" s="364"/>
      <c r="C820" s="364"/>
      <c r="D820" s="364"/>
      <c r="E820" s="364"/>
      <c r="F820" s="364"/>
      <c r="G820" s="364"/>
      <c r="H820" s="364"/>
      <c r="I820" s="364"/>
      <c r="J820" s="364"/>
      <c r="K820" s="364"/>
      <c r="L820" s="364"/>
      <c r="M820" s="364"/>
      <c r="N820" s="364"/>
      <c r="O820" s="364"/>
      <c r="P820" s="364"/>
      <c r="Q820" s="364"/>
      <c r="R820" s="364"/>
      <c r="S820" s="364"/>
      <c r="T820" s="364"/>
      <c r="U820" s="364"/>
      <c r="V820" s="364"/>
      <c r="W820" s="364"/>
      <c r="X820" s="364"/>
      <c r="Y820" s="364"/>
      <c r="Z820" s="364"/>
    </row>
    <row r="821" spans="1:26" ht="15.75" customHeight="1" x14ac:dyDescent="0.25">
      <c r="A821" s="364"/>
      <c r="B821" s="364"/>
      <c r="C821" s="364"/>
      <c r="D821" s="364"/>
      <c r="E821" s="364"/>
      <c r="F821" s="364"/>
      <c r="G821" s="364"/>
      <c r="H821" s="364"/>
      <c r="I821" s="364"/>
      <c r="J821" s="364"/>
      <c r="K821" s="364"/>
      <c r="L821" s="364"/>
      <c r="M821" s="364"/>
      <c r="N821" s="364"/>
      <c r="O821" s="364"/>
      <c r="P821" s="364"/>
      <c r="Q821" s="364"/>
      <c r="R821" s="364"/>
      <c r="S821" s="364"/>
      <c r="T821" s="364"/>
      <c r="U821" s="364"/>
      <c r="V821" s="364"/>
      <c r="W821" s="364"/>
      <c r="X821" s="364"/>
      <c r="Y821" s="364"/>
      <c r="Z821" s="364"/>
    </row>
    <row r="822" spans="1:26" ht="15.75" customHeight="1" x14ac:dyDescent="0.25">
      <c r="A822" s="364"/>
      <c r="B822" s="364"/>
      <c r="C822" s="364"/>
      <c r="D822" s="364"/>
      <c r="E822" s="364"/>
      <c r="F822" s="364"/>
      <c r="G822" s="364"/>
      <c r="H822" s="364"/>
      <c r="I822" s="364"/>
      <c r="J822" s="364"/>
      <c r="K822" s="364"/>
      <c r="L822" s="364"/>
      <c r="M822" s="364"/>
      <c r="N822" s="364"/>
      <c r="O822" s="364"/>
      <c r="P822" s="364"/>
      <c r="Q822" s="364"/>
      <c r="R822" s="364"/>
      <c r="S822" s="364"/>
      <c r="T822" s="364"/>
      <c r="U822" s="364"/>
      <c r="V822" s="364"/>
      <c r="W822" s="364"/>
      <c r="X822" s="364"/>
      <c r="Y822" s="364"/>
      <c r="Z822" s="364"/>
    </row>
    <row r="823" spans="1:26" ht="15.75" customHeight="1" x14ac:dyDescent="0.25">
      <c r="A823" s="364"/>
      <c r="B823" s="364"/>
      <c r="C823" s="364"/>
      <c r="D823" s="364"/>
      <c r="E823" s="364"/>
      <c r="F823" s="364"/>
      <c r="G823" s="364"/>
      <c r="H823" s="364"/>
      <c r="I823" s="364"/>
      <c r="J823" s="364"/>
      <c r="K823" s="364"/>
      <c r="L823" s="364"/>
      <c r="M823" s="364"/>
      <c r="N823" s="364"/>
      <c r="O823" s="364"/>
      <c r="P823" s="364"/>
      <c r="Q823" s="364"/>
      <c r="R823" s="364"/>
      <c r="S823" s="364"/>
      <c r="T823" s="364"/>
      <c r="U823" s="364"/>
      <c r="V823" s="364"/>
      <c r="W823" s="364"/>
      <c r="X823" s="364"/>
      <c r="Y823" s="364"/>
      <c r="Z823" s="364"/>
    </row>
    <row r="824" spans="1:26" ht="15.75" customHeight="1" x14ac:dyDescent="0.25">
      <c r="A824" s="364"/>
      <c r="B824" s="364"/>
      <c r="C824" s="364"/>
      <c r="D824" s="364"/>
      <c r="E824" s="364"/>
      <c r="F824" s="364"/>
      <c r="G824" s="364"/>
      <c r="H824" s="364"/>
      <c r="I824" s="364"/>
      <c r="J824" s="364"/>
      <c r="K824" s="364"/>
      <c r="L824" s="364"/>
      <c r="M824" s="364"/>
      <c r="N824" s="364"/>
      <c r="O824" s="364"/>
      <c r="P824" s="364"/>
      <c r="Q824" s="364"/>
      <c r="R824" s="364"/>
      <c r="S824" s="364"/>
      <c r="T824" s="364"/>
      <c r="U824" s="364"/>
      <c r="V824" s="364"/>
      <c r="W824" s="364"/>
      <c r="X824" s="364"/>
      <c r="Y824" s="364"/>
      <c r="Z824" s="364"/>
    </row>
    <row r="825" spans="1:26" ht="15.75" customHeight="1" x14ac:dyDescent="0.25">
      <c r="A825" s="364"/>
      <c r="B825" s="364"/>
      <c r="C825" s="364"/>
      <c r="D825" s="364"/>
      <c r="E825" s="364"/>
      <c r="F825" s="364"/>
      <c r="G825" s="364"/>
      <c r="H825" s="364"/>
      <c r="I825" s="364"/>
      <c r="J825" s="364"/>
      <c r="K825" s="364"/>
      <c r="L825" s="364"/>
      <c r="M825" s="364"/>
      <c r="N825" s="364"/>
      <c r="O825" s="364"/>
      <c r="P825" s="364"/>
      <c r="Q825" s="364"/>
      <c r="R825" s="364"/>
      <c r="S825" s="364"/>
      <c r="T825" s="364"/>
      <c r="U825" s="364"/>
      <c r="V825" s="364"/>
      <c r="W825" s="364"/>
      <c r="X825" s="364"/>
      <c r="Y825" s="364"/>
      <c r="Z825" s="364"/>
    </row>
    <row r="826" spans="1:26" ht="15.75" customHeight="1" x14ac:dyDescent="0.25">
      <c r="A826" s="364"/>
      <c r="B826" s="364"/>
      <c r="C826" s="364"/>
      <c r="D826" s="364"/>
      <c r="E826" s="364"/>
      <c r="F826" s="364"/>
      <c r="G826" s="364"/>
      <c r="H826" s="364"/>
      <c r="I826" s="364"/>
      <c r="J826" s="364"/>
      <c r="K826" s="364"/>
      <c r="L826" s="364"/>
      <c r="M826" s="364"/>
      <c r="N826" s="364"/>
      <c r="O826" s="364"/>
      <c r="P826" s="364"/>
      <c r="Q826" s="364"/>
      <c r="R826" s="364"/>
      <c r="S826" s="364"/>
      <c r="T826" s="364"/>
      <c r="U826" s="364"/>
      <c r="V826" s="364"/>
      <c r="W826" s="364"/>
      <c r="X826" s="364"/>
      <c r="Y826" s="364"/>
      <c r="Z826" s="364"/>
    </row>
    <row r="827" spans="1:26" ht="15.75" customHeight="1" x14ac:dyDescent="0.25">
      <c r="A827" s="364"/>
      <c r="B827" s="364"/>
      <c r="C827" s="364"/>
      <c r="D827" s="364"/>
      <c r="E827" s="364"/>
      <c r="F827" s="364"/>
      <c r="G827" s="364"/>
      <c r="H827" s="364"/>
      <c r="I827" s="364"/>
      <c r="J827" s="364"/>
      <c r="K827" s="364"/>
      <c r="L827" s="364"/>
      <c r="M827" s="364"/>
      <c r="N827" s="364"/>
      <c r="O827" s="364"/>
      <c r="P827" s="364"/>
      <c r="Q827" s="364"/>
      <c r="R827" s="364"/>
      <c r="S827" s="364"/>
      <c r="T827" s="364"/>
      <c r="U827" s="364"/>
      <c r="V827" s="364"/>
      <c r="W827" s="364"/>
      <c r="X827" s="364"/>
      <c r="Y827" s="364"/>
      <c r="Z827" s="364"/>
    </row>
    <row r="828" spans="1:26" ht="15.75" customHeight="1" x14ac:dyDescent="0.25">
      <c r="A828" s="364"/>
      <c r="B828" s="364"/>
      <c r="C828" s="364"/>
      <c r="D828" s="364"/>
      <c r="E828" s="364"/>
      <c r="F828" s="364"/>
      <c r="G828" s="364"/>
      <c r="H828" s="364"/>
      <c r="I828" s="364"/>
      <c r="J828" s="364"/>
      <c r="K828" s="364"/>
      <c r="L828" s="364"/>
      <c r="M828" s="364"/>
      <c r="N828" s="364"/>
      <c r="O828" s="364"/>
      <c r="P828" s="364"/>
      <c r="Q828" s="364"/>
      <c r="R828" s="364"/>
      <c r="S828" s="364"/>
      <c r="T828" s="364"/>
      <c r="U828" s="364"/>
      <c r="V828" s="364"/>
      <c r="W828" s="364"/>
      <c r="X828" s="364"/>
      <c r="Y828" s="364"/>
      <c r="Z828" s="364"/>
    </row>
    <row r="829" spans="1:26" ht="15.75" customHeight="1" x14ac:dyDescent="0.25">
      <c r="A829" s="364"/>
      <c r="B829" s="364"/>
      <c r="C829" s="364"/>
      <c r="D829" s="364"/>
      <c r="E829" s="364"/>
      <c r="F829" s="364"/>
      <c r="G829" s="364"/>
      <c r="H829" s="364"/>
      <c r="I829" s="364"/>
      <c r="J829" s="364"/>
      <c r="K829" s="364"/>
      <c r="L829" s="364"/>
      <c r="M829" s="364"/>
      <c r="N829" s="364"/>
      <c r="O829" s="364"/>
      <c r="P829" s="364"/>
      <c r="Q829" s="364"/>
      <c r="R829" s="364"/>
      <c r="S829" s="364"/>
      <c r="T829" s="364"/>
      <c r="U829" s="364"/>
      <c r="V829" s="364"/>
      <c r="W829" s="364"/>
      <c r="X829" s="364"/>
      <c r="Y829" s="364"/>
      <c r="Z829" s="364"/>
    </row>
    <row r="830" spans="1:26" ht="15.75" customHeight="1" x14ac:dyDescent="0.25">
      <c r="A830" s="364"/>
      <c r="B830" s="364"/>
      <c r="C830" s="364"/>
      <c r="D830" s="364"/>
      <c r="E830" s="364"/>
      <c r="F830" s="364"/>
      <c r="G830" s="364"/>
      <c r="H830" s="364"/>
      <c r="I830" s="364"/>
      <c r="J830" s="364"/>
      <c r="K830" s="364"/>
      <c r="L830" s="364"/>
      <c r="M830" s="364"/>
      <c r="N830" s="364"/>
      <c r="O830" s="364"/>
      <c r="P830" s="364"/>
      <c r="Q830" s="364"/>
      <c r="R830" s="364"/>
      <c r="S830" s="364"/>
      <c r="T830" s="364"/>
      <c r="U830" s="364"/>
      <c r="V830" s="364"/>
      <c r="W830" s="364"/>
      <c r="X830" s="364"/>
      <c r="Y830" s="364"/>
      <c r="Z830" s="364"/>
    </row>
    <row r="831" spans="1:26" ht="15.75" customHeight="1" x14ac:dyDescent="0.25">
      <c r="A831" s="364"/>
      <c r="B831" s="364"/>
      <c r="C831" s="364"/>
      <c r="D831" s="364"/>
      <c r="E831" s="364"/>
      <c r="F831" s="364"/>
      <c r="G831" s="364"/>
      <c r="H831" s="364"/>
      <c r="I831" s="364"/>
      <c r="J831" s="364"/>
      <c r="K831" s="364"/>
      <c r="L831" s="364"/>
      <c r="M831" s="364"/>
      <c r="N831" s="364"/>
      <c r="O831" s="364"/>
      <c r="P831" s="364"/>
      <c r="Q831" s="364"/>
      <c r="R831" s="364"/>
      <c r="S831" s="364"/>
      <c r="T831" s="364"/>
      <c r="U831" s="364"/>
      <c r="V831" s="364"/>
      <c r="W831" s="364"/>
      <c r="X831" s="364"/>
      <c r="Y831" s="364"/>
      <c r="Z831" s="364"/>
    </row>
    <row r="832" spans="1:26" ht="15.75" customHeight="1" x14ac:dyDescent="0.25">
      <c r="A832" s="364"/>
      <c r="B832" s="364"/>
      <c r="C832" s="364"/>
      <c r="D832" s="364"/>
      <c r="E832" s="364"/>
      <c r="F832" s="364"/>
      <c r="G832" s="364"/>
      <c r="H832" s="364"/>
      <c r="I832" s="364"/>
      <c r="J832" s="364"/>
      <c r="K832" s="364"/>
      <c r="L832" s="364"/>
      <c r="M832" s="364"/>
      <c r="N832" s="364"/>
      <c r="O832" s="364"/>
      <c r="P832" s="364"/>
      <c r="Q832" s="364"/>
      <c r="R832" s="364"/>
      <c r="S832" s="364"/>
      <c r="T832" s="364"/>
      <c r="U832" s="364"/>
      <c r="V832" s="364"/>
      <c r="W832" s="364"/>
      <c r="X832" s="364"/>
      <c r="Y832" s="364"/>
      <c r="Z832" s="364"/>
    </row>
    <row r="833" spans="1:26" ht="15.75" customHeight="1" x14ac:dyDescent="0.25">
      <c r="A833" s="364"/>
      <c r="B833" s="364"/>
      <c r="C833" s="364"/>
      <c r="D833" s="364"/>
      <c r="E833" s="364"/>
      <c r="F833" s="364"/>
      <c r="G833" s="364"/>
      <c r="H833" s="364"/>
      <c r="I833" s="364"/>
      <c r="J833" s="364"/>
      <c r="K833" s="364"/>
      <c r="L833" s="364"/>
      <c r="M833" s="364"/>
      <c r="N833" s="364"/>
      <c r="O833" s="364"/>
      <c r="P833" s="364"/>
      <c r="Q833" s="364"/>
      <c r="R833" s="364"/>
      <c r="S833" s="364"/>
      <c r="T833" s="364"/>
      <c r="U833" s="364"/>
      <c r="V833" s="364"/>
      <c r="W833" s="364"/>
      <c r="X833" s="364"/>
      <c r="Y833" s="364"/>
      <c r="Z833" s="364"/>
    </row>
    <row r="834" spans="1:26" ht="15.75" customHeight="1" x14ac:dyDescent="0.25">
      <c r="A834" s="364"/>
      <c r="B834" s="364"/>
      <c r="C834" s="364"/>
      <c r="D834" s="364"/>
      <c r="E834" s="364"/>
      <c r="F834" s="364"/>
      <c r="G834" s="364"/>
      <c r="H834" s="364"/>
      <c r="I834" s="364"/>
      <c r="J834" s="364"/>
      <c r="K834" s="364"/>
      <c r="L834" s="364"/>
      <c r="M834" s="364"/>
      <c r="N834" s="364"/>
      <c r="O834" s="364"/>
      <c r="P834" s="364"/>
      <c r="Q834" s="364"/>
      <c r="R834" s="364"/>
      <c r="S834" s="364"/>
      <c r="T834" s="364"/>
      <c r="U834" s="364"/>
      <c r="V834" s="364"/>
      <c r="W834" s="364"/>
      <c r="X834" s="364"/>
      <c r="Y834" s="364"/>
      <c r="Z834" s="364"/>
    </row>
    <row r="835" spans="1:26" ht="15.75" customHeight="1" x14ac:dyDescent="0.25">
      <c r="A835" s="364"/>
      <c r="B835" s="364"/>
      <c r="C835" s="364"/>
      <c r="D835" s="364"/>
      <c r="E835" s="364"/>
      <c r="F835" s="364"/>
      <c r="G835" s="364"/>
      <c r="H835" s="364"/>
      <c r="I835" s="364"/>
      <c r="J835" s="364"/>
      <c r="K835" s="364"/>
      <c r="L835" s="364"/>
      <c r="M835" s="364"/>
      <c r="N835" s="364"/>
      <c r="O835" s="364"/>
      <c r="P835" s="364"/>
      <c r="Q835" s="364"/>
      <c r="R835" s="364"/>
      <c r="S835" s="364"/>
      <c r="T835" s="364"/>
      <c r="U835" s="364"/>
      <c r="V835" s="364"/>
      <c r="W835" s="364"/>
      <c r="X835" s="364"/>
      <c r="Y835" s="364"/>
      <c r="Z835" s="364"/>
    </row>
    <row r="836" spans="1:26" ht="15.75" customHeight="1" x14ac:dyDescent="0.25">
      <c r="A836" s="364"/>
      <c r="B836" s="364"/>
      <c r="C836" s="364"/>
      <c r="D836" s="364"/>
      <c r="E836" s="364"/>
      <c r="F836" s="364"/>
      <c r="G836" s="364"/>
      <c r="H836" s="364"/>
      <c r="I836" s="364"/>
      <c r="J836" s="364"/>
      <c r="K836" s="364"/>
      <c r="L836" s="364"/>
      <c r="M836" s="364"/>
      <c r="N836" s="364"/>
      <c r="O836" s="364"/>
      <c r="P836" s="364"/>
      <c r="Q836" s="364"/>
      <c r="R836" s="364"/>
      <c r="S836" s="364"/>
      <c r="T836" s="364"/>
      <c r="U836" s="364"/>
      <c r="V836" s="364"/>
      <c r="W836" s="364"/>
      <c r="X836" s="364"/>
      <c r="Y836" s="364"/>
      <c r="Z836" s="364"/>
    </row>
    <row r="837" spans="1:26" ht="15.75" customHeight="1" x14ac:dyDescent="0.25">
      <c r="A837" s="364"/>
      <c r="B837" s="364"/>
      <c r="C837" s="364"/>
      <c r="D837" s="364"/>
      <c r="E837" s="364"/>
      <c r="F837" s="364"/>
      <c r="G837" s="364"/>
      <c r="H837" s="364"/>
      <c r="I837" s="364"/>
      <c r="J837" s="364"/>
      <c r="K837" s="364"/>
      <c r="L837" s="364"/>
      <c r="M837" s="364"/>
      <c r="N837" s="364"/>
      <c r="O837" s="364"/>
      <c r="P837" s="364"/>
      <c r="Q837" s="364"/>
      <c r="R837" s="364"/>
      <c r="S837" s="364"/>
      <c r="T837" s="364"/>
      <c r="U837" s="364"/>
      <c r="V837" s="364"/>
      <c r="W837" s="364"/>
      <c r="X837" s="364"/>
      <c r="Y837" s="364"/>
      <c r="Z837" s="364"/>
    </row>
    <row r="838" spans="1:26" ht="15.75" customHeight="1" x14ac:dyDescent="0.25">
      <c r="A838" s="364"/>
      <c r="B838" s="364"/>
      <c r="C838" s="364"/>
      <c r="D838" s="364"/>
      <c r="E838" s="364"/>
      <c r="F838" s="364"/>
      <c r="G838" s="364"/>
      <c r="H838" s="364"/>
      <c r="I838" s="364"/>
      <c r="J838" s="364"/>
      <c r="K838" s="364"/>
      <c r="L838" s="364"/>
      <c r="M838" s="364"/>
      <c r="N838" s="364"/>
      <c r="O838" s="364"/>
      <c r="P838" s="364"/>
      <c r="Q838" s="364"/>
      <c r="R838" s="364"/>
      <c r="S838" s="364"/>
      <c r="T838" s="364"/>
      <c r="U838" s="364"/>
      <c r="V838" s="364"/>
      <c r="W838" s="364"/>
      <c r="X838" s="364"/>
      <c r="Y838" s="364"/>
      <c r="Z838" s="364"/>
    </row>
    <row r="839" spans="1:26" ht="15.75" customHeight="1" x14ac:dyDescent="0.25">
      <c r="A839" s="364"/>
      <c r="B839" s="364"/>
      <c r="C839" s="364"/>
      <c r="D839" s="364"/>
      <c r="E839" s="364"/>
      <c r="F839" s="364"/>
      <c r="G839" s="364"/>
      <c r="H839" s="364"/>
      <c r="I839" s="364"/>
      <c r="J839" s="364"/>
      <c r="K839" s="364"/>
      <c r="L839" s="364"/>
      <c r="M839" s="364"/>
      <c r="N839" s="364"/>
      <c r="O839" s="364"/>
      <c r="P839" s="364"/>
      <c r="Q839" s="364"/>
      <c r="R839" s="364"/>
      <c r="S839" s="364"/>
      <c r="T839" s="364"/>
      <c r="U839" s="364"/>
      <c r="V839" s="364"/>
      <c r="W839" s="364"/>
      <c r="X839" s="364"/>
      <c r="Y839" s="364"/>
      <c r="Z839" s="364"/>
    </row>
    <row r="840" spans="1:26" ht="15.75" customHeight="1" x14ac:dyDescent="0.25">
      <c r="A840" s="364"/>
      <c r="B840" s="364"/>
      <c r="C840" s="364"/>
      <c r="D840" s="364"/>
      <c r="E840" s="364"/>
      <c r="F840" s="364"/>
      <c r="G840" s="364"/>
      <c r="H840" s="364"/>
      <c r="I840" s="364"/>
      <c r="J840" s="364"/>
      <c r="K840" s="364"/>
      <c r="L840" s="364"/>
      <c r="M840" s="364"/>
      <c r="N840" s="364"/>
      <c r="O840" s="364"/>
      <c r="P840" s="364"/>
      <c r="Q840" s="364"/>
      <c r="R840" s="364"/>
      <c r="S840" s="364"/>
      <c r="T840" s="364"/>
      <c r="U840" s="364"/>
      <c r="V840" s="364"/>
      <c r="W840" s="364"/>
      <c r="X840" s="364"/>
      <c r="Y840" s="364"/>
      <c r="Z840" s="364"/>
    </row>
    <row r="841" spans="1:26" ht="15.75" customHeight="1" x14ac:dyDescent="0.25">
      <c r="A841" s="364"/>
      <c r="B841" s="364"/>
      <c r="C841" s="364"/>
      <c r="D841" s="364"/>
      <c r="E841" s="364"/>
      <c r="F841" s="364"/>
      <c r="G841" s="364"/>
      <c r="H841" s="364"/>
      <c r="I841" s="364"/>
      <c r="J841" s="364"/>
      <c r="K841" s="364"/>
      <c r="L841" s="364"/>
      <c r="M841" s="364"/>
      <c r="N841" s="364"/>
      <c r="O841" s="364"/>
      <c r="P841" s="364"/>
      <c r="Q841" s="364"/>
      <c r="R841" s="364"/>
      <c r="S841" s="364"/>
      <c r="T841" s="364"/>
      <c r="U841" s="364"/>
      <c r="V841" s="364"/>
      <c r="W841" s="364"/>
      <c r="X841" s="364"/>
      <c r="Y841" s="364"/>
      <c r="Z841" s="364"/>
    </row>
    <row r="842" spans="1:26" ht="15.75" customHeight="1" x14ac:dyDescent="0.25">
      <c r="A842" s="364"/>
      <c r="B842" s="364"/>
      <c r="C842" s="364"/>
      <c r="D842" s="364"/>
      <c r="E842" s="364"/>
      <c r="F842" s="364"/>
      <c r="G842" s="364"/>
      <c r="H842" s="364"/>
      <c r="I842" s="364"/>
      <c r="J842" s="364"/>
      <c r="K842" s="364"/>
      <c r="L842" s="364"/>
      <c r="M842" s="364"/>
      <c r="N842" s="364"/>
      <c r="O842" s="364"/>
      <c r="P842" s="364"/>
      <c r="Q842" s="364"/>
      <c r="R842" s="364"/>
      <c r="S842" s="364"/>
      <c r="T842" s="364"/>
      <c r="U842" s="364"/>
      <c r="V842" s="364"/>
      <c r="W842" s="364"/>
      <c r="X842" s="364"/>
      <c r="Y842" s="364"/>
      <c r="Z842" s="364"/>
    </row>
    <row r="843" spans="1:26" ht="15.75" customHeight="1" x14ac:dyDescent="0.25">
      <c r="A843" s="364"/>
      <c r="B843" s="364"/>
      <c r="C843" s="364"/>
      <c r="D843" s="364"/>
      <c r="E843" s="364"/>
      <c r="F843" s="364"/>
      <c r="G843" s="364"/>
      <c r="H843" s="364"/>
      <c r="I843" s="364"/>
      <c r="J843" s="364"/>
      <c r="K843" s="364"/>
      <c r="L843" s="364"/>
      <c r="M843" s="364"/>
      <c r="N843" s="364"/>
      <c r="O843" s="364"/>
      <c r="P843" s="364"/>
      <c r="Q843" s="364"/>
      <c r="R843" s="364"/>
      <c r="S843" s="364"/>
      <c r="T843" s="364"/>
      <c r="U843" s="364"/>
      <c r="V843" s="364"/>
      <c r="W843" s="364"/>
      <c r="X843" s="364"/>
      <c r="Y843" s="364"/>
      <c r="Z843" s="364"/>
    </row>
    <row r="844" spans="1:26" ht="15.75" customHeight="1" x14ac:dyDescent="0.25">
      <c r="A844" s="364"/>
      <c r="B844" s="364"/>
      <c r="C844" s="364"/>
      <c r="D844" s="364"/>
      <c r="E844" s="364"/>
      <c r="F844" s="364"/>
      <c r="G844" s="364"/>
      <c r="H844" s="364"/>
      <c r="I844" s="364"/>
      <c r="J844" s="364"/>
      <c r="K844" s="364"/>
      <c r="L844" s="364"/>
      <c r="M844" s="364"/>
      <c r="N844" s="364"/>
      <c r="O844" s="364"/>
      <c r="P844" s="364"/>
      <c r="Q844" s="364"/>
      <c r="R844" s="364"/>
      <c r="S844" s="364"/>
      <c r="T844" s="364"/>
      <c r="U844" s="364"/>
      <c r="V844" s="364"/>
      <c r="W844" s="364"/>
      <c r="X844" s="364"/>
      <c r="Y844" s="364"/>
      <c r="Z844" s="364"/>
    </row>
    <row r="845" spans="1:26" ht="15.75" customHeight="1" x14ac:dyDescent="0.25">
      <c r="A845" s="364"/>
      <c r="B845" s="364"/>
      <c r="C845" s="364"/>
      <c r="D845" s="364"/>
      <c r="E845" s="364"/>
      <c r="F845" s="364"/>
      <c r="G845" s="364"/>
      <c r="H845" s="364"/>
      <c r="I845" s="364"/>
      <c r="J845" s="364"/>
      <c r="K845" s="364"/>
      <c r="L845" s="364"/>
      <c r="M845" s="364"/>
      <c r="N845" s="364"/>
      <c r="O845" s="364"/>
      <c r="P845" s="364"/>
      <c r="Q845" s="364"/>
      <c r="R845" s="364"/>
      <c r="S845" s="364"/>
      <c r="T845" s="364"/>
      <c r="U845" s="364"/>
      <c r="V845" s="364"/>
      <c r="W845" s="364"/>
      <c r="X845" s="364"/>
      <c r="Y845" s="364"/>
      <c r="Z845" s="364"/>
    </row>
    <row r="846" spans="1:26" ht="15.75" customHeight="1" x14ac:dyDescent="0.25">
      <c r="A846" s="364"/>
      <c r="B846" s="364"/>
      <c r="C846" s="364"/>
      <c r="D846" s="364"/>
      <c r="E846" s="364"/>
      <c r="F846" s="364"/>
      <c r="G846" s="364"/>
      <c r="H846" s="364"/>
      <c r="I846" s="364"/>
      <c r="J846" s="364"/>
      <c r="K846" s="364"/>
      <c r="L846" s="364"/>
      <c r="M846" s="364"/>
      <c r="N846" s="364"/>
      <c r="O846" s="364"/>
      <c r="P846" s="364"/>
      <c r="Q846" s="364"/>
      <c r="R846" s="364"/>
      <c r="S846" s="364"/>
      <c r="T846" s="364"/>
      <c r="U846" s="364"/>
      <c r="V846" s="364"/>
      <c r="W846" s="364"/>
      <c r="X846" s="364"/>
      <c r="Y846" s="364"/>
      <c r="Z846" s="364"/>
    </row>
    <row r="847" spans="1:26" ht="15.75" customHeight="1" x14ac:dyDescent="0.25">
      <c r="A847" s="364"/>
      <c r="B847" s="364"/>
      <c r="C847" s="364"/>
      <c r="D847" s="364"/>
      <c r="E847" s="364"/>
      <c r="F847" s="364"/>
      <c r="G847" s="364"/>
      <c r="H847" s="364"/>
      <c r="I847" s="364"/>
      <c r="J847" s="364"/>
      <c r="K847" s="364"/>
      <c r="L847" s="364"/>
      <c r="M847" s="364"/>
      <c r="N847" s="364"/>
      <c r="O847" s="364"/>
      <c r="P847" s="364"/>
      <c r="Q847" s="364"/>
      <c r="R847" s="364"/>
      <c r="S847" s="364"/>
      <c r="T847" s="364"/>
      <c r="U847" s="364"/>
      <c r="V847" s="364"/>
      <c r="W847" s="364"/>
      <c r="X847" s="364"/>
      <c r="Y847" s="364"/>
      <c r="Z847" s="364"/>
    </row>
    <row r="848" spans="1:26" ht="15.75" customHeight="1" x14ac:dyDescent="0.25">
      <c r="A848" s="364"/>
      <c r="B848" s="364"/>
      <c r="C848" s="364"/>
      <c r="D848" s="364"/>
      <c r="E848" s="364"/>
      <c r="F848" s="364"/>
      <c r="G848" s="364"/>
      <c r="H848" s="364"/>
      <c r="I848" s="364"/>
      <c r="J848" s="364"/>
      <c r="K848" s="364"/>
      <c r="L848" s="364"/>
      <c r="M848" s="364"/>
      <c r="N848" s="364"/>
      <c r="O848" s="364"/>
      <c r="P848" s="364"/>
      <c r="Q848" s="364"/>
      <c r="R848" s="364"/>
      <c r="S848" s="364"/>
      <c r="T848" s="364"/>
      <c r="U848" s="364"/>
      <c r="V848" s="364"/>
      <c r="W848" s="364"/>
      <c r="X848" s="364"/>
      <c r="Y848" s="364"/>
      <c r="Z848" s="364"/>
    </row>
    <row r="849" spans="1:26" ht="15.75" customHeight="1" x14ac:dyDescent="0.25">
      <c r="A849" s="364"/>
      <c r="B849" s="364"/>
      <c r="C849" s="364"/>
      <c r="D849" s="364"/>
      <c r="E849" s="364"/>
      <c r="F849" s="364"/>
      <c r="G849" s="364"/>
      <c r="H849" s="364"/>
      <c r="I849" s="364"/>
      <c r="J849" s="364"/>
      <c r="K849" s="364"/>
      <c r="L849" s="364"/>
      <c r="M849" s="364"/>
      <c r="N849" s="364"/>
      <c r="O849" s="364"/>
      <c r="P849" s="364"/>
      <c r="Q849" s="364"/>
      <c r="R849" s="364"/>
      <c r="S849" s="364"/>
      <c r="T849" s="364"/>
      <c r="U849" s="364"/>
      <c r="V849" s="364"/>
      <c r="W849" s="364"/>
      <c r="X849" s="364"/>
      <c r="Y849" s="364"/>
      <c r="Z849" s="364"/>
    </row>
    <row r="850" spans="1:26" ht="15.75" customHeight="1" x14ac:dyDescent="0.25">
      <c r="A850" s="364"/>
      <c r="B850" s="364"/>
      <c r="C850" s="364"/>
      <c r="D850" s="364"/>
      <c r="E850" s="364"/>
      <c r="F850" s="364"/>
      <c r="G850" s="364"/>
      <c r="H850" s="364"/>
      <c r="I850" s="364"/>
      <c r="J850" s="364"/>
      <c r="K850" s="364"/>
      <c r="L850" s="364"/>
      <c r="M850" s="364"/>
      <c r="N850" s="364"/>
      <c r="O850" s="364"/>
      <c r="P850" s="364"/>
      <c r="Q850" s="364"/>
      <c r="R850" s="364"/>
      <c r="S850" s="364"/>
      <c r="T850" s="364"/>
      <c r="U850" s="364"/>
      <c r="V850" s="364"/>
      <c r="W850" s="364"/>
      <c r="X850" s="364"/>
      <c r="Y850" s="364"/>
      <c r="Z850" s="364"/>
    </row>
    <row r="851" spans="1:26" ht="15.75" customHeight="1" x14ac:dyDescent="0.25">
      <c r="A851" s="364"/>
      <c r="B851" s="364"/>
      <c r="C851" s="364"/>
      <c r="D851" s="364"/>
      <c r="E851" s="364"/>
      <c r="F851" s="364"/>
      <c r="G851" s="364"/>
      <c r="H851" s="364"/>
      <c r="I851" s="364"/>
      <c r="J851" s="364"/>
      <c r="K851" s="364"/>
      <c r="L851" s="364"/>
      <c r="M851" s="364"/>
      <c r="N851" s="364"/>
      <c r="O851" s="364"/>
      <c r="P851" s="364"/>
      <c r="Q851" s="364"/>
      <c r="R851" s="364"/>
      <c r="S851" s="364"/>
      <c r="T851" s="364"/>
      <c r="U851" s="364"/>
      <c r="V851" s="364"/>
      <c r="W851" s="364"/>
      <c r="X851" s="364"/>
      <c r="Y851" s="364"/>
      <c r="Z851" s="364"/>
    </row>
    <row r="852" spans="1:26" ht="15.75" customHeight="1" x14ac:dyDescent="0.25">
      <c r="A852" s="364"/>
      <c r="B852" s="364"/>
      <c r="C852" s="364"/>
      <c r="D852" s="364"/>
      <c r="E852" s="364"/>
      <c r="F852" s="364"/>
      <c r="G852" s="364"/>
      <c r="H852" s="364"/>
      <c r="I852" s="364"/>
      <c r="J852" s="364"/>
      <c r="K852" s="364"/>
      <c r="L852" s="364"/>
      <c r="M852" s="364"/>
      <c r="N852" s="364"/>
      <c r="O852" s="364"/>
      <c r="P852" s="364"/>
      <c r="Q852" s="364"/>
      <c r="R852" s="364"/>
      <c r="S852" s="364"/>
      <c r="T852" s="364"/>
      <c r="U852" s="364"/>
      <c r="V852" s="364"/>
      <c r="W852" s="364"/>
      <c r="X852" s="364"/>
      <c r="Y852" s="364"/>
      <c r="Z852" s="364"/>
    </row>
    <row r="853" spans="1:26" ht="15.75" customHeight="1" x14ac:dyDescent="0.25">
      <c r="A853" s="364"/>
      <c r="B853" s="364"/>
      <c r="C853" s="364"/>
      <c r="D853" s="364"/>
      <c r="E853" s="364"/>
      <c r="F853" s="364"/>
      <c r="G853" s="364"/>
      <c r="H853" s="364"/>
      <c r="I853" s="364"/>
      <c r="J853" s="364"/>
      <c r="K853" s="364"/>
      <c r="L853" s="364"/>
      <c r="M853" s="364"/>
      <c r="N853" s="364"/>
      <c r="O853" s="364"/>
      <c r="P853" s="364"/>
      <c r="Q853" s="364"/>
      <c r="R853" s="364"/>
      <c r="S853" s="364"/>
      <c r="T853" s="364"/>
      <c r="U853" s="364"/>
      <c r="V853" s="364"/>
      <c r="W853" s="364"/>
      <c r="X853" s="364"/>
      <c r="Y853" s="364"/>
      <c r="Z853" s="364"/>
    </row>
    <row r="854" spans="1:26" ht="15.75" customHeight="1" x14ac:dyDescent="0.25">
      <c r="A854" s="364"/>
      <c r="B854" s="364"/>
      <c r="C854" s="364"/>
      <c r="D854" s="364"/>
      <c r="E854" s="364"/>
      <c r="F854" s="364"/>
      <c r="G854" s="364"/>
      <c r="H854" s="364"/>
      <c r="I854" s="364"/>
      <c r="J854" s="364"/>
      <c r="K854" s="364"/>
      <c r="L854" s="364"/>
      <c r="M854" s="364"/>
      <c r="N854" s="364"/>
      <c r="O854" s="364"/>
      <c r="P854" s="364"/>
      <c r="Q854" s="364"/>
      <c r="R854" s="364"/>
      <c r="S854" s="364"/>
      <c r="T854" s="364"/>
      <c r="U854" s="364"/>
      <c r="V854" s="364"/>
      <c r="W854" s="364"/>
      <c r="X854" s="364"/>
      <c r="Y854" s="364"/>
      <c r="Z854" s="364"/>
    </row>
    <row r="855" spans="1:26" ht="15.75" customHeight="1" x14ac:dyDescent="0.25">
      <c r="A855" s="364"/>
      <c r="B855" s="364"/>
      <c r="C855" s="364"/>
      <c r="D855" s="364"/>
      <c r="E855" s="364"/>
      <c r="F855" s="364"/>
      <c r="G855" s="364"/>
      <c r="H855" s="364"/>
      <c r="I855" s="364"/>
      <c r="J855" s="364"/>
      <c r="K855" s="364"/>
      <c r="L855" s="364"/>
      <c r="M855" s="364"/>
      <c r="N855" s="364"/>
      <c r="O855" s="364"/>
      <c r="P855" s="364"/>
      <c r="Q855" s="364"/>
      <c r="R855" s="364"/>
      <c r="S855" s="364"/>
      <c r="T855" s="364"/>
      <c r="U855" s="364"/>
      <c r="V855" s="364"/>
      <c r="W855" s="364"/>
      <c r="X855" s="364"/>
      <c r="Y855" s="364"/>
      <c r="Z855" s="364"/>
    </row>
    <row r="856" spans="1:26" ht="15.75" customHeight="1" x14ac:dyDescent="0.25">
      <c r="A856" s="364"/>
      <c r="B856" s="364"/>
      <c r="C856" s="364"/>
      <c r="D856" s="364"/>
      <c r="E856" s="364"/>
      <c r="F856" s="364"/>
      <c r="G856" s="364"/>
      <c r="H856" s="364"/>
      <c r="I856" s="364"/>
      <c r="J856" s="364"/>
      <c r="K856" s="364"/>
      <c r="L856" s="364"/>
      <c r="M856" s="364"/>
      <c r="N856" s="364"/>
      <c r="O856" s="364"/>
      <c r="P856" s="364"/>
      <c r="Q856" s="364"/>
      <c r="R856" s="364"/>
      <c r="S856" s="364"/>
      <c r="T856" s="364"/>
      <c r="U856" s="364"/>
      <c r="V856" s="364"/>
      <c r="W856" s="364"/>
      <c r="X856" s="364"/>
      <c r="Y856" s="364"/>
      <c r="Z856" s="364"/>
    </row>
    <row r="857" spans="1:26" ht="15.75" customHeight="1" x14ac:dyDescent="0.25">
      <c r="A857" s="364"/>
      <c r="B857" s="364"/>
      <c r="C857" s="364"/>
      <c r="D857" s="364"/>
      <c r="E857" s="364"/>
      <c r="F857" s="364"/>
      <c r="G857" s="364"/>
      <c r="H857" s="364"/>
      <c r="I857" s="364"/>
      <c r="J857" s="364"/>
      <c r="K857" s="364"/>
      <c r="L857" s="364"/>
      <c r="M857" s="364"/>
      <c r="N857" s="364"/>
      <c r="O857" s="364"/>
      <c r="P857" s="364"/>
      <c r="Q857" s="364"/>
      <c r="R857" s="364"/>
      <c r="S857" s="364"/>
      <c r="T857" s="364"/>
      <c r="U857" s="364"/>
      <c r="V857" s="364"/>
      <c r="W857" s="364"/>
      <c r="X857" s="364"/>
      <c r="Y857" s="364"/>
      <c r="Z857" s="364"/>
    </row>
    <row r="858" spans="1:26" ht="15.75" customHeight="1" x14ac:dyDescent="0.25">
      <c r="A858" s="364"/>
      <c r="B858" s="364"/>
      <c r="C858" s="364"/>
      <c r="D858" s="364"/>
      <c r="E858" s="364"/>
      <c r="F858" s="364"/>
      <c r="G858" s="364"/>
      <c r="H858" s="364"/>
      <c r="I858" s="364"/>
      <c r="J858" s="364"/>
      <c r="K858" s="364"/>
      <c r="L858" s="364"/>
      <c r="M858" s="364"/>
      <c r="N858" s="364"/>
      <c r="O858" s="364"/>
      <c r="P858" s="364"/>
      <c r="Q858" s="364"/>
      <c r="R858" s="364"/>
      <c r="S858" s="364"/>
      <c r="T858" s="364"/>
      <c r="U858" s="364"/>
      <c r="V858" s="364"/>
      <c r="W858" s="364"/>
      <c r="X858" s="364"/>
      <c r="Y858" s="364"/>
      <c r="Z858" s="364"/>
    </row>
    <row r="859" spans="1:26" ht="15.75" customHeight="1" x14ac:dyDescent="0.25">
      <c r="A859" s="364"/>
      <c r="B859" s="364"/>
      <c r="C859" s="364"/>
      <c r="D859" s="364"/>
      <c r="E859" s="364"/>
      <c r="F859" s="364"/>
      <c r="G859" s="364"/>
      <c r="H859" s="364"/>
      <c r="I859" s="364"/>
      <c r="J859" s="364"/>
      <c r="K859" s="364"/>
      <c r="L859" s="364"/>
      <c r="M859" s="364"/>
      <c r="N859" s="364"/>
      <c r="O859" s="364"/>
      <c r="P859" s="364"/>
      <c r="Q859" s="364"/>
      <c r="R859" s="364"/>
      <c r="S859" s="364"/>
      <c r="T859" s="364"/>
      <c r="U859" s="364"/>
      <c r="V859" s="364"/>
      <c r="W859" s="364"/>
      <c r="X859" s="364"/>
      <c r="Y859" s="364"/>
      <c r="Z859" s="364"/>
    </row>
    <row r="860" spans="1:26" ht="15.75" customHeight="1" x14ac:dyDescent="0.25">
      <c r="A860" s="364"/>
      <c r="B860" s="364"/>
      <c r="C860" s="364"/>
      <c r="D860" s="364"/>
      <c r="E860" s="364"/>
      <c r="F860" s="364"/>
      <c r="G860" s="364"/>
      <c r="H860" s="364"/>
      <c r="I860" s="364"/>
      <c r="J860" s="364"/>
      <c r="K860" s="364"/>
      <c r="L860" s="364"/>
      <c r="M860" s="364"/>
      <c r="N860" s="364"/>
      <c r="O860" s="364"/>
      <c r="P860" s="364"/>
      <c r="Q860" s="364"/>
      <c r="R860" s="364"/>
      <c r="S860" s="364"/>
      <c r="T860" s="364"/>
      <c r="U860" s="364"/>
      <c r="V860" s="364"/>
      <c r="W860" s="364"/>
      <c r="X860" s="364"/>
      <c r="Y860" s="364"/>
      <c r="Z860" s="364"/>
    </row>
    <row r="861" spans="1:26" ht="15.75" customHeight="1" x14ac:dyDescent="0.25">
      <c r="A861" s="364"/>
      <c r="B861" s="364"/>
      <c r="C861" s="364"/>
      <c r="D861" s="364"/>
      <c r="E861" s="364"/>
      <c r="F861" s="364"/>
      <c r="G861" s="364"/>
      <c r="H861" s="364"/>
      <c r="I861" s="364"/>
      <c r="J861" s="364"/>
      <c r="K861" s="364"/>
      <c r="L861" s="364"/>
      <c r="M861" s="364"/>
      <c r="N861" s="364"/>
      <c r="O861" s="364"/>
      <c r="P861" s="364"/>
      <c r="Q861" s="364"/>
      <c r="R861" s="364"/>
      <c r="S861" s="364"/>
      <c r="T861" s="364"/>
      <c r="U861" s="364"/>
      <c r="V861" s="364"/>
      <c r="W861" s="364"/>
      <c r="X861" s="364"/>
      <c r="Y861" s="364"/>
      <c r="Z861" s="364"/>
    </row>
    <row r="862" spans="1:26" ht="15.75" customHeight="1" x14ac:dyDescent="0.25">
      <c r="A862" s="364"/>
      <c r="B862" s="364"/>
      <c r="C862" s="364"/>
      <c r="D862" s="364"/>
      <c r="E862" s="364"/>
      <c r="F862" s="364"/>
      <c r="G862" s="364"/>
      <c r="H862" s="364"/>
      <c r="I862" s="364"/>
      <c r="J862" s="364"/>
      <c r="K862" s="364"/>
      <c r="L862" s="364"/>
      <c r="M862" s="364"/>
      <c r="N862" s="364"/>
      <c r="O862" s="364"/>
      <c r="P862" s="364"/>
      <c r="Q862" s="364"/>
      <c r="R862" s="364"/>
      <c r="S862" s="364"/>
      <c r="T862" s="364"/>
      <c r="U862" s="364"/>
      <c r="V862" s="364"/>
      <c r="W862" s="364"/>
      <c r="X862" s="364"/>
      <c r="Y862" s="364"/>
      <c r="Z862" s="364"/>
    </row>
    <row r="863" spans="1:26" ht="15.75" customHeight="1" x14ac:dyDescent="0.25">
      <c r="A863" s="364"/>
      <c r="B863" s="364"/>
      <c r="C863" s="364"/>
      <c r="D863" s="364"/>
      <c r="E863" s="364"/>
      <c r="F863" s="364"/>
      <c r="G863" s="364"/>
      <c r="H863" s="364"/>
      <c r="I863" s="364"/>
      <c r="J863" s="364"/>
      <c r="K863" s="364"/>
      <c r="L863" s="364"/>
      <c r="M863" s="364"/>
      <c r="N863" s="364"/>
      <c r="O863" s="364"/>
      <c r="P863" s="364"/>
      <c r="Q863" s="364"/>
      <c r="R863" s="364"/>
      <c r="S863" s="364"/>
      <c r="T863" s="364"/>
      <c r="U863" s="364"/>
      <c r="V863" s="364"/>
      <c r="W863" s="364"/>
      <c r="X863" s="364"/>
      <c r="Y863" s="364"/>
      <c r="Z863" s="364"/>
    </row>
    <row r="864" spans="1:26" ht="15.75" customHeight="1" x14ac:dyDescent="0.25">
      <c r="A864" s="364"/>
      <c r="B864" s="364"/>
      <c r="C864" s="364"/>
      <c r="D864" s="364"/>
      <c r="E864" s="364"/>
      <c r="F864" s="364"/>
      <c r="G864" s="364"/>
      <c r="H864" s="364"/>
      <c r="I864" s="364"/>
      <c r="J864" s="364"/>
      <c r="K864" s="364"/>
      <c r="L864" s="364"/>
      <c r="M864" s="364"/>
      <c r="N864" s="364"/>
      <c r="O864" s="364"/>
      <c r="P864" s="364"/>
      <c r="Q864" s="364"/>
      <c r="R864" s="364"/>
      <c r="S864" s="364"/>
      <c r="T864" s="364"/>
      <c r="U864" s="364"/>
      <c r="V864" s="364"/>
      <c r="W864" s="364"/>
      <c r="X864" s="364"/>
      <c r="Y864" s="364"/>
      <c r="Z864" s="364"/>
    </row>
    <row r="865" spans="1:26" ht="15.75" customHeight="1" x14ac:dyDescent="0.25">
      <c r="A865" s="364"/>
      <c r="B865" s="364"/>
      <c r="C865" s="364"/>
      <c r="D865" s="364"/>
      <c r="E865" s="364"/>
      <c r="F865" s="364"/>
      <c r="G865" s="364"/>
      <c r="H865" s="364"/>
      <c r="I865" s="364"/>
      <c r="J865" s="364"/>
      <c r="K865" s="364"/>
      <c r="L865" s="364"/>
      <c r="M865" s="364"/>
      <c r="N865" s="364"/>
      <c r="O865" s="364"/>
      <c r="P865" s="364"/>
      <c r="Q865" s="364"/>
      <c r="R865" s="364"/>
      <c r="S865" s="364"/>
      <c r="T865" s="364"/>
      <c r="U865" s="364"/>
      <c r="V865" s="364"/>
      <c r="W865" s="364"/>
      <c r="X865" s="364"/>
      <c r="Y865" s="364"/>
      <c r="Z865" s="364"/>
    </row>
    <row r="866" spans="1:26" ht="15.75" customHeight="1" x14ac:dyDescent="0.25">
      <c r="A866" s="364"/>
      <c r="B866" s="364"/>
      <c r="C866" s="364"/>
      <c r="D866" s="364"/>
      <c r="E866" s="364"/>
      <c r="F866" s="364"/>
      <c r="G866" s="364"/>
      <c r="H866" s="364"/>
      <c r="I866" s="364"/>
      <c r="J866" s="364"/>
      <c r="K866" s="364"/>
      <c r="L866" s="364"/>
      <c r="M866" s="364"/>
      <c r="N866" s="364"/>
      <c r="O866" s="364"/>
      <c r="P866" s="364"/>
      <c r="Q866" s="364"/>
      <c r="R866" s="364"/>
      <c r="S866" s="364"/>
      <c r="T866" s="364"/>
      <c r="U866" s="364"/>
      <c r="V866" s="364"/>
      <c r="W866" s="364"/>
      <c r="X866" s="364"/>
      <c r="Y866" s="364"/>
      <c r="Z866" s="364"/>
    </row>
    <row r="867" spans="1:26" ht="15.75" customHeight="1" x14ac:dyDescent="0.25">
      <c r="A867" s="364"/>
      <c r="B867" s="364"/>
      <c r="C867" s="364"/>
      <c r="D867" s="364"/>
      <c r="E867" s="364"/>
      <c r="F867" s="364"/>
      <c r="G867" s="364"/>
      <c r="H867" s="364"/>
      <c r="I867" s="364"/>
      <c r="J867" s="364"/>
      <c r="K867" s="364"/>
      <c r="L867" s="364"/>
      <c r="M867" s="364"/>
      <c r="N867" s="364"/>
      <c r="O867" s="364"/>
      <c r="P867" s="364"/>
      <c r="Q867" s="364"/>
      <c r="R867" s="364"/>
      <c r="S867" s="364"/>
      <c r="T867" s="364"/>
      <c r="U867" s="364"/>
      <c r="V867" s="364"/>
      <c r="W867" s="364"/>
      <c r="X867" s="364"/>
      <c r="Y867" s="364"/>
      <c r="Z867" s="364"/>
    </row>
    <row r="868" spans="1:26" ht="15.75" customHeight="1" x14ac:dyDescent="0.25">
      <c r="A868" s="364"/>
      <c r="B868" s="364"/>
      <c r="C868" s="364"/>
      <c r="D868" s="364"/>
      <c r="E868" s="364"/>
      <c r="F868" s="364"/>
      <c r="G868" s="364"/>
      <c r="H868" s="364"/>
      <c r="I868" s="364"/>
      <c r="J868" s="364"/>
      <c r="K868" s="364"/>
      <c r="L868" s="364"/>
      <c r="M868" s="364"/>
      <c r="N868" s="364"/>
      <c r="O868" s="364"/>
      <c r="P868" s="364"/>
      <c r="Q868" s="364"/>
      <c r="R868" s="364"/>
      <c r="S868" s="364"/>
      <c r="T868" s="364"/>
      <c r="U868" s="364"/>
      <c r="V868" s="364"/>
      <c r="W868" s="364"/>
      <c r="X868" s="364"/>
      <c r="Y868" s="364"/>
      <c r="Z868" s="364"/>
    </row>
    <row r="869" spans="1:26" ht="15.75" customHeight="1" x14ac:dyDescent="0.25">
      <c r="A869" s="364"/>
      <c r="B869" s="364"/>
      <c r="C869" s="364"/>
      <c r="D869" s="364"/>
      <c r="E869" s="364"/>
      <c r="F869" s="364"/>
      <c r="G869" s="364"/>
      <c r="H869" s="364"/>
      <c r="I869" s="364"/>
      <c r="J869" s="364"/>
      <c r="K869" s="364"/>
      <c r="L869" s="364"/>
      <c r="M869" s="364"/>
      <c r="N869" s="364"/>
      <c r="O869" s="364"/>
      <c r="P869" s="364"/>
      <c r="Q869" s="364"/>
      <c r="R869" s="364"/>
      <c r="S869" s="364"/>
      <c r="T869" s="364"/>
      <c r="U869" s="364"/>
      <c r="V869" s="364"/>
      <c r="W869" s="364"/>
      <c r="X869" s="364"/>
      <c r="Y869" s="364"/>
      <c r="Z869" s="364"/>
    </row>
    <row r="870" spans="1:26" ht="15.75" customHeight="1" x14ac:dyDescent="0.25">
      <c r="A870" s="364"/>
      <c r="B870" s="364"/>
      <c r="C870" s="364"/>
      <c r="D870" s="364"/>
      <c r="E870" s="364"/>
      <c r="F870" s="364"/>
      <c r="G870" s="364"/>
      <c r="H870" s="364"/>
      <c r="I870" s="364"/>
      <c r="J870" s="364"/>
      <c r="K870" s="364"/>
      <c r="L870" s="364"/>
      <c r="M870" s="364"/>
      <c r="N870" s="364"/>
      <c r="O870" s="364"/>
      <c r="P870" s="364"/>
      <c r="Q870" s="364"/>
      <c r="R870" s="364"/>
      <c r="S870" s="364"/>
      <c r="T870" s="364"/>
      <c r="U870" s="364"/>
      <c r="V870" s="364"/>
      <c r="W870" s="364"/>
      <c r="X870" s="364"/>
      <c r="Y870" s="364"/>
      <c r="Z870" s="364"/>
    </row>
    <row r="871" spans="1:26" ht="15.75" customHeight="1" x14ac:dyDescent="0.25">
      <c r="A871" s="364"/>
      <c r="B871" s="364"/>
      <c r="C871" s="364"/>
      <c r="D871" s="364"/>
      <c r="E871" s="364"/>
      <c r="F871" s="364"/>
      <c r="G871" s="364"/>
      <c r="H871" s="364"/>
      <c r="I871" s="364"/>
      <c r="J871" s="364"/>
      <c r="K871" s="364"/>
      <c r="L871" s="364"/>
      <c r="M871" s="364"/>
      <c r="N871" s="364"/>
      <c r="O871" s="364"/>
      <c r="P871" s="364"/>
      <c r="Q871" s="364"/>
      <c r="R871" s="364"/>
      <c r="S871" s="364"/>
      <c r="T871" s="364"/>
      <c r="U871" s="364"/>
      <c r="V871" s="364"/>
      <c r="W871" s="364"/>
      <c r="X871" s="364"/>
      <c r="Y871" s="364"/>
      <c r="Z871" s="364"/>
    </row>
    <row r="872" spans="1:26" ht="15.75" customHeight="1" x14ac:dyDescent="0.25">
      <c r="A872" s="364"/>
      <c r="B872" s="364"/>
      <c r="C872" s="364"/>
      <c r="D872" s="364"/>
      <c r="E872" s="364"/>
      <c r="F872" s="364"/>
      <c r="G872" s="364"/>
      <c r="H872" s="364"/>
      <c r="I872" s="364"/>
      <c r="J872" s="364"/>
      <c r="K872" s="364"/>
      <c r="L872" s="364"/>
      <c r="M872" s="364"/>
      <c r="N872" s="364"/>
      <c r="O872" s="364"/>
      <c r="P872" s="364"/>
      <c r="Q872" s="364"/>
      <c r="R872" s="364"/>
      <c r="S872" s="364"/>
      <c r="T872" s="364"/>
      <c r="U872" s="364"/>
      <c r="V872" s="364"/>
      <c r="W872" s="364"/>
      <c r="X872" s="364"/>
      <c r="Y872" s="364"/>
      <c r="Z872" s="364"/>
    </row>
    <row r="873" spans="1:26" ht="15.75" customHeight="1" x14ac:dyDescent="0.25">
      <c r="A873" s="364"/>
      <c r="B873" s="364"/>
      <c r="C873" s="364"/>
      <c r="D873" s="364"/>
      <c r="E873" s="364"/>
      <c r="F873" s="364"/>
      <c r="G873" s="364"/>
      <c r="H873" s="364"/>
      <c r="I873" s="364"/>
      <c r="J873" s="364"/>
      <c r="K873" s="364"/>
      <c r="L873" s="364"/>
      <c r="M873" s="364"/>
      <c r="N873" s="364"/>
      <c r="O873" s="364"/>
      <c r="P873" s="364"/>
      <c r="Q873" s="364"/>
      <c r="R873" s="364"/>
      <c r="S873" s="364"/>
      <c r="T873" s="364"/>
      <c r="U873" s="364"/>
      <c r="V873" s="364"/>
      <c r="W873" s="364"/>
      <c r="X873" s="364"/>
      <c r="Y873" s="364"/>
      <c r="Z873" s="364"/>
    </row>
    <row r="874" spans="1:26" ht="15.75" customHeight="1" x14ac:dyDescent="0.25">
      <c r="A874" s="364"/>
      <c r="B874" s="364"/>
      <c r="C874" s="364"/>
      <c r="D874" s="364"/>
      <c r="E874" s="364"/>
      <c r="F874" s="364"/>
      <c r="G874" s="364"/>
      <c r="H874" s="364"/>
      <c r="I874" s="364"/>
      <c r="J874" s="364"/>
      <c r="K874" s="364"/>
      <c r="L874" s="364"/>
      <c r="M874" s="364"/>
      <c r="N874" s="364"/>
      <c r="O874" s="364"/>
      <c r="P874" s="364"/>
      <c r="Q874" s="364"/>
      <c r="R874" s="364"/>
      <c r="S874" s="364"/>
      <c r="T874" s="364"/>
      <c r="U874" s="364"/>
      <c r="V874" s="364"/>
      <c r="W874" s="364"/>
      <c r="X874" s="364"/>
      <c r="Y874" s="364"/>
      <c r="Z874" s="364"/>
    </row>
    <row r="875" spans="1:26" ht="15.75" customHeight="1" x14ac:dyDescent="0.25">
      <c r="A875" s="364"/>
      <c r="B875" s="364"/>
      <c r="C875" s="364"/>
      <c r="D875" s="364"/>
      <c r="E875" s="364"/>
      <c r="F875" s="364"/>
      <c r="G875" s="364"/>
      <c r="H875" s="364"/>
      <c r="I875" s="364"/>
      <c r="J875" s="364"/>
      <c r="K875" s="364"/>
      <c r="L875" s="364"/>
      <c r="M875" s="364"/>
      <c r="N875" s="364"/>
      <c r="O875" s="364"/>
      <c r="P875" s="364"/>
      <c r="Q875" s="364"/>
      <c r="R875" s="364"/>
      <c r="S875" s="364"/>
      <c r="T875" s="364"/>
      <c r="U875" s="364"/>
      <c r="V875" s="364"/>
      <c r="W875" s="364"/>
      <c r="X875" s="364"/>
      <c r="Y875" s="364"/>
      <c r="Z875" s="364"/>
    </row>
    <row r="876" spans="1:26" ht="15.75" customHeight="1" x14ac:dyDescent="0.25">
      <c r="A876" s="364"/>
      <c r="B876" s="364"/>
      <c r="C876" s="364"/>
      <c r="D876" s="364"/>
      <c r="E876" s="364"/>
      <c r="F876" s="364"/>
      <c r="G876" s="364"/>
      <c r="H876" s="364"/>
      <c r="I876" s="364"/>
      <c r="J876" s="364"/>
      <c r="K876" s="364"/>
      <c r="L876" s="364"/>
      <c r="M876" s="364"/>
      <c r="N876" s="364"/>
      <c r="O876" s="364"/>
      <c r="P876" s="364"/>
      <c r="Q876" s="364"/>
      <c r="R876" s="364"/>
      <c r="S876" s="364"/>
      <c r="T876" s="364"/>
      <c r="U876" s="364"/>
      <c r="V876" s="364"/>
      <c r="W876" s="364"/>
      <c r="X876" s="364"/>
      <c r="Y876" s="364"/>
      <c r="Z876" s="364"/>
    </row>
    <row r="877" spans="1:26" ht="15.75" customHeight="1" x14ac:dyDescent="0.25">
      <c r="A877" s="364"/>
      <c r="B877" s="364"/>
      <c r="C877" s="364"/>
      <c r="D877" s="364"/>
      <c r="E877" s="364"/>
      <c r="F877" s="364"/>
      <c r="G877" s="364"/>
      <c r="H877" s="364"/>
      <c r="I877" s="364"/>
      <c r="J877" s="364"/>
      <c r="K877" s="364"/>
      <c r="L877" s="364"/>
      <c r="M877" s="364"/>
      <c r="N877" s="364"/>
      <c r="O877" s="364"/>
      <c r="P877" s="364"/>
      <c r="Q877" s="364"/>
      <c r="R877" s="364"/>
      <c r="S877" s="364"/>
      <c r="T877" s="364"/>
      <c r="U877" s="364"/>
      <c r="V877" s="364"/>
      <c r="W877" s="364"/>
      <c r="X877" s="364"/>
      <c r="Y877" s="364"/>
      <c r="Z877" s="364"/>
    </row>
    <row r="878" spans="1:26" ht="15.75" customHeight="1" x14ac:dyDescent="0.25">
      <c r="A878" s="364"/>
      <c r="B878" s="364"/>
      <c r="C878" s="364"/>
      <c r="D878" s="364"/>
      <c r="E878" s="364"/>
      <c r="F878" s="364"/>
      <c r="G878" s="364"/>
      <c r="H878" s="364"/>
      <c r="I878" s="364"/>
      <c r="J878" s="364"/>
      <c r="K878" s="364"/>
      <c r="L878" s="364"/>
      <c r="M878" s="364"/>
      <c r="N878" s="364"/>
      <c r="O878" s="364"/>
      <c r="P878" s="364"/>
      <c r="Q878" s="364"/>
      <c r="R878" s="364"/>
      <c r="S878" s="364"/>
      <c r="T878" s="364"/>
      <c r="U878" s="364"/>
      <c r="V878" s="364"/>
      <c r="W878" s="364"/>
      <c r="X878" s="364"/>
      <c r="Y878" s="364"/>
      <c r="Z878" s="364"/>
    </row>
    <row r="879" spans="1:26" ht="15.75" customHeight="1" x14ac:dyDescent="0.25">
      <c r="A879" s="364"/>
      <c r="B879" s="364"/>
      <c r="C879" s="364"/>
      <c r="D879" s="364"/>
      <c r="E879" s="364"/>
      <c r="F879" s="364"/>
      <c r="G879" s="364"/>
      <c r="H879" s="364"/>
      <c r="I879" s="364"/>
      <c r="J879" s="364"/>
      <c r="K879" s="364"/>
      <c r="L879" s="364"/>
      <c r="M879" s="364"/>
      <c r="N879" s="364"/>
      <c r="O879" s="364"/>
      <c r="P879" s="364"/>
      <c r="Q879" s="364"/>
      <c r="R879" s="364"/>
      <c r="S879" s="364"/>
      <c r="T879" s="364"/>
      <c r="U879" s="364"/>
      <c r="V879" s="364"/>
      <c r="W879" s="364"/>
      <c r="X879" s="364"/>
      <c r="Y879" s="364"/>
      <c r="Z879" s="364"/>
    </row>
    <row r="880" spans="1:26" ht="15.75" customHeight="1" x14ac:dyDescent="0.25">
      <c r="A880" s="364"/>
      <c r="B880" s="364"/>
      <c r="C880" s="364"/>
      <c r="D880" s="364"/>
      <c r="E880" s="364"/>
      <c r="F880" s="364"/>
      <c r="G880" s="364"/>
      <c r="H880" s="364"/>
      <c r="I880" s="364"/>
      <c r="J880" s="364"/>
      <c r="K880" s="364"/>
      <c r="L880" s="364"/>
      <c r="M880" s="364"/>
      <c r="N880" s="364"/>
      <c r="O880" s="364"/>
      <c r="P880" s="364"/>
      <c r="Q880" s="364"/>
      <c r="R880" s="364"/>
      <c r="S880" s="364"/>
      <c r="T880" s="364"/>
      <c r="U880" s="364"/>
      <c r="V880" s="364"/>
      <c r="W880" s="364"/>
      <c r="X880" s="364"/>
      <c r="Y880" s="364"/>
      <c r="Z880" s="364"/>
    </row>
    <row r="881" spans="1:26" ht="15.75" customHeight="1" x14ac:dyDescent="0.25">
      <c r="A881" s="364"/>
      <c r="B881" s="364"/>
      <c r="C881" s="364"/>
      <c r="D881" s="364"/>
      <c r="E881" s="364"/>
      <c r="F881" s="364"/>
      <c r="G881" s="364"/>
      <c r="H881" s="364"/>
      <c r="I881" s="364"/>
      <c r="J881" s="364"/>
      <c r="K881" s="364"/>
      <c r="L881" s="364"/>
      <c r="M881" s="364"/>
      <c r="N881" s="364"/>
      <c r="O881" s="364"/>
      <c r="P881" s="364"/>
      <c r="Q881" s="364"/>
      <c r="R881" s="364"/>
      <c r="S881" s="364"/>
      <c r="T881" s="364"/>
      <c r="U881" s="364"/>
      <c r="V881" s="364"/>
      <c r="W881" s="364"/>
      <c r="X881" s="364"/>
      <c r="Y881" s="364"/>
      <c r="Z881" s="364"/>
    </row>
    <row r="882" spans="1:26" ht="15.75" customHeight="1" x14ac:dyDescent="0.25">
      <c r="A882" s="364"/>
      <c r="B882" s="364"/>
      <c r="C882" s="364"/>
      <c r="D882" s="364"/>
      <c r="E882" s="364"/>
      <c r="F882" s="364"/>
      <c r="G882" s="364"/>
      <c r="H882" s="364"/>
      <c r="I882" s="364"/>
      <c r="J882" s="364"/>
      <c r="K882" s="364"/>
      <c r="L882" s="364"/>
      <c r="M882" s="364"/>
      <c r="N882" s="364"/>
      <c r="O882" s="364"/>
      <c r="P882" s="364"/>
      <c r="Q882" s="364"/>
      <c r="R882" s="364"/>
      <c r="S882" s="364"/>
      <c r="T882" s="364"/>
      <c r="U882" s="364"/>
      <c r="V882" s="364"/>
      <c r="W882" s="364"/>
      <c r="X882" s="364"/>
      <c r="Y882" s="364"/>
      <c r="Z882" s="364"/>
    </row>
    <row r="883" spans="1:26" ht="15.75" customHeight="1" x14ac:dyDescent="0.25">
      <c r="A883" s="364"/>
      <c r="B883" s="364"/>
      <c r="C883" s="364"/>
      <c r="D883" s="364"/>
      <c r="E883" s="364"/>
      <c r="F883" s="364"/>
      <c r="G883" s="364"/>
      <c r="H883" s="364"/>
      <c r="I883" s="364"/>
      <c r="J883" s="364"/>
      <c r="K883" s="364"/>
      <c r="L883" s="364"/>
      <c r="M883" s="364"/>
      <c r="N883" s="364"/>
      <c r="O883" s="364"/>
      <c r="P883" s="364"/>
      <c r="Q883" s="364"/>
      <c r="R883" s="364"/>
      <c r="S883" s="364"/>
      <c r="T883" s="364"/>
      <c r="U883" s="364"/>
      <c r="V883" s="364"/>
      <c r="W883" s="364"/>
      <c r="X883" s="364"/>
      <c r="Y883" s="364"/>
      <c r="Z883" s="364"/>
    </row>
    <row r="884" spans="1:26" ht="15.75" customHeight="1" x14ac:dyDescent="0.25">
      <c r="A884" s="364"/>
      <c r="B884" s="364"/>
      <c r="C884" s="364"/>
      <c r="D884" s="364"/>
      <c r="E884" s="364"/>
      <c r="F884" s="364"/>
      <c r="G884" s="364"/>
      <c r="H884" s="364"/>
      <c r="I884" s="364"/>
      <c r="J884" s="364"/>
      <c r="K884" s="364"/>
      <c r="L884" s="364"/>
      <c r="M884" s="364"/>
      <c r="N884" s="364"/>
      <c r="O884" s="364"/>
      <c r="P884" s="364"/>
      <c r="Q884" s="364"/>
      <c r="R884" s="364"/>
      <c r="S884" s="364"/>
      <c r="T884" s="364"/>
      <c r="U884" s="364"/>
      <c r="V884" s="364"/>
      <c r="W884" s="364"/>
      <c r="X884" s="364"/>
      <c r="Y884" s="364"/>
      <c r="Z884" s="364"/>
    </row>
    <row r="885" spans="1:26" ht="15.75" customHeight="1" x14ac:dyDescent="0.25">
      <c r="A885" s="364"/>
      <c r="B885" s="364"/>
      <c r="C885" s="364"/>
      <c r="D885" s="364"/>
      <c r="E885" s="364"/>
      <c r="F885" s="364"/>
      <c r="G885" s="364"/>
      <c r="H885" s="364"/>
      <c r="I885" s="364"/>
      <c r="J885" s="364"/>
      <c r="K885" s="364"/>
      <c r="L885" s="364"/>
      <c r="M885" s="364"/>
      <c r="N885" s="364"/>
      <c r="O885" s="364"/>
      <c r="P885" s="364"/>
      <c r="Q885" s="364"/>
      <c r="R885" s="364"/>
      <c r="S885" s="364"/>
      <c r="T885" s="364"/>
      <c r="U885" s="364"/>
      <c r="V885" s="364"/>
      <c r="W885" s="364"/>
      <c r="X885" s="364"/>
      <c r="Y885" s="364"/>
      <c r="Z885" s="364"/>
    </row>
    <row r="886" spans="1:26" ht="15.75" customHeight="1" x14ac:dyDescent="0.25">
      <c r="A886" s="364"/>
      <c r="B886" s="364"/>
      <c r="C886" s="364"/>
      <c r="D886" s="364"/>
      <c r="E886" s="364"/>
      <c r="F886" s="364"/>
      <c r="G886" s="364"/>
      <c r="H886" s="364"/>
      <c r="I886" s="364"/>
      <c r="J886" s="364"/>
      <c r="K886" s="364"/>
      <c r="L886" s="364"/>
      <c r="M886" s="364"/>
      <c r="N886" s="364"/>
      <c r="O886" s="364"/>
      <c r="P886" s="364"/>
      <c r="Q886" s="364"/>
      <c r="R886" s="364"/>
      <c r="S886" s="364"/>
      <c r="T886" s="364"/>
      <c r="U886" s="364"/>
      <c r="V886" s="364"/>
      <c r="W886" s="364"/>
      <c r="X886" s="364"/>
      <c r="Y886" s="364"/>
      <c r="Z886" s="364"/>
    </row>
    <row r="887" spans="1:26" ht="15.75" customHeight="1" x14ac:dyDescent="0.25">
      <c r="A887" s="364"/>
      <c r="B887" s="364"/>
      <c r="C887" s="364"/>
      <c r="D887" s="364"/>
      <c r="E887" s="364"/>
      <c r="F887" s="364"/>
      <c r="G887" s="364"/>
      <c r="H887" s="364"/>
      <c r="I887" s="364"/>
      <c r="J887" s="364"/>
      <c r="K887" s="364"/>
      <c r="L887" s="364"/>
      <c r="M887" s="364"/>
      <c r="N887" s="364"/>
      <c r="O887" s="364"/>
      <c r="P887" s="364"/>
      <c r="Q887" s="364"/>
      <c r="R887" s="364"/>
      <c r="S887" s="364"/>
      <c r="T887" s="364"/>
      <c r="U887" s="364"/>
      <c r="V887" s="364"/>
      <c r="W887" s="364"/>
      <c r="X887" s="364"/>
      <c r="Y887" s="364"/>
      <c r="Z887" s="364"/>
    </row>
    <row r="888" spans="1:26" ht="15.75" customHeight="1" x14ac:dyDescent="0.25">
      <c r="A888" s="364"/>
      <c r="B888" s="364"/>
      <c r="C888" s="364"/>
      <c r="D888" s="364"/>
      <c r="E888" s="364"/>
      <c r="F888" s="364"/>
      <c r="G888" s="364"/>
      <c r="H888" s="364"/>
      <c r="I888" s="364"/>
      <c r="J888" s="364"/>
      <c r="K888" s="364"/>
      <c r="L888" s="364"/>
      <c r="M888" s="364"/>
      <c r="N888" s="364"/>
      <c r="O888" s="364"/>
      <c r="P888" s="364"/>
      <c r="Q888" s="364"/>
      <c r="R888" s="364"/>
      <c r="S888" s="364"/>
      <c r="T888" s="364"/>
      <c r="U888" s="364"/>
      <c r="V888" s="364"/>
      <c r="W888" s="364"/>
      <c r="X888" s="364"/>
      <c r="Y888" s="364"/>
      <c r="Z888" s="364"/>
    </row>
    <row r="889" spans="1:26" ht="15.75" customHeight="1" x14ac:dyDescent="0.25">
      <c r="A889" s="364"/>
      <c r="B889" s="364"/>
      <c r="C889" s="364"/>
      <c r="D889" s="364"/>
      <c r="E889" s="364"/>
      <c r="F889" s="364"/>
      <c r="G889" s="364"/>
      <c r="H889" s="364"/>
      <c r="I889" s="364"/>
      <c r="J889" s="364"/>
      <c r="K889" s="364"/>
      <c r="L889" s="364"/>
      <c r="M889" s="364"/>
      <c r="N889" s="364"/>
      <c r="O889" s="364"/>
      <c r="P889" s="364"/>
      <c r="Q889" s="364"/>
      <c r="R889" s="364"/>
      <c r="S889" s="364"/>
      <c r="T889" s="364"/>
      <c r="U889" s="364"/>
      <c r="V889" s="364"/>
      <c r="W889" s="364"/>
      <c r="X889" s="364"/>
      <c r="Y889" s="364"/>
      <c r="Z889" s="364"/>
    </row>
    <row r="890" spans="1:26" ht="15.75" customHeight="1" x14ac:dyDescent="0.25">
      <c r="A890" s="364"/>
      <c r="B890" s="364"/>
      <c r="C890" s="364"/>
      <c r="D890" s="364"/>
      <c r="E890" s="364"/>
      <c r="F890" s="364"/>
      <c r="G890" s="364"/>
      <c r="H890" s="364"/>
      <c r="I890" s="364"/>
      <c r="J890" s="364"/>
      <c r="K890" s="364"/>
      <c r="L890" s="364"/>
      <c r="M890" s="364"/>
      <c r="N890" s="364"/>
      <c r="O890" s="364"/>
      <c r="P890" s="364"/>
      <c r="Q890" s="364"/>
      <c r="R890" s="364"/>
      <c r="S890" s="364"/>
      <c r="T890" s="364"/>
      <c r="U890" s="364"/>
      <c r="V890" s="364"/>
      <c r="W890" s="364"/>
      <c r="X890" s="364"/>
      <c r="Y890" s="364"/>
      <c r="Z890" s="364"/>
    </row>
    <row r="891" spans="1:26" ht="15.75" customHeight="1" x14ac:dyDescent="0.25">
      <c r="A891" s="364"/>
      <c r="B891" s="364"/>
      <c r="C891" s="364"/>
      <c r="D891" s="364"/>
      <c r="E891" s="364"/>
      <c r="F891" s="364"/>
      <c r="G891" s="364"/>
      <c r="H891" s="364"/>
      <c r="I891" s="364"/>
      <c r="J891" s="364"/>
      <c r="K891" s="364"/>
      <c r="L891" s="364"/>
      <c r="M891" s="364"/>
      <c r="N891" s="364"/>
      <c r="O891" s="364"/>
      <c r="P891" s="364"/>
      <c r="Q891" s="364"/>
      <c r="R891" s="364"/>
      <c r="S891" s="364"/>
      <c r="T891" s="364"/>
      <c r="U891" s="364"/>
      <c r="V891" s="364"/>
      <c r="W891" s="364"/>
      <c r="X891" s="364"/>
      <c r="Y891" s="364"/>
      <c r="Z891" s="364"/>
    </row>
    <row r="892" spans="1:26" ht="15.75" customHeight="1" x14ac:dyDescent="0.25">
      <c r="A892" s="364"/>
      <c r="B892" s="364"/>
      <c r="C892" s="364"/>
      <c r="D892" s="364"/>
      <c r="E892" s="364"/>
      <c r="F892" s="364"/>
      <c r="G892" s="364"/>
      <c r="H892" s="364"/>
      <c r="I892" s="364"/>
      <c r="J892" s="364"/>
      <c r="K892" s="364"/>
      <c r="L892" s="364"/>
      <c r="M892" s="364"/>
      <c r="N892" s="364"/>
      <c r="O892" s="364"/>
      <c r="P892" s="364"/>
      <c r="Q892" s="364"/>
      <c r="R892" s="364"/>
      <c r="S892" s="364"/>
      <c r="T892" s="364"/>
      <c r="U892" s="364"/>
      <c r="V892" s="364"/>
      <c r="W892" s="364"/>
      <c r="X892" s="364"/>
      <c r="Y892" s="364"/>
      <c r="Z892" s="364"/>
    </row>
    <row r="893" spans="1:26" ht="15.75" customHeight="1" x14ac:dyDescent="0.25">
      <c r="A893" s="364"/>
      <c r="B893" s="364"/>
      <c r="C893" s="364"/>
      <c r="D893" s="364"/>
      <c r="E893" s="364"/>
      <c r="F893" s="364"/>
      <c r="G893" s="364"/>
      <c r="H893" s="364"/>
      <c r="I893" s="364"/>
      <c r="J893" s="364"/>
      <c r="K893" s="364"/>
      <c r="L893" s="364"/>
      <c r="M893" s="364"/>
      <c r="N893" s="364"/>
      <c r="O893" s="364"/>
      <c r="P893" s="364"/>
      <c r="Q893" s="364"/>
      <c r="R893" s="364"/>
      <c r="S893" s="364"/>
      <c r="T893" s="364"/>
      <c r="U893" s="364"/>
      <c r="V893" s="364"/>
      <c r="W893" s="364"/>
      <c r="X893" s="364"/>
      <c r="Y893" s="364"/>
      <c r="Z893" s="364"/>
    </row>
    <row r="894" spans="1:26" ht="15.75" customHeight="1" x14ac:dyDescent="0.25">
      <c r="A894" s="364"/>
      <c r="B894" s="364"/>
      <c r="C894" s="364"/>
      <c r="D894" s="364"/>
      <c r="E894" s="364"/>
      <c r="F894" s="364"/>
      <c r="G894" s="364"/>
      <c r="H894" s="364"/>
      <c r="I894" s="364"/>
      <c r="J894" s="364"/>
      <c r="K894" s="364"/>
      <c r="L894" s="364"/>
      <c r="M894" s="364"/>
      <c r="N894" s="364"/>
      <c r="O894" s="364"/>
      <c r="P894" s="364"/>
      <c r="Q894" s="364"/>
      <c r="R894" s="364"/>
      <c r="S894" s="364"/>
      <c r="T894" s="364"/>
      <c r="U894" s="364"/>
      <c r="V894" s="364"/>
      <c r="W894" s="364"/>
      <c r="X894" s="364"/>
      <c r="Y894" s="364"/>
      <c r="Z894" s="364"/>
    </row>
    <row r="895" spans="1:26" ht="15.75" customHeight="1" x14ac:dyDescent="0.25">
      <c r="A895" s="364"/>
      <c r="B895" s="364"/>
      <c r="C895" s="364"/>
      <c r="D895" s="364"/>
      <c r="E895" s="364"/>
      <c r="F895" s="364"/>
      <c r="G895" s="364"/>
      <c r="H895" s="364"/>
      <c r="I895" s="364"/>
      <c r="J895" s="364"/>
      <c r="K895" s="364"/>
      <c r="L895" s="364"/>
      <c r="M895" s="364"/>
      <c r="N895" s="364"/>
      <c r="O895" s="364"/>
      <c r="P895" s="364"/>
      <c r="Q895" s="364"/>
      <c r="R895" s="364"/>
      <c r="S895" s="364"/>
      <c r="T895" s="364"/>
      <c r="U895" s="364"/>
      <c r="V895" s="364"/>
      <c r="W895" s="364"/>
      <c r="X895" s="364"/>
      <c r="Y895" s="364"/>
      <c r="Z895" s="364"/>
    </row>
    <row r="896" spans="1:26" ht="15.75" customHeight="1" x14ac:dyDescent="0.25">
      <c r="A896" s="364"/>
      <c r="B896" s="364"/>
      <c r="C896" s="364"/>
      <c r="D896" s="364"/>
      <c r="E896" s="364"/>
      <c r="F896" s="364"/>
      <c r="G896" s="364"/>
      <c r="H896" s="364"/>
      <c r="I896" s="364"/>
      <c r="J896" s="364"/>
      <c r="K896" s="364"/>
      <c r="L896" s="364"/>
      <c r="M896" s="364"/>
      <c r="N896" s="364"/>
      <c r="O896" s="364"/>
      <c r="P896" s="364"/>
      <c r="Q896" s="364"/>
      <c r="R896" s="364"/>
      <c r="S896" s="364"/>
      <c r="T896" s="364"/>
      <c r="U896" s="364"/>
      <c r="V896" s="364"/>
      <c r="W896" s="364"/>
      <c r="X896" s="364"/>
      <c r="Y896" s="364"/>
      <c r="Z896" s="364"/>
    </row>
    <row r="897" spans="1:26" ht="15.75" customHeight="1" x14ac:dyDescent="0.25">
      <c r="A897" s="364"/>
      <c r="B897" s="364"/>
      <c r="C897" s="364"/>
      <c r="D897" s="364"/>
      <c r="E897" s="364"/>
      <c r="F897" s="364"/>
      <c r="G897" s="364"/>
      <c r="H897" s="364"/>
      <c r="I897" s="364"/>
      <c r="J897" s="364"/>
      <c r="K897" s="364"/>
      <c r="L897" s="364"/>
      <c r="M897" s="364"/>
      <c r="N897" s="364"/>
      <c r="O897" s="364"/>
      <c r="P897" s="364"/>
      <c r="Q897" s="364"/>
      <c r="R897" s="364"/>
      <c r="S897" s="364"/>
      <c r="T897" s="364"/>
      <c r="U897" s="364"/>
      <c r="V897" s="364"/>
      <c r="W897" s="364"/>
      <c r="X897" s="364"/>
      <c r="Y897" s="364"/>
      <c r="Z897" s="364"/>
    </row>
    <row r="898" spans="1:26" ht="15.75" customHeight="1" x14ac:dyDescent="0.25">
      <c r="A898" s="364"/>
      <c r="B898" s="364"/>
      <c r="C898" s="364"/>
      <c r="D898" s="364"/>
      <c r="E898" s="364"/>
      <c r="F898" s="364"/>
      <c r="G898" s="364"/>
      <c r="H898" s="364"/>
      <c r="I898" s="364"/>
      <c r="J898" s="364"/>
      <c r="K898" s="364"/>
      <c r="L898" s="364"/>
      <c r="M898" s="364"/>
      <c r="N898" s="364"/>
      <c r="O898" s="364"/>
      <c r="P898" s="364"/>
      <c r="Q898" s="364"/>
      <c r="R898" s="364"/>
      <c r="S898" s="364"/>
      <c r="T898" s="364"/>
      <c r="U898" s="364"/>
      <c r="V898" s="364"/>
      <c r="W898" s="364"/>
      <c r="X898" s="364"/>
      <c r="Y898" s="364"/>
      <c r="Z898" s="364"/>
    </row>
    <row r="899" spans="1:26" ht="15.75" customHeight="1" x14ac:dyDescent="0.25">
      <c r="A899" s="364"/>
      <c r="B899" s="364"/>
      <c r="C899" s="364"/>
      <c r="D899" s="364"/>
      <c r="E899" s="364"/>
      <c r="F899" s="364"/>
      <c r="G899" s="364"/>
      <c r="H899" s="364"/>
      <c r="I899" s="364"/>
      <c r="J899" s="364"/>
      <c r="K899" s="364"/>
      <c r="L899" s="364"/>
      <c r="M899" s="364"/>
      <c r="N899" s="364"/>
      <c r="O899" s="364"/>
      <c r="P899" s="364"/>
      <c r="Q899" s="364"/>
      <c r="R899" s="364"/>
      <c r="S899" s="364"/>
      <c r="T899" s="364"/>
      <c r="U899" s="364"/>
      <c r="V899" s="364"/>
      <c r="W899" s="364"/>
      <c r="X899" s="364"/>
      <c r="Y899" s="364"/>
      <c r="Z899" s="364"/>
    </row>
    <row r="900" spans="1:26" ht="15.75" customHeight="1" x14ac:dyDescent="0.25">
      <c r="A900" s="364"/>
      <c r="B900" s="364"/>
      <c r="C900" s="364"/>
      <c r="D900" s="364"/>
      <c r="E900" s="364"/>
      <c r="F900" s="364"/>
      <c r="G900" s="364"/>
      <c r="H900" s="364"/>
      <c r="I900" s="364"/>
      <c r="J900" s="364"/>
      <c r="K900" s="364"/>
      <c r="L900" s="364"/>
      <c r="M900" s="364"/>
      <c r="N900" s="364"/>
      <c r="O900" s="364"/>
      <c r="P900" s="364"/>
      <c r="Q900" s="364"/>
      <c r="R900" s="364"/>
      <c r="S900" s="364"/>
      <c r="T900" s="364"/>
      <c r="U900" s="364"/>
      <c r="V900" s="364"/>
      <c r="W900" s="364"/>
      <c r="X900" s="364"/>
      <c r="Y900" s="364"/>
      <c r="Z900" s="364"/>
    </row>
    <row r="901" spans="1:26" ht="15.75" customHeight="1" x14ac:dyDescent="0.25">
      <c r="A901" s="364"/>
      <c r="B901" s="364"/>
      <c r="C901" s="364"/>
      <c r="D901" s="364"/>
      <c r="E901" s="364"/>
      <c r="F901" s="364"/>
      <c r="G901" s="364"/>
      <c r="H901" s="364"/>
      <c r="I901" s="364"/>
      <c r="J901" s="364"/>
      <c r="K901" s="364"/>
      <c r="L901" s="364"/>
      <c r="M901" s="364"/>
      <c r="N901" s="364"/>
      <c r="O901" s="364"/>
      <c r="P901" s="364"/>
      <c r="Q901" s="364"/>
      <c r="R901" s="364"/>
      <c r="S901" s="364"/>
      <c r="T901" s="364"/>
      <c r="U901" s="364"/>
      <c r="V901" s="364"/>
      <c r="W901" s="364"/>
      <c r="X901" s="364"/>
      <c r="Y901" s="364"/>
      <c r="Z901" s="364"/>
    </row>
    <row r="902" spans="1:26" ht="15.75" customHeight="1" x14ac:dyDescent="0.25">
      <c r="A902" s="364"/>
      <c r="B902" s="364"/>
      <c r="C902" s="364"/>
      <c r="D902" s="364"/>
      <c r="E902" s="364"/>
      <c r="F902" s="364"/>
      <c r="G902" s="364"/>
      <c r="H902" s="364"/>
      <c r="I902" s="364"/>
      <c r="J902" s="364"/>
      <c r="K902" s="364"/>
      <c r="L902" s="364"/>
      <c r="M902" s="364"/>
      <c r="N902" s="364"/>
      <c r="O902" s="364"/>
      <c r="P902" s="364"/>
      <c r="Q902" s="364"/>
      <c r="R902" s="364"/>
      <c r="S902" s="364"/>
      <c r="T902" s="364"/>
      <c r="U902" s="364"/>
      <c r="V902" s="364"/>
      <c r="W902" s="364"/>
      <c r="X902" s="364"/>
      <c r="Y902" s="364"/>
      <c r="Z902" s="364"/>
    </row>
    <row r="903" spans="1:26" ht="15.75" customHeight="1" x14ac:dyDescent="0.25">
      <c r="A903" s="364"/>
      <c r="B903" s="364"/>
      <c r="C903" s="364"/>
      <c r="D903" s="364"/>
      <c r="E903" s="364"/>
      <c r="F903" s="364"/>
      <c r="G903" s="364"/>
      <c r="H903" s="364"/>
      <c r="I903" s="364"/>
      <c r="J903" s="364"/>
      <c r="K903" s="364"/>
      <c r="L903" s="364"/>
      <c r="M903" s="364"/>
      <c r="N903" s="364"/>
      <c r="O903" s="364"/>
      <c r="P903" s="364"/>
      <c r="Q903" s="364"/>
      <c r="R903" s="364"/>
      <c r="S903" s="364"/>
      <c r="T903" s="364"/>
      <c r="U903" s="364"/>
      <c r="V903" s="364"/>
      <c r="W903" s="364"/>
      <c r="X903" s="364"/>
      <c r="Y903" s="364"/>
      <c r="Z903" s="364"/>
    </row>
    <row r="904" spans="1:26" ht="15.75" customHeight="1" x14ac:dyDescent="0.25">
      <c r="A904" s="364"/>
      <c r="B904" s="364"/>
      <c r="C904" s="364"/>
      <c r="D904" s="364"/>
      <c r="E904" s="364"/>
      <c r="F904" s="364"/>
      <c r="G904" s="364"/>
      <c r="H904" s="364"/>
      <c r="I904" s="364"/>
      <c r="J904" s="364"/>
      <c r="K904" s="364"/>
      <c r="L904" s="364"/>
      <c r="M904" s="364"/>
      <c r="N904" s="364"/>
      <c r="O904" s="364"/>
      <c r="P904" s="364"/>
      <c r="Q904" s="364"/>
      <c r="R904" s="364"/>
      <c r="S904" s="364"/>
      <c r="T904" s="364"/>
      <c r="U904" s="364"/>
      <c r="V904" s="364"/>
      <c r="W904" s="364"/>
      <c r="X904" s="364"/>
      <c r="Y904" s="364"/>
      <c r="Z904" s="364"/>
    </row>
    <row r="905" spans="1:26" ht="15.75" customHeight="1" x14ac:dyDescent="0.25">
      <c r="A905" s="364"/>
      <c r="B905" s="364"/>
      <c r="C905" s="364"/>
      <c r="D905" s="364"/>
      <c r="E905" s="364"/>
      <c r="F905" s="364"/>
      <c r="G905" s="364"/>
      <c r="H905" s="364"/>
      <c r="I905" s="364"/>
      <c r="J905" s="364"/>
      <c r="K905" s="364"/>
      <c r="L905" s="364"/>
      <c r="M905" s="364"/>
      <c r="N905" s="364"/>
      <c r="O905" s="364"/>
      <c r="P905" s="364"/>
      <c r="Q905" s="364"/>
      <c r="R905" s="364"/>
      <c r="S905" s="364"/>
      <c r="T905" s="364"/>
      <c r="U905" s="364"/>
      <c r="V905" s="364"/>
      <c r="W905" s="364"/>
      <c r="X905" s="364"/>
      <c r="Y905" s="364"/>
      <c r="Z905" s="364"/>
    </row>
    <row r="906" spans="1:26" ht="15.75" customHeight="1" x14ac:dyDescent="0.25">
      <c r="A906" s="364"/>
      <c r="B906" s="364"/>
      <c r="C906" s="364"/>
      <c r="D906" s="364"/>
      <c r="E906" s="364"/>
      <c r="F906" s="364"/>
      <c r="G906" s="364"/>
      <c r="H906" s="364"/>
      <c r="I906" s="364"/>
      <c r="J906" s="364"/>
      <c r="K906" s="364"/>
      <c r="L906" s="364"/>
      <c r="M906" s="364"/>
      <c r="N906" s="364"/>
      <c r="O906" s="364"/>
      <c r="P906" s="364"/>
      <c r="Q906" s="364"/>
      <c r="R906" s="364"/>
      <c r="S906" s="364"/>
      <c r="T906" s="364"/>
      <c r="U906" s="364"/>
      <c r="V906" s="364"/>
      <c r="W906" s="364"/>
      <c r="X906" s="364"/>
      <c r="Y906" s="364"/>
      <c r="Z906" s="364"/>
    </row>
    <row r="907" spans="1:26" ht="15.75" customHeight="1" x14ac:dyDescent="0.25">
      <c r="A907" s="364"/>
      <c r="B907" s="364"/>
      <c r="C907" s="364"/>
      <c r="D907" s="364"/>
      <c r="E907" s="364"/>
      <c r="F907" s="364"/>
      <c r="G907" s="364"/>
      <c r="H907" s="364"/>
      <c r="I907" s="364"/>
      <c r="J907" s="364"/>
      <c r="K907" s="364"/>
      <c r="L907" s="364"/>
      <c r="M907" s="364"/>
      <c r="N907" s="364"/>
      <c r="O907" s="364"/>
      <c r="P907" s="364"/>
      <c r="Q907" s="364"/>
      <c r="R907" s="364"/>
      <c r="S907" s="364"/>
      <c r="T907" s="364"/>
      <c r="U907" s="364"/>
      <c r="V907" s="364"/>
      <c r="W907" s="364"/>
      <c r="X907" s="364"/>
      <c r="Y907" s="364"/>
      <c r="Z907" s="364"/>
    </row>
    <row r="908" spans="1:26" ht="15.75" customHeight="1" x14ac:dyDescent="0.25">
      <c r="A908" s="364"/>
      <c r="B908" s="364"/>
      <c r="C908" s="364"/>
      <c r="D908" s="364"/>
      <c r="E908" s="364"/>
      <c r="F908" s="364"/>
      <c r="G908" s="364"/>
      <c r="H908" s="364"/>
      <c r="I908" s="364"/>
      <c r="J908" s="364"/>
      <c r="K908" s="364"/>
      <c r="L908" s="364"/>
      <c r="M908" s="364"/>
      <c r="N908" s="364"/>
      <c r="O908" s="364"/>
      <c r="P908" s="364"/>
      <c r="Q908" s="364"/>
      <c r="R908" s="364"/>
      <c r="S908" s="364"/>
      <c r="T908" s="364"/>
      <c r="U908" s="364"/>
      <c r="V908" s="364"/>
      <c r="W908" s="364"/>
      <c r="X908" s="364"/>
      <c r="Y908" s="364"/>
      <c r="Z908" s="364"/>
    </row>
    <row r="909" spans="1:26" ht="15.75" customHeight="1" x14ac:dyDescent="0.25">
      <c r="A909" s="364"/>
      <c r="B909" s="364"/>
      <c r="C909" s="364"/>
      <c r="D909" s="364"/>
      <c r="E909" s="364"/>
      <c r="F909" s="364"/>
      <c r="G909" s="364"/>
      <c r="H909" s="364"/>
      <c r="I909" s="364"/>
      <c r="J909" s="364"/>
      <c r="K909" s="364"/>
      <c r="L909" s="364"/>
      <c r="M909" s="364"/>
      <c r="N909" s="364"/>
      <c r="O909" s="364"/>
      <c r="P909" s="364"/>
      <c r="Q909" s="364"/>
      <c r="R909" s="364"/>
      <c r="S909" s="364"/>
      <c r="T909" s="364"/>
      <c r="U909" s="364"/>
      <c r="V909" s="364"/>
      <c r="W909" s="364"/>
      <c r="X909" s="364"/>
      <c r="Y909" s="364"/>
      <c r="Z909" s="364"/>
    </row>
    <row r="910" spans="1:26" ht="15.75" customHeight="1" x14ac:dyDescent="0.25">
      <c r="A910" s="364"/>
      <c r="B910" s="364"/>
      <c r="C910" s="364"/>
      <c r="D910" s="364"/>
      <c r="E910" s="364"/>
      <c r="F910" s="364"/>
      <c r="G910" s="364"/>
      <c r="H910" s="364"/>
      <c r="I910" s="364"/>
      <c r="J910" s="364"/>
      <c r="K910" s="364"/>
      <c r="L910" s="364"/>
      <c r="M910" s="364"/>
      <c r="N910" s="364"/>
      <c r="O910" s="364"/>
      <c r="P910" s="364"/>
      <c r="Q910" s="364"/>
      <c r="R910" s="364"/>
      <c r="S910" s="364"/>
      <c r="T910" s="364"/>
      <c r="U910" s="364"/>
      <c r="V910" s="364"/>
      <c r="W910" s="364"/>
      <c r="X910" s="364"/>
      <c r="Y910" s="364"/>
      <c r="Z910" s="364"/>
    </row>
    <row r="911" spans="1:26" ht="15.75" customHeight="1" x14ac:dyDescent="0.25">
      <c r="A911" s="364"/>
      <c r="B911" s="364"/>
      <c r="C911" s="364"/>
      <c r="D911" s="364"/>
      <c r="E911" s="364"/>
      <c r="F911" s="364"/>
      <c r="G911" s="364"/>
      <c r="H911" s="364"/>
      <c r="I911" s="364"/>
      <c r="J911" s="364"/>
      <c r="K911" s="364"/>
      <c r="L911" s="364"/>
      <c r="M911" s="364"/>
      <c r="N911" s="364"/>
      <c r="O911" s="364"/>
      <c r="P911" s="364"/>
      <c r="Q911" s="364"/>
      <c r="R911" s="364"/>
      <c r="S911" s="364"/>
      <c r="T911" s="364"/>
      <c r="U911" s="364"/>
      <c r="V911" s="364"/>
      <c r="W911" s="364"/>
      <c r="X911" s="364"/>
      <c r="Y911" s="364"/>
      <c r="Z911" s="364"/>
    </row>
    <row r="912" spans="1:26" ht="15.75" customHeight="1" x14ac:dyDescent="0.25">
      <c r="A912" s="364"/>
      <c r="B912" s="364"/>
      <c r="C912" s="364"/>
      <c r="D912" s="364"/>
      <c r="E912" s="364"/>
      <c r="F912" s="364"/>
      <c r="G912" s="364"/>
      <c r="H912" s="364"/>
      <c r="I912" s="364"/>
      <c r="J912" s="364"/>
      <c r="K912" s="364"/>
      <c r="L912" s="364"/>
      <c r="M912" s="364"/>
      <c r="N912" s="364"/>
      <c r="O912" s="364"/>
      <c r="P912" s="364"/>
      <c r="Q912" s="364"/>
      <c r="R912" s="364"/>
      <c r="S912" s="364"/>
      <c r="T912" s="364"/>
      <c r="U912" s="364"/>
      <c r="V912" s="364"/>
      <c r="W912" s="364"/>
      <c r="X912" s="364"/>
      <c r="Y912" s="364"/>
      <c r="Z912" s="364"/>
    </row>
    <row r="913" spans="1:26" ht="15.75" customHeight="1" x14ac:dyDescent="0.25">
      <c r="A913" s="364"/>
      <c r="B913" s="364"/>
      <c r="C913" s="364"/>
      <c r="D913" s="364"/>
      <c r="E913" s="364"/>
      <c r="F913" s="364"/>
      <c r="G913" s="364"/>
      <c r="H913" s="364"/>
      <c r="I913" s="364"/>
      <c r="J913" s="364"/>
      <c r="K913" s="364"/>
      <c r="L913" s="364"/>
      <c r="M913" s="364"/>
      <c r="N913" s="364"/>
      <c r="O913" s="364"/>
      <c r="P913" s="364"/>
      <c r="Q913" s="364"/>
      <c r="R913" s="364"/>
      <c r="S913" s="364"/>
      <c r="T913" s="364"/>
      <c r="U913" s="364"/>
      <c r="V913" s="364"/>
      <c r="W913" s="364"/>
      <c r="X913" s="364"/>
      <c r="Y913" s="364"/>
      <c r="Z913" s="364"/>
    </row>
    <row r="914" spans="1:26" ht="15.75" customHeight="1" x14ac:dyDescent="0.25">
      <c r="A914" s="364"/>
      <c r="B914" s="364"/>
      <c r="C914" s="364"/>
      <c r="D914" s="364"/>
      <c r="E914" s="364"/>
      <c r="F914" s="364"/>
      <c r="G914" s="364"/>
      <c r="H914" s="364"/>
      <c r="I914" s="364"/>
      <c r="J914" s="364"/>
      <c r="K914" s="364"/>
      <c r="L914" s="364"/>
      <c r="M914" s="364"/>
      <c r="N914" s="364"/>
      <c r="O914" s="364"/>
      <c r="P914" s="364"/>
      <c r="Q914" s="364"/>
      <c r="R914" s="364"/>
      <c r="S914" s="364"/>
      <c r="T914" s="364"/>
      <c r="U914" s="364"/>
      <c r="V914" s="364"/>
      <c r="W914" s="364"/>
      <c r="X914" s="364"/>
      <c r="Y914" s="364"/>
      <c r="Z914" s="364"/>
    </row>
    <row r="915" spans="1:26" ht="15.75" customHeight="1" x14ac:dyDescent="0.25">
      <c r="A915" s="364"/>
      <c r="B915" s="364"/>
      <c r="C915" s="364"/>
      <c r="D915" s="364"/>
      <c r="E915" s="364"/>
      <c r="F915" s="364"/>
      <c r="G915" s="364"/>
      <c r="H915" s="364"/>
      <c r="I915" s="364"/>
      <c r="J915" s="364"/>
      <c r="K915" s="364"/>
      <c r="L915" s="364"/>
      <c r="M915" s="364"/>
      <c r="N915" s="364"/>
      <c r="O915" s="364"/>
      <c r="P915" s="364"/>
      <c r="Q915" s="364"/>
      <c r="R915" s="364"/>
      <c r="S915" s="364"/>
      <c r="T915" s="364"/>
      <c r="U915" s="364"/>
      <c r="V915" s="364"/>
      <c r="W915" s="364"/>
      <c r="X915" s="364"/>
      <c r="Y915" s="364"/>
      <c r="Z915" s="364"/>
    </row>
    <row r="916" spans="1:26" ht="15.75" customHeight="1" x14ac:dyDescent="0.25">
      <c r="A916" s="364"/>
      <c r="B916" s="364"/>
      <c r="C916" s="364"/>
      <c r="D916" s="364"/>
      <c r="E916" s="364"/>
      <c r="F916" s="364"/>
      <c r="G916" s="364"/>
      <c r="H916" s="364"/>
      <c r="I916" s="364"/>
      <c r="J916" s="364"/>
      <c r="K916" s="364"/>
      <c r="L916" s="364"/>
      <c r="M916" s="364"/>
      <c r="N916" s="364"/>
      <c r="O916" s="364"/>
      <c r="P916" s="364"/>
      <c r="Q916" s="364"/>
      <c r="R916" s="364"/>
      <c r="S916" s="364"/>
      <c r="T916" s="364"/>
      <c r="U916" s="364"/>
      <c r="V916" s="364"/>
      <c r="W916" s="364"/>
      <c r="X916" s="364"/>
      <c r="Y916" s="364"/>
      <c r="Z916" s="364"/>
    </row>
    <row r="917" spans="1:26" ht="15.75" customHeight="1" x14ac:dyDescent="0.25">
      <c r="A917" s="364"/>
      <c r="B917" s="364"/>
      <c r="C917" s="364"/>
      <c r="D917" s="364"/>
      <c r="E917" s="364"/>
      <c r="F917" s="364"/>
      <c r="G917" s="364"/>
      <c r="H917" s="364"/>
      <c r="I917" s="364"/>
      <c r="J917" s="364"/>
      <c r="K917" s="364"/>
      <c r="L917" s="364"/>
      <c r="M917" s="364"/>
      <c r="N917" s="364"/>
      <c r="O917" s="364"/>
      <c r="P917" s="364"/>
      <c r="Q917" s="364"/>
      <c r="R917" s="364"/>
      <c r="S917" s="364"/>
      <c r="T917" s="364"/>
      <c r="U917" s="364"/>
      <c r="V917" s="364"/>
      <c r="W917" s="364"/>
      <c r="X917" s="364"/>
      <c r="Y917" s="364"/>
      <c r="Z917" s="364"/>
    </row>
    <row r="918" spans="1:26" ht="15.75" customHeight="1" x14ac:dyDescent="0.25">
      <c r="A918" s="364"/>
      <c r="B918" s="364"/>
      <c r="C918" s="364"/>
      <c r="D918" s="364"/>
      <c r="E918" s="364"/>
      <c r="F918" s="364"/>
      <c r="G918" s="364"/>
      <c r="H918" s="364"/>
      <c r="I918" s="364"/>
      <c r="J918" s="364"/>
      <c r="K918" s="364"/>
      <c r="L918" s="364"/>
      <c r="M918" s="364"/>
      <c r="N918" s="364"/>
      <c r="O918" s="364"/>
      <c r="P918" s="364"/>
      <c r="Q918" s="364"/>
      <c r="R918" s="364"/>
      <c r="S918" s="364"/>
      <c r="T918" s="364"/>
      <c r="U918" s="364"/>
      <c r="V918" s="364"/>
      <c r="W918" s="364"/>
      <c r="X918" s="364"/>
      <c r="Y918" s="364"/>
      <c r="Z918" s="364"/>
    </row>
    <row r="919" spans="1:26" ht="15.75" customHeight="1" x14ac:dyDescent="0.25">
      <c r="A919" s="364"/>
      <c r="B919" s="364"/>
      <c r="C919" s="364"/>
      <c r="D919" s="364"/>
      <c r="E919" s="364"/>
      <c r="F919" s="364"/>
      <c r="G919" s="364"/>
      <c r="H919" s="364"/>
      <c r="I919" s="364"/>
      <c r="J919" s="364"/>
      <c r="K919" s="364"/>
      <c r="L919" s="364"/>
      <c r="M919" s="364"/>
      <c r="N919" s="364"/>
      <c r="O919" s="364"/>
      <c r="P919" s="364"/>
      <c r="Q919" s="364"/>
      <c r="R919" s="364"/>
      <c r="S919" s="364"/>
      <c r="T919" s="364"/>
      <c r="U919" s="364"/>
      <c r="V919" s="364"/>
      <c r="W919" s="364"/>
      <c r="X919" s="364"/>
      <c r="Y919" s="364"/>
      <c r="Z919" s="364"/>
    </row>
    <row r="920" spans="1:26" ht="15.75" customHeight="1" x14ac:dyDescent="0.25">
      <c r="A920" s="364"/>
      <c r="B920" s="364"/>
      <c r="C920" s="364"/>
      <c r="D920" s="364"/>
      <c r="E920" s="364"/>
      <c r="F920" s="364"/>
      <c r="G920" s="364"/>
      <c r="H920" s="364"/>
      <c r="I920" s="364"/>
      <c r="J920" s="364"/>
      <c r="K920" s="364"/>
      <c r="L920" s="364"/>
      <c r="M920" s="364"/>
      <c r="N920" s="364"/>
      <c r="O920" s="364"/>
      <c r="P920" s="364"/>
      <c r="Q920" s="364"/>
      <c r="R920" s="364"/>
      <c r="S920" s="364"/>
      <c r="T920" s="364"/>
      <c r="U920" s="364"/>
      <c r="V920" s="364"/>
      <c r="W920" s="364"/>
      <c r="X920" s="364"/>
      <c r="Y920" s="364"/>
      <c r="Z920" s="364"/>
    </row>
    <row r="921" spans="1:26" ht="15.75" customHeight="1" x14ac:dyDescent="0.25">
      <c r="A921" s="364"/>
      <c r="B921" s="364"/>
      <c r="C921" s="364"/>
      <c r="D921" s="364"/>
      <c r="E921" s="364"/>
      <c r="F921" s="364"/>
      <c r="G921" s="364"/>
      <c r="H921" s="364"/>
      <c r="I921" s="364"/>
      <c r="J921" s="364"/>
      <c r="K921" s="364"/>
      <c r="L921" s="364"/>
      <c r="M921" s="364"/>
      <c r="N921" s="364"/>
      <c r="O921" s="364"/>
      <c r="P921" s="364"/>
      <c r="Q921" s="364"/>
      <c r="R921" s="364"/>
      <c r="S921" s="364"/>
      <c r="T921" s="364"/>
      <c r="U921" s="364"/>
      <c r="V921" s="364"/>
      <c r="W921" s="364"/>
      <c r="X921" s="364"/>
      <c r="Y921" s="364"/>
      <c r="Z921" s="364"/>
    </row>
    <row r="922" spans="1:26" ht="15.75" customHeight="1" x14ac:dyDescent="0.25">
      <c r="A922" s="364"/>
      <c r="B922" s="364"/>
      <c r="C922" s="364"/>
      <c r="D922" s="364"/>
      <c r="E922" s="364"/>
      <c r="F922" s="364"/>
      <c r="G922" s="364"/>
      <c r="H922" s="364"/>
      <c r="I922" s="364"/>
      <c r="J922" s="364"/>
      <c r="K922" s="364"/>
      <c r="L922" s="364"/>
      <c r="M922" s="364"/>
      <c r="N922" s="364"/>
      <c r="O922" s="364"/>
      <c r="P922" s="364"/>
      <c r="Q922" s="364"/>
      <c r="R922" s="364"/>
      <c r="S922" s="364"/>
      <c r="T922" s="364"/>
      <c r="U922" s="364"/>
      <c r="V922" s="364"/>
      <c r="W922" s="364"/>
      <c r="X922" s="364"/>
      <c r="Y922" s="364"/>
      <c r="Z922" s="364"/>
    </row>
    <row r="923" spans="1:26" ht="15.75" customHeight="1" x14ac:dyDescent="0.25">
      <c r="A923" s="364"/>
      <c r="B923" s="364"/>
      <c r="C923" s="364"/>
      <c r="D923" s="364"/>
      <c r="E923" s="364"/>
      <c r="F923" s="364"/>
      <c r="G923" s="364"/>
      <c r="H923" s="364"/>
      <c r="I923" s="364"/>
      <c r="J923" s="364"/>
      <c r="K923" s="364"/>
      <c r="L923" s="364"/>
      <c r="M923" s="364"/>
      <c r="N923" s="364"/>
      <c r="O923" s="364"/>
      <c r="P923" s="364"/>
      <c r="Q923" s="364"/>
      <c r="R923" s="364"/>
      <c r="S923" s="364"/>
      <c r="T923" s="364"/>
      <c r="U923" s="364"/>
      <c r="V923" s="364"/>
      <c r="W923" s="364"/>
      <c r="X923" s="364"/>
      <c r="Y923" s="364"/>
      <c r="Z923" s="364"/>
    </row>
    <row r="924" spans="1:26" ht="15.75" customHeight="1" x14ac:dyDescent="0.25">
      <c r="A924" s="364"/>
      <c r="B924" s="364"/>
      <c r="C924" s="364"/>
      <c r="D924" s="364"/>
      <c r="E924" s="364"/>
      <c r="F924" s="364"/>
      <c r="G924" s="364"/>
      <c r="H924" s="364"/>
      <c r="I924" s="364"/>
      <c r="J924" s="364"/>
      <c r="K924" s="364"/>
      <c r="L924" s="364"/>
      <c r="M924" s="364"/>
      <c r="N924" s="364"/>
      <c r="O924" s="364"/>
      <c r="P924" s="364"/>
      <c r="Q924" s="364"/>
      <c r="R924" s="364"/>
      <c r="S924" s="364"/>
      <c r="T924" s="364"/>
      <c r="U924" s="364"/>
      <c r="V924" s="364"/>
      <c r="W924" s="364"/>
      <c r="X924" s="364"/>
      <c r="Y924" s="364"/>
      <c r="Z924" s="364"/>
    </row>
    <row r="925" spans="1:26" ht="15.75" customHeight="1" x14ac:dyDescent="0.25">
      <c r="A925" s="364"/>
      <c r="B925" s="364"/>
      <c r="C925" s="364"/>
      <c r="D925" s="364"/>
      <c r="E925" s="364"/>
      <c r="F925" s="364"/>
      <c r="G925" s="364"/>
      <c r="H925" s="364"/>
      <c r="I925" s="364"/>
      <c r="J925" s="364"/>
      <c r="K925" s="364"/>
      <c r="L925" s="364"/>
      <c r="M925" s="364"/>
      <c r="N925" s="364"/>
      <c r="O925" s="364"/>
      <c r="P925" s="364"/>
      <c r="Q925" s="364"/>
      <c r="R925" s="364"/>
      <c r="S925" s="364"/>
      <c r="T925" s="364"/>
      <c r="U925" s="364"/>
      <c r="V925" s="364"/>
      <c r="W925" s="364"/>
      <c r="X925" s="364"/>
      <c r="Y925" s="364"/>
      <c r="Z925" s="364"/>
    </row>
    <row r="926" spans="1:26" ht="15.75" customHeight="1" x14ac:dyDescent="0.25">
      <c r="A926" s="364"/>
      <c r="B926" s="364"/>
      <c r="C926" s="364"/>
      <c r="D926" s="364"/>
      <c r="E926" s="364"/>
      <c r="F926" s="364"/>
      <c r="G926" s="364"/>
      <c r="H926" s="364"/>
      <c r="I926" s="364"/>
      <c r="J926" s="364"/>
      <c r="K926" s="364"/>
      <c r="L926" s="364"/>
      <c r="M926" s="364"/>
      <c r="N926" s="364"/>
      <c r="O926" s="364"/>
      <c r="P926" s="364"/>
      <c r="Q926" s="364"/>
      <c r="R926" s="364"/>
      <c r="S926" s="364"/>
      <c r="T926" s="364"/>
      <c r="U926" s="364"/>
      <c r="V926" s="364"/>
      <c r="W926" s="364"/>
      <c r="X926" s="364"/>
      <c r="Y926" s="364"/>
      <c r="Z926" s="364"/>
    </row>
    <row r="927" spans="1:26" ht="15.75" customHeight="1" x14ac:dyDescent="0.25">
      <c r="A927" s="364"/>
      <c r="B927" s="364"/>
      <c r="C927" s="364"/>
      <c r="D927" s="364"/>
      <c r="E927" s="364"/>
      <c r="F927" s="364"/>
      <c r="G927" s="364"/>
      <c r="H927" s="364"/>
      <c r="I927" s="364"/>
      <c r="J927" s="364"/>
      <c r="K927" s="364"/>
      <c r="L927" s="364"/>
      <c r="M927" s="364"/>
      <c r="N927" s="364"/>
      <c r="O927" s="364"/>
      <c r="P927" s="364"/>
      <c r="Q927" s="364"/>
      <c r="R927" s="364"/>
      <c r="S927" s="364"/>
      <c r="T927" s="364"/>
      <c r="U927" s="364"/>
      <c r="V927" s="364"/>
      <c r="W927" s="364"/>
      <c r="X927" s="364"/>
      <c r="Y927" s="364"/>
      <c r="Z927" s="364"/>
    </row>
    <row r="928" spans="1:26" ht="15.75" customHeight="1" x14ac:dyDescent="0.25">
      <c r="A928" s="364"/>
      <c r="B928" s="364"/>
      <c r="C928" s="364"/>
      <c r="D928" s="364"/>
      <c r="E928" s="364"/>
      <c r="F928" s="364"/>
      <c r="G928" s="364"/>
      <c r="H928" s="364"/>
      <c r="I928" s="364"/>
      <c r="J928" s="364"/>
      <c r="K928" s="364"/>
      <c r="L928" s="364"/>
      <c r="M928" s="364"/>
      <c r="N928" s="364"/>
      <c r="O928" s="364"/>
      <c r="P928" s="364"/>
      <c r="Q928" s="364"/>
      <c r="R928" s="364"/>
      <c r="S928" s="364"/>
      <c r="T928" s="364"/>
      <c r="U928" s="364"/>
      <c r="V928" s="364"/>
      <c r="W928" s="364"/>
      <c r="X928" s="364"/>
      <c r="Y928" s="364"/>
      <c r="Z928" s="364"/>
    </row>
    <row r="929" spans="1:26" ht="15.75" customHeight="1" x14ac:dyDescent="0.25">
      <c r="A929" s="364"/>
      <c r="B929" s="364"/>
      <c r="C929" s="364"/>
      <c r="D929" s="364"/>
      <c r="E929" s="364"/>
      <c r="F929" s="364"/>
      <c r="G929" s="364"/>
      <c r="H929" s="364"/>
      <c r="I929" s="364"/>
      <c r="J929" s="364"/>
      <c r="K929" s="364"/>
      <c r="L929" s="364"/>
      <c r="M929" s="364"/>
      <c r="N929" s="364"/>
      <c r="O929" s="364"/>
      <c r="P929" s="364"/>
      <c r="Q929" s="364"/>
      <c r="R929" s="364"/>
      <c r="S929" s="364"/>
      <c r="T929" s="364"/>
      <c r="U929" s="364"/>
      <c r="V929" s="364"/>
      <c r="W929" s="364"/>
      <c r="X929" s="364"/>
      <c r="Y929" s="364"/>
      <c r="Z929" s="364"/>
    </row>
    <row r="930" spans="1:26" ht="15.75" customHeight="1" x14ac:dyDescent="0.25">
      <c r="A930" s="364"/>
      <c r="B930" s="364"/>
      <c r="C930" s="364"/>
      <c r="D930" s="364"/>
      <c r="E930" s="364"/>
      <c r="F930" s="364"/>
      <c r="G930" s="364"/>
      <c r="H930" s="364"/>
      <c r="I930" s="364"/>
      <c r="J930" s="364"/>
      <c r="K930" s="364"/>
      <c r="L930" s="364"/>
      <c r="M930" s="364"/>
      <c r="N930" s="364"/>
      <c r="O930" s="364"/>
      <c r="P930" s="364"/>
      <c r="Q930" s="364"/>
      <c r="R930" s="364"/>
      <c r="S930" s="364"/>
      <c r="T930" s="364"/>
      <c r="U930" s="364"/>
      <c r="V930" s="364"/>
      <c r="W930" s="364"/>
      <c r="X930" s="364"/>
      <c r="Y930" s="364"/>
      <c r="Z930" s="364"/>
    </row>
    <row r="931" spans="1:26" ht="15.75" customHeight="1" x14ac:dyDescent="0.25">
      <c r="A931" s="364"/>
      <c r="B931" s="364"/>
      <c r="C931" s="364"/>
      <c r="D931" s="364"/>
      <c r="E931" s="364"/>
      <c r="F931" s="364"/>
      <c r="G931" s="364"/>
      <c r="H931" s="364"/>
      <c r="I931" s="364"/>
      <c r="J931" s="364"/>
      <c r="K931" s="364"/>
      <c r="L931" s="364"/>
      <c r="M931" s="364"/>
      <c r="N931" s="364"/>
      <c r="O931" s="364"/>
      <c r="P931" s="364"/>
      <c r="Q931" s="364"/>
      <c r="R931" s="364"/>
      <c r="S931" s="364"/>
      <c r="T931" s="364"/>
      <c r="U931" s="364"/>
      <c r="V931" s="364"/>
      <c r="W931" s="364"/>
      <c r="X931" s="364"/>
      <c r="Y931" s="364"/>
      <c r="Z931" s="364"/>
    </row>
    <row r="932" spans="1:26" ht="15.75" customHeight="1" x14ac:dyDescent="0.25">
      <c r="A932" s="364"/>
      <c r="B932" s="364"/>
      <c r="C932" s="364"/>
      <c r="D932" s="364"/>
      <c r="E932" s="364"/>
      <c r="F932" s="364"/>
      <c r="G932" s="364"/>
      <c r="H932" s="364"/>
      <c r="I932" s="364"/>
      <c r="J932" s="364"/>
      <c r="K932" s="364"/>
      <c r="L932" s="364"/>
      <c r="M932" s="364"/>
      <c r="N932" s="364"/>
      <c r="O932" s="364"/>
      <c r="P932" s="364"/>
      <c r="Q932" s="364"/>
      <c r="R932" s="364"/>
      <c r="S932" s="364"/>
      <c r="T932" s="364"/>
      <c r="U932" s="364"/>
      <c r="V932" s="364"/>
      <c r="W932" s="364"/>
      <c r="X932" s="364"/>
      <c r="Y932" s="364"/>
      <c r="Z932" s="364"/>
    </row>
    <row r="933" spans="1:26" ht="15.75" customHeight="1" x14ac:dyDescent="0.25">
      <c r="A933" s="364"/>
      <c r="B933" s="364"/>
      <c r="C933" s="364"/>
      <c r="D933" s="364"/>
      <c r="E933" s="364"/>
      <c r="F933" s="364"/>
      <c r="G933" s="364"/>
      <c r="H933" s="364"/>
      <c r="I933" s="364"/>
      <c r="J933" s="364"/>
      <c r="K933" s="364"/>
      <c r="L933" s="364"/>
      <c r="M933" s="364"/>
      <c r="N933" s="364"/>
      <c r="O933" s="364"/>
      <c r="P933" s="364"/>
      <c r="Q933" s="364"/>
      <c r="R933" s="364"/>
      <c r="S933" s="364"/>
      <c r="T933" s="364"/>
      <c r="U933" s="364"/>
      <c r="V933" s="364"/>
      <c r="W933" s="364"/>
      <c r="X933" s="364"/>
      <c r="Y933" s="364"/>
      <c r="Z933" s="364"/>
    </row>
    <row r="934" spans="1:26" ht="15.75" customHeight="1" x14ac:dyDescent="0.25">
      <c r="A934" s="364"/>
      <c r="B934" s="364"/>
      <c r="C934" s="364"/>
      <c r="D934" s="364"/>
      <c r="E934" s="364"/>
      <c r="F934" s="364"/>
      <c r="G934" s="364"/>
      <c r="H934" s="364"/>
      <c r="I934" s="364"/>
      <c r="J934" s="364"/>
      <c r="K934" s="364"/>
      <c r="L934" s="364"/>
      <c r="M934" s="364"/>
      <c r="N934" s="364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</row>
    <row r="935" spans="1:26" ht="15.75" customHeight="1" x14ac:dyDescent="0.25">
      <c r="A935" s="364"/>
      <c r="B935" s="364"/>
      <c r="C935" s="364"/>
      <c r="D935" s="364"/>
      <c r="E935" s="364"/>
      <c r="F935" s="364"/>
      <c r="G935" s="364"/>
      <c r="H935" s="364"/>
      <c r="I935" s="364"/>
      <c r="J935" s="364"/>
      <c r="K935" s="364"/>
      <c r="L935" s="364"/>
      <c r="M935" s="364"/>
      <c r="N935" s="364"/>
      <c r="O935" s="364"/>
      <c r="P935" s="364"/>
      <c r="Q935" s="364"/>
      <c r="R935" s="364"/>
      <c r="S935" s="364"/>
      <c r="T935" s="364"/>
      <c r="U935" s="364"/>
      <c r="V935" s="364"/>
      <c r="W935" s="364"/>
      <c r="X935" s="364"/>
      <c r="Y935" s="364"/>
      <c r="Z935" s="364"/>
    </row>
    <row r="936" spans="1:26" ht="15.75" customHeight="1" x14ac:dyDescent="0.25">
      <c r="A936" s="364"/>
      <c r="B936" s="364"/>
      <c r="C936" s="364"/>
      <c r="D936" s="364"/>
      <c r="E936" s="364"/>
      <c r="F936" s="364"/>
      <c r="G936" s="364"/>
      <c r="H936" s="364"/>
      <c r="I936" s="364"/>
      <c r="J936" s="364"/>
      <c r="K936" s="364"/>
      <c r="L936" s="364"/>
      <c r="M936" s="364"/>
      <c r="N936" s="364"/>
      <c r="O936" s="364"/>
      <c r="P936" s="364"/>
      <c r="Q936" s="364"/>
      <c r="R936" s="364"/>
      <c r="S936" s="364"/>
      <c r="T936" s="364"/>
      <c r="U936" s="364"/>
      <c r="V936" s="364"/>
      <c r="W936" s="364"/>
      <c r="X936" s="364"/>
      <c r="Y936" s="364"/>
      <c r="Z936" s="364"/>
    </row>
    <row r="937" spans="1:26" ht="15.75" customHeight="1" x14ac:dyDescent="0.25">
      <c r="A937" s="364"/>
      <c r="B937" s="364"/>
      <c r="C937" s="364"/>
      <c r="D937" s="364"/>
      <c r="E937" s="364"/>
      <c r="F937" s="364"/>
      <c r="G937" s="364"/>
      <c r="H937" s="364"/>
      <c r="I937" s="364"/>
      <c r="J937" s="364"/>
      <c r="K937" s="364"/>
      <c r="L937" s="364"/>
      <c r="M937" s="364"/>
      <c r="N937" s="364"/>
      <c r="O937" s="364"/>
      <c r="P937" s="364"/>
      <c r="Q937" s="364"/>
      <c r="R937" s="364"/>
      <c r="S937" s="364"/>
      <c r="T937" s="364"/>
      <c r="U937" s="364"/>
      <c r="V937" s="364"/>
      <c r="W937" s="364"/>
      <c r="X937" s="364"/>
      <c r="Y937" s="364"/>
      <c r="Z937" s="364"/>
    </row>
    <row r="938" spans="1:26" ht="15.75" customHeight="1" x14ac:dyDescent="0.25">
      <c r="A938" s="364"/>
      <c r="B938" s="364"/>
      <c r="C938" s="364"/>
      <c r="D938" s="364"/>
      <c r="E938" s="364"/>
      <c r="F938" s="364"/>
      <c r="G938" s="364"/>
      <c r="H938" s="364"/>
      <c r="I938" s="364"/>
      <c r="J938" s="364"/>
      <c r="K938" s="364"/>
      <c r="L938" s="364"/>
      <c r="M938" s="364"/>
      <c r="N938" s="364"/>
      <c r="O938" s="364"/>
      <c r="P938" s="364"/>
      <c r="Q938" s="364"/>
      <c r="R938" s="364"/>
      <c r="S938" s="364"/>
      <c r="T938" s="364"/>
      <c r="U938" s="364"/>
      <c r="V938" s="364"/>
      <c r="W938" s="364"/>
      <c r="X938" s="364"/>
      <c r="Y938" s="364"/>
      <c r="Z938" s="364"/>
    </row>
    <row r="939" spans="1:26" ht="15.75" customHeight="1" x14ac:dyDescent="0.25">
      <c r="A939" s="364"/>
      <c r="B939" s="364"/>
      <c r="C939" s="364"/>
      <c r="D939" s="364"/>
      <c r="E939" s="364"/>
      <c r="F939" s="364"/>
      <c r="G939" s="364"/>
      <c r="H939" s="364"/>
      <c r="I939" s="364"/>
      <c r="J939" s="364"/>
      <c r="K939" s="364"/>
      <c r="L939" s="364"/>
      <c r="M939" s="364"/>
      <c r="N939" s="364"/>
      <c r="O939" s="364"/>
      <c r="P939" s="364"/>
      <c r="Q939" s="364"/>
      <c r="R939" s="364"/>
      <c r="S939" s="364"/>
      <c r="T939" s="364"/>
      <c r="U939" s="364"/>
      <c r="V939" s="364"/>
      <c r="W939" s="364"/>
      <c r="X939" s="364"/>
      <c r="Y939" s="364"/>
      <c r="Z939" s="364"/>
    </row>
    <row r="940" spans="1:26" ht="15.75" customHeight="1" x14ac:dyDescent="0.25">
      <c r="A940" s="364"/>
      <c r="B940" s="364"/>
      <c r="C940" s="364"/>
      <c r="D940" s="364"/>
      <c r="E940" s="364"/>
      <c r="F940" s="364"/>
      <c r="G940" s="364"/>
      <c r="H940" s="364"/>
      <c r="I940" s="364"/>
      <c r="J940" s="364"/>
      <c r="K940" s="364"/>
      <c r="L940" s="364"/>
      <c r="M940" s="364"/>
      <c r="N940" s="364"/>
      <c r="O940" s="364"/>
      <c r="P940" s="364"/>
      <c r="Q940" s="364"/>
      <c r="R940" s="364"/>
      <c r="S940" s="364"/>
      <c r="T940" s="364"/>
      <c r="U940" s="364"/>
      <c r="V940" s="364"/>
      <c r="W940" s="364"/>
      <c r="X940" s="364"/>
      <c r="Y940" s="364"/>
      <c r="Z940" s="364"/>
    </row>
    <row r="941" spans="1:26" ht="15.75" customHeight="1" x14ac:dyDescent="0.25">
      <c r="A941" s="364"/>
      <c r="B941" s="364"/>
      <c r="C941" s="364"/>
      <c r="D941" s="364"/>
      <c r="E941" s="364"/>
      <c r="F941" s="364"/>
      <c r="G941" s="364"/>
      <c r="H941" s="364"/>
      <c r="I941" s="364"/>
      <c r="J941" s="364"/>
      <c r="K941" s="364"/>
      <c r="L941" s="364"/>
      <c r="M941" s="364"/>
      <c r="N941" s="364"/>
      <c r="O941" s="364"/>
      <c r="P941" s="364"/>
      <c r="Q941" s="364"/>
      <c r="R941" s="364"/>
      <c r="S941" s="364"/>
      <c r="T941" s="364"/>
      <c r="U941" s="364"/>
      <c r="V941" s="364"/>
      <c r="W941" s="364"/>
      <c r="X941" s="364"/>
      <c r="Y941" s="364"/>
      <c r="Z941" s="364"/>
    </row>
    <row r="942" spans="1:26" ht="15.75" customHeight="1" x14ac:dyDescent="0.25">
      <c r="A942" s="364"/>
      <c r="B942" s="364"/>
      <c r="C942" s="364"/>
      <c r="D942" s="364"/>
      <c r="E942" s="364"/>
      <c r="F942" s="364"/>
      <c r="G942" s="364"/>
      <c r="H942" s="364"/>
      <c r="I942" s="364"/>
      <c r="J942" s="364"/>
      <c r="K942" s="364"/>
      <c r="L942" s="364"/>
      <c r="M942" s="364"/>
      <c r="N942" s="364"/>
      <c r="O942" s="364"/>
      <c r="P942" s="364"/>
      <c r="Q942" s="364"/>
      <c r="R942" s="364"/>
      <c r="S942" s="364"/>
      <c r="T942" s="364"/>
      <c r="U942" s="364"/>
      <c r="V942" s="364"/>
      <c r="W942" s="364"/>
      <c r="X942" s="364"/>
      <c r="Y942" s="364"/>
      <c r="Z942" s="364"/>
    </row>
    <row r="943" spans="1:26" ht="15.75" customHeight="1" x14ac:dyDescent="0.25">
      <c r="A943" s="364"/>
      <c r="B943" s="364"/>
      <c r="C943" s="364"/>
      <c r="D943" s="364"/>
      <c r="E943" s="364"/>
      <c r="F943" s="364"/>
      <c r="G943" s="364"/>
      <c r="H943" s="364"/>
      <c r="I943" s="364"/>
      <c r="J943" s="364"/>
      <c r="K943" s="364"/>
      <c r="L943" s="364"/>
      <c r="M943" s="364"/>
      <c r="N943" s="364"/>
      <c r="O943" s="364"/>
      <c r="P943" s="364"/>
      <c r="Q943" s="364"/>
      <c r="R943" s="364"/>
      <c r="S943" s="364"/>
      <c r="T943" s="364"/>
      <c r="U943" s="364"/>
      <c r="V943" s="364"/>
      <c r="W943" s="364"/>
      <c r="X943" s="364"/>
      <c r="Y943" s="364"/>
      <c r="Z943" s="364"/>
    </row>
    <row r="944" spans="1:26" ht="15.75" customHeight="1" x14ac:dyDescent="0.25">
      <c r="A944" s="364"/>
      <c r="B944" s="364"/>
      <c r="C944" s="364"/>
      <c r="D944" s="364"/>
      <c r="E944" s="364"/>
      <c r="F944" s="364"/>
      <c r="G944" s="364"/>
      <c r="H944" s="364"/>
      <c r="I944" s="364"/>
      <c r="J944" s="364"/>
      <c r="K944" s="364"/>
      <c r="L944" s="364"/>
      <c r="M944" s="364"/>
      <c r="N944" s="364"/>
      <c r="O944" s="364"/>
      <c r="P944" s="364"/>
      <c r="Q944" s="364"/>
      <c r="R944" s="364"/>
      <c r="S944" s="364"/>
      <c r="T944" s="364"/>
      <c r="U944" s="364"/>
      <c r="V944" s="364"/>
      <c r="W944" s="364"/>
      <c r="X944" s="364"/>
      <c r="Y944" s="364"/>
      <c r="Z944" s="364"/>
    </row>
    <row r="945" spans="1:26" ht="15.75" customHeight="1" x14ac:dyDescent="0.25">
      <c r="A945" s="364"/>
      <c r="B945" s="364"/>
      <c r="C945" s="364"/>
      <c r="D945" s="364"/>
      <c r="E945" s="364"/>
      <c r="F945" s="364"/>
      <c r="G945" s="364"/>
      <c r="H945" s="364"/>
      <c r="I945" s="364"/>
      <c r="J945" s="364"/>
      <c r="K945" s="364"/>
      <c r="L945" s="364"/>
      <c r="M945" s="364"/>
      <c r="N945" s="364"/>
      <c r="O945" s="364"/>
      <c r="P945" s="364"/>
      <c r="Q945" s="364"/>
      <c r="R945" s="364"/>
      <c r="S945" s="364"/>
      <c r="T945" s="364"/>
      <c r="U945" s="364"/>
      <c r="V945" s="364"/>
      <c r="W945" s="364"/>
      <c r="X945" s="364"/>
      <c r="Y945" s="364"/>
      <c r="Z945" s="364"/>
    </row>
    <row r="946" spans="1:26" ht="15.75" customHeight="1" x14ac:dyDescent="0.25">
      <c r="A946" s="364"/>
      <c r="B946" s="364"/>
      <c r="C946" s="364"/>
      <c r="D946" s="364"/>
      <c r="E946" s="364"/>
      <c r="F946" s="364"/>
      <c r="G946" s="364"/>
      <c r="H946" s="364"/>
      <c r="I946" s="364"/>
      <c r="J946" s="364"/>
      <c r="K946" s="364"/>
      <c r="L946" s="364"/>
      <c r="M946" s="364"/>
      <c r="N946" s="364"/>
      <c r="O946" s="364"/>
      <c r="P946" s="364"/>
      <c r="Q946" s="364"/>
      <c r="R946" s="364"/>
      <c r="S946" s="364"/>
      <c r="T946" s="364"/>
      <c r="U946" s="364"/>
      <c r="V946" s="364"/>
      <c r="W946" s="364"/>
      <c r="X946" s="364"/>
      <c r="Y946" s="364"/>
      <c r="Z946" s="364"/>
    </row>
    <row r="947" spans="1:26" ht="15.75" customHeight="1" x14ac:dyDescent="0.25">
      <c r="A947" s="364"/>
      <c r="B947" s="364"/>
      <c r="C947" s="364"/>
      <c r="D947" s="364"/>
      <c r="E947" s="364"/>
      <c r="F947" s="364"/>
      <c r="G947" s="364"/>
      <c r="H947" s="364"/>
      <c r="I947" s="364"/>
      <c r="J947" s="364"/>
      <c r="K947" s="364"/>
      <c r="L947" s="364"/>
      <c r="M947" s="364"/>
      <c r="N947" s="364"/>
      <c r="O947" s="364"/>
      <c r="P947" s="364"/>
      <c r="Q947" s="364"/>
      <c r="R947" s="364"/>
      <c r="S947" s="364"/>
      <c r="T947" s="364"/>
      <c r="U947" s="364"/>
      <c r="V947" s="364"/>
      <c r="W947" s="364"/>
      <c r="X947" s="364"/>
      <c r="Y947" s="364"/>
      <c r="Z947" s="364"/>
    </row>
    <row r="948" spans="1:26" ht="15.75" customHeight="1" x14ac:dyDescent="0.25">
      <c r="A948" s="364"/>
      <c r="B948" s="364"/>
      <c r="C948" s="364"/>
      <c r="D948" s="364"/>
      <c r="E948" s="364"/>
      <c r="F948" s="364"/>
      <c r="G948" s="364"/>
      <c r="H948" s="364"/>
      <c r="I948" s="364"/>
      <c r="J948" s="364"/>
      <c r="K948" s="364"/>
      <c r="L948" s="364"/>
      <c r="M948" s="364"/>
      <c r="N948" s="364"/>
      <c r="O948" s="364"/>
      <c r="P948" s="364"/>
      <c r="Q948" s="364"/>
      <c r="R948" s="364"/>
      <c r="S948" s="364"/>
      <c r="T948" s="364"/>
      <c r="U948" s="364"/>
      <c r="V948" s="364"/>
      <c r="W948" s="364"/>
      <c r="X948" s="364"/>
      <c r="Y948" s="364"/>
      <c r="Z948" s="364"/>
    </row>
    <row r="949" spans="1:26" ht="15.75" customHeight="1" x14ac:dyDescent="0.25">
      <c r="A949" s="364"/>
      <c r="B949" s="364"/>
      <c r="C949" s="364"/>
      <c r="D949" s="364"/>
      <c r="E949" s="364"/>
      <c r="F949" s="364"/>
      <c r="G949" s="364"/>
      <c r="H949" s="364"/>
      <c r="I949" s="364"/>
      <c r="J949" s="364"/>
      <c r="K949" s="364"/>
      <c r="L949" s="364"/>
      <c r="M949" s="364"/>
      <c r="N949" s="364"/>
      <c r="O949" s="364"/>
      <c r="P949" s="364"/>
      <c r="Q949" s="364"/>
      <c r="R949" s="364"/>
      <c r="S949" s="364"/>
      <c r="T949" s="364"/>
      <c r="U949" s="364"/>
      <c r="V949" s="364"/>
      <c r="W949" s="364"/>
      <c r="X949" s="364"/>
      <c r="Y949" s="364"/>
      <c r="Z949" s="364"/>
    </row>
    <row r="950" spans="1:26" ht="15.75" customHeight="1" x14ac:dyDescent="0.25">
      <c r="A950" s="364"/>
      <c r="B950" s="364"/>
      <c r="C950" s="364"/>
      <c r="D950" s="364"/>
      <c r="E950" s="364"/>
      <c r="F950" s="364"/>
      <c r="G950" s="364"/>
      <c r="H950" s="364"/>
      <c r="I950" s="364"/>
      <c r="J950" s="364"/>
      <c r="K950" s="364"/>
      <c r="L950" s="364"/>
      <c r="M950" s="364"/>
      <c r="N950" s="364"/>
      <c r="O950" s="364"/>
      <c r="P950" s="364"/>
      <c r="Q950" s="364"/>
      <c r="R950" s="364"/>
      <c r="S950" s="364"/>
      <c r="T950" s="364"/>
      <c r="U950" s="364"/>
      <c r="V950" s="364"/>
      <c r="W950" s="364"/>
      <c r="X950" s="364"/>
      <c r="Y950" s="364"/>
      <c r="Z950" s="364"/>
    </row>
    <row r="951" spans="1:26" ht="15.75" customHeight="1" x14ac:dyDescent="0.25">
      <c r="A951" s="364"/>
      <c r="B951" s="364"/>
      <c r="C951" s="364"/>
      <c r="D951" s="364"/>
      <c r="E951" s="364"/>
      <c r="F951" s="364"/>
      <c r="G951" s="364"/>
      <c r="H951" s="364"/>
      <c r="I951" s="364"/>
      <c r="J951" s="364"/>
      <c r="K951" s="364"/>
      <c r="L951" s="364"/>
      <c r="M951" s="364"/>
      <c r="N951" s="364"/>
      <c r="O951" s="364"/>
      <c r="P951" s="364"/>
      <c r="Q951" s="364"/>
      <c r="R951" s="364"/>
      <c r="S951" s="364"/>
      <c r="T951" s="364"/>
      <c r="U951" s="364"/>
      <c r="V951" s="364"/>
      <c r="W951" s="364"/>
      <c r="X951" s="364"/>
      <c r="Y951" s="364"/>
      <c r="Z951" s="364"/>
    </row>
    <row r="952" spans="1:26" ht="15.75" customHeight="1" x14ac:dyDescent="0.25">
      <c r="A952" s="364"/>
      <c r="B952" s="364"/>
      <c r="C952" s="364"/>
      <c r="D952" s="364"/>
      <c r="E952" s="364"/>
      <c r="F952" s="364"/>
      <c r="G952" s="364"/>
      <c r="H952" s="364"/>
      <c r="I952" s="364"/>
      <c r="J952" s="364"/>
      <c r="K952" s="364"/>
      <c r="L952" s="364"/>
      <c r="M952" s="364"/>
      <c r="N952" s="364"/>
      <c r="O952" s="364"/>
      <c r="P952" s="364"/>
      <c r="Q952" s="364"/>
      <c r="R952" s="364"/>
      <c r="S952" s="364"/>
      <c r="T952" s="364"/>
      <c r="U952" s="364"/>
      <c r="V952" s="364"/>
      <c r="W952" s="364"/>
      <c r="X952" s="364"/>
      <c r="Y952" s="364"/>
      <c r="Z952" s="364"/>
    </row>
    <row r="953" spans="1:26" ht="15.75" customHeight="1" x14ac:dyDescent="0.25">
      <c r="A953" s="364"/>
      <c r="B953" s="364"/>
      <c r="C953" s="364"/>
      <c r="D953" s="364"/>
      <c r="E953" s="364"/>
      <c r="F953" s="364"/>
      <c r="G953" s="364"/>
      <c r="H953" s="364"/>
      <c r="I953" s="364"/>
      <c r="J953" s="364"/>
      <c r="K953" s="364"/>
      <c r="L953" s="364"/>
      <c r="M953" s="364"/>
      <c r="N953" s="364"/>
      <c r="O953" s="364"/>
      <c r="P953" s="364"/>
      <c r="Q953" s="364"/>
      <c r="R953" s="364"/>
      <c r="S953" s="364"/>
      <c r="T953" s="364"/>
      <c r="U953" s="364"/>
      <c r="V953" s="364"/>
      <c r="W953" s="364"/>
      <c r="X953" s="364"/>
      <c r="Y953" s="364"/>
      <c r="Z953" s="364"/>
    </row>
    <row r="954" spans="1:26" ht="15.75" customHeight="1" x14ac:dyDescent="0.25">
      <c r="A954" s="364"/>
      <c r="B954" s="364"/>
      <c r="C954" s="364"/>
      <c r="D954" s="364"/>
      <c r="E954" s="364"/>
      <c r="F954" s="364"/>
      <c r="G954" s="364"/>
      <c r="H954" s="364"/>
      <c r="I954" s="364"/>
      <c r="J954" s="364"/>
      <c r="K954" s="364"/>
      <c r="L954" s="364"/>
      <c r="M954" s="364"/>
      <c r="N954" s="364"/>
      <c r="O954" s="364"/>
      <c r="P954" s="364"/>
      <c r="Q954" s="364"/>
      <c r="R954" s="364"/>
      <c r="S954" s="364"/>
      <c r="T954" s="364"/>
      <c r="U954" s="364"/>
      <c r="V954" s="364"/>
      <c r="W954" s="364"/>
      <c r="X954" s="364"/>
      <c r="Y954" s="364"/>
      <c r="Z954" s="364"/>
    </row>
    <row r="955" spans="1:26" ht="15.75" customHeight="1" x14ac:dyDescent="0.25">
      <c r="A955" s="364"/>
      <c r="B955" s="364"/>
      <c r="C955" s="364"/>
      <c r="D955" s="364"/>
      <c r="E955" s="364"/>
      <c r="F955" s="364"/>
      <c r="G955" s="364"/>
      <c r="H955" s="364"/>
      <c r="I955" s="364"/>
      <c r="J955" s="364"/>
      <c r="K955" s="364"/>
      <c r="L955" s="364"/>
      <c r="M955" s="364"/>
      <c r="N955" s="364"/>
      <c r="O955" s="364"/>
      <c r="P955" s="364"/>
      <c r="Q955" s="364"/>
      <c r="R955" s="364"/>
      <c r="S955" s="364"/>
      <c r="T955" s="364"/>
      <c r="U955" s="364"/>
      <c r="V955" s="364"/>
      <c r="W955" s="364"/>
      <c r="X955" s="364"/>
      <c r="Y955" s="364"/>
      <c r="Z955" s="364"/>
    </row>
    <row r="956" spans="1:26" ht="15.75" customHeight="1" x14ac:dyDescent="0.25">
      <c r="A956" s="364"/>
      <c r="B956" s="364"/>
      <c r="C956" s="364"/>
      <c r="D956" s="364"/>
      <c r="E956" s="364"/>
      <c r="F956" s="364"/>
      <c r="G956" s="364"/>
      <c r="H956" s="364"/>
      <c r="I956" s="364"/>
      <c r="J956" s="364"/>
      <c r="K956" s="364"/>
      <c r="L956" s="364"/>
      <c r="M956" s="364"/>
      <c r="N956" s="364"/>
      <c r="O956" s="364"/>
      <c r="P956" s="364"/>
      <c r="Q956" s="364"/>
      <c r="R956" s="364"/>
      <c r="S956" s="364"/>
      <c r="T956" s="364"/>
      <c r="U956" s="364"/>
      <c r="V956" s="364"/>
      <c r="W956" s="364"/>
      <c r="X956" s="364"/>
      <c r="Y956" s="364"/>
      <c r="Z956" s="364"/>
    </row>
    <row r="957" spans="1:26" ht="15.75" customHeight="1" x14ac:dyDescent="0.25">
      <c r="A957" s="364"/>
      <c r="B957" s="364"/>
      <c r="C957" s="364"/>
      <c r="D957" s="364"/>
      <c r="E957" s="364"/>
      <c r="F957" s="364"/>
      <c r="G957" s="364"/>
      <c r="H957" s="364"/>
      <c r="I957" s="364"/>
      <c r="J957" s="364"/>
      <c r="K957" s="364"/>
      <c r="L957" s="364"/>
      <c r="M957" s="364"/>
      <c r="N957" s="364"/>
      <c r="O957" s="364"/>
      <c r="P957" s="364"/>
      <c r="Q957" s="364"/>
      <c r="R957" s="364"/>
      <c r="S957" s="364"/>
      <c r="T957" s="364"/>
      <c r="U957" s="364"/>
      <c r="V957" s="364"/>
      <c r="W957" s="364"/>
      <c r="X957" s="364"/>
      <c r="Y957" s="364"/>
      <c r="Z957" s="364"/>
    </row>
    <row r="958" spans="1:26" ht="15.75" customHeight="1" x14ac:dyDescent="0.25">
      <c r="A958" s="364"/>
      <c r="B958" s="364"/>
      <c r="C958" s="364"/>
      <c r="D958" s="364"/>
      <c r="E958" s="364"/>
      <c r="F958" s="364"/>
      <c r="G958" s="364"/>
      <c r="H958" s="364"/>
      <c r="I958" s="364"/>
      <c r="J958" s="364"/>
      <c r="K958" s="364"/>
      <c r="L958" s="364"/>
      <c r="M958" s="364"/>
      <c r="N958" s="364"/>
      <c r="O958" s="364"/>
      <c r="P958" s="364"/>
      <c r="Q958" s="364"/>
      <c r="R958" s="364"/>
      <c r="S958" s="364"/>
      <c r="T958" s="364"/>
      <c r="U958" s="364"/>
      <c r="V958" s="364"/>
      <c r="W958" s="364"/>
      <c r="X958" s="364"/>
      <c r="Y958" s="364"/>
      <c r="Z958" s="364"/>
    </row>
    <row r="959" spans="1:26" ht="15.75" customHeight="1" x14ac:dyDescent="0.25">
      <c r="A959" s="364"/>
      <c r="B959" s="364"/>
      <c r="C959" s="364"/>
      <c r="D959" s="364"/>
      <c r="E959" s="364"/>
      <c r="F959" s="364"/>
      <c r="G959" s="364"/>
      <c r="H959" s="364"/>
      <c r="I959" s="364"/>
      <c r="J959" s="364"/>
      <c r="K959" s="364"/>
      <c r="L959" s="364"/>
      <c r="M959" s="364"/>
      <c r="N959" s="364"/>
      <c r="O959" s="364"/>
      <c r="P959" s="364"/>
      <c r="Q959" s="364"/>
      <c r="R959" s="364"/>
      <c r="S959" s="364"/>
      <c r="T959" s="364"/>
      <c r="U959" s="364"/>
      <c r="V959" s="364"/>
      <c r="W959" s="364"/>
      <c r="X959" s="364"/>
      <c r="Y959" s="364"/>
      <c r="Z959" s="364"/>
    </row>
    <row r="960" spans="1:26" ht="15.75" customHeight="1" x14ac:dyDescent="0.25">
      <c r="A960" s="364"/>
      <c r="B960" s="364"/>
      <c r="C960" s="364"/>
      <c r="D960" s="364"/>
      <c r="E960" s="364"/>
      <c r="F960" s="364"/>
      <c r="G960" s="364"/>
      <c r="H960" s="364"/>
      <c r="I960" s="364"/>
      <c r="J960" s="364"/>
      <c r="K960" s="364"/>
      <c r="L960" s="364"/>
      <c r="M960" s="364"/>
      <c r="N960" s="364"/>
      <c r="O960" s="364"/>
      <c r="P960" s="364"/>
      <c r="Q960" s="364"/>
      <c r="R960" s="364"/>
      <c r="S960" s="364"/>
      <c r="T960" s="364"/>
      <c r="U960" s="364"/>
      <c r="V960" s="364"/>
      <c r="W960" s="364"/>
      <c r="X960" s="364"/>
      <c r="Y960" s="364"/>
      <c r="Z960" s="364"/>
    </row>
    <row r="961" spans="1:26" ht="15.75" customHeight="1" x14ac:dyDescent="0.25">
      <c r="A961" s="364"/>
      <c r="B961" s="364"/>
      <c r="C961" s="364"/>
      <c r="D961" s="364"/>
      <c r="E961" s="364"/>
      <c r="F961" s="364"/>
      <c r="G961" s="364"/>
      <c r="H961" s="364"/>
      <c r="I961" s="364"/>
      <c r="J961" s="364"/>
      <c r="K961" s="364"/>
      <c r="L961" s="364"/>
      <c r="M961" s="364"/>
      <c r="N961" s="364"/>
      <c r="O961" s="364"/>
      <c r="P961" s="364"/>
      <c r="Q961" s="364"/>
      <c r="R961" s="364"/>
      <c r="S961" s="364"/>
      <c r="T961" s="364"/>
      <c r="U961" s="364"/>
      <c r="V961" s="364"/>
      <c r="W961" s="364"/>
      <c r="X961" s="364"/>
      <c r="Y961" s="364"/>
      <c r="Z961" s="364"/>
    </row>
    <row r="962" spans="1:26" ht="15.75" customHeight="1" x14ac:dyDescent="0.25">
      <c r="A962" s="364"/>
      <c r="B962" s="364"/>
      <c r="C962" s="364"/>
      <c r="D962" s="364"/>
      <c r="E962" s="364"/>
      <c r="F962" s="364"/>
      <c r="G962" s="364"/>
      <c r="H962" s="364"/>
      <c r="I962" s="364"/>
      <c r="J962" s="364"/>
      <c r="K962" s="364"/>
      <c r="L962" s="364"/>
      <c r="M962" s="364"/>
      <c r="N962" s="364"/>
      <c r="O962" s="364"/>
      <c r="P962" s="364"/>
      <c r="Q962" s="364"/>
      <c r="R962" s="364"/>
      <c r="S962" s="364"/>
      <c r="T962" s="364"/>
      <c r="U962" s="364"/>
      <c r="V962" s="364"/>
      <c r="W962" s="364"/>
      <c r="X962" s="364"/>
      <c r="Y962" s="364"/>
      <c r="Z962" s="364"/>
    </row>
    <row r="963" spans="1:26" ht="15.75" customHeight="1" x14ac:dyDescent="0.25">
      <c r="A963" s="364"/>
      <c r="B963" s="364"/>
      <c r="C963" s="364"/>
      <c r="D963" s="364"/>
      <c r="E963" s="364"/>
      <c r="F963" s="364"/>
      <c r="G963" s="364"/>
      <c r="H963" s="364"/>
      <c r="I963" s="364"/>
      <c r="J963" s="364"/>
      <c r="K963" s="364"/>
      <c r="L963" s="364"/>
      <c r="M963" s="364"/>
      <c r="N963" s="364"/>
      <c r="O963" s="364"/>
      <c r="P963" s="364"/>
      <c r="Q963" s="364"/>
      <c r="R963" s="364"/>
      <c r="S963" s="364"/>
      <c r="T963" s="364"/>
      <c r="U963" s="364"/>
      <c r="V963" s="364"/>
      <c r="W963" s="364"/>
      <c r="X963" s="364"/>
      <c r="Y963" s="364"/>
      <c r="Z963" s="364"/>
    </row>
    <row r="964" spans="1:26" ht="15.75" customHeight="1" x14ac:dyDescent="0.25">
      <c r="A964" s="364"/>
      <c r="B964" s="364"/>
      <c r="C964" s="364"/>
      <c r="D964" s="364"/>
      <c r="E964" s="364"/>
      <c r="F964" s="364"/>
      <c r="G964" s="364"/>
      <c r="H964" s="364"/>
      <c r="I964" s="364"/>
      <c r="J964" s="364"/>
      <c r="K964" s="364"/>
      <c r="L964" s="364"/>
      <c r="M964" s="364"/>
      <c r="N964" s="364"/>
      <c r="O964" s="364"/>
      <c r="P964" s="364"/>
      <c r="Q964" s="364"/>
      <c r="R964" s="364"/>
      <c r="S964" s="364"/>
      <c r="T964" s="364"/>
      <c r="U964" s="364"/>
      <c r="V964" s="364"/>
      <c r="W964" s="364"/>
      <c r="X964" s="364"/>
      <c r="Y964" s="364"/>
      <c r="Z964" s="364"/>
    </row>
    <row r="965" spans="1:26" ht="15.75" customHeight="1" x14ac:dyDescent="0.25">
      <c r="A965" s="364"/>
      <c r="B965" s="364"/>
      <c r="C965" s="364"/>
      <c r="D965" s="364"/>
      <c r="E965" s="364"/>
      <c r="F965" s="364"/>
      <c r="G965" s="364"/>
      <c r="H965" s="364"/>
      <c r="I965" s="364"/>
      <c r="J965" s="364"/>
      <c r="K965" s="364"/>
      <c r="L965" s="364"/>
      <c r="M965" s="364"/>
      <c r="N965" s="364"/>
      <c r="O965" s="364"/>
      <c r="P965" s="364"/>
      <c r="Q965" s="364"/>
      <c r="R965" s="364"/>
      <c r="S965" s="364"/>
      <c r="T965" s="364"/>
      <c r="U965" s="364"/>
      <c r="V965" s="364"/>
      <c r="W965" s="364"/>
      <c r="X965" s="364"/>
      <c r="Y965" s="364"/>
      <c r="Z965" s="364"/>
    </row>
    <row r="966" spans="1:26" ht="15.75" customHeight="1" x14ac:dyDescent="0.25">
      <c r="A966" s="364"/>
      <c r="B966" s="364"/>
      <c r="C966" s="364"/>
      <c r="D966" s="364"/>
      <c r="E966" s="364"/>
      <c r="F966" s="364"/>
      <c r="G966" s="364"/>
      <c r="H966" s="364"/>
      <c r="I966" s="364"/>
      <c r="J966" s="364"/>
      <c r="K966" s="364"/>
      <c r="L966" s="364"/>
      <c r="M966" s="364"/>
      <c r="N966" s="364"/>
      <c r="O966" s="364"/>
      <c r="P966" s="364"/>
      <c r="Q966" s="364"/>
      <c r="R966" s="364"/>
      <c r="S966" s="364"/>
      <c r="T966" s="364"/>
      <c r="U966" s="364"/>
      <c r="V966" s="364"/>
      <c r="W966" s="364"/>
      <c r="X966" s="364"/>
      <c r="Y966" s="364"/>
      <c r="Z966" s="364"/>
    </row>
    <row r="967" spans="1:26" ht="15.75" customHeight="1" x14ac:dyDescent="0.25">
      <c r="A967" s="364"/>
      <c r="B967" s="364"/>
      <c r="C967" s="364"/>
      <c r="D967" s="364"/>
      <c r="E967" s="364"/>
      <c r="F967" s="364"/>
      <c r="G967" s="364"/>
      <c r="H967" s="364"/>
      <c r="I967" s="364"/>
      <c r="J967" s="364"/>
      <c r="K967" s="364"/>
      <c r="L967" s="364"/>
      <c r="M967" s="364"/>
      <c r="N967" s="364"/>
      <c r="O967" s="364"/>
      <c r="P967" s="364"/>
      <c r="Q967" s="364"/>
      <c r="R967" s="364"/>
      <c r="S967" s="364"/>
      <c r="T967" s="364"/>
      <c r="U967" s="364"/>
      <c r="V967" s="364"/>
      <c r="W967" s="364"/>
      <c r="X967" s="364"/>
      <c r="Y967" s="364"/>
      <c r="Z967" s="364"/>
    </row>
    <row r="968" spans="1:26" ht="15.75" customHeight="1" x14ac:dyDescent="0.25">
      <c r="A968" s="364"/>
      <c r="B968" s="364"/>
      <c r="C968" s="364"/>
      <c r="D968" s="364"/>
      <c r="E968" s="364"/>
      <c r="F968" s="364"/>
      <c r="G968" s="364"/>
      <c r="H968" s="364"/>
      <c r="I968" s="364"/>
      <c r="J968" s="364"/>
      <c r="K968" s="364"/>
      <c r="L968" s="364"/>
      <c r="M968" s="364"/>
      <c r="N968" s="364"/>
      <c r="O968" s="364"/>
      <c r="P968" s="364"/>
      <c r="Q968" s="364"/>
      <c r="R968" s="364"/>
      <c r="S968" s="364"/>
      <c r="T968" s="364"/>
      <c r="U968" s="364"/>
      <c r="V968" s="364"/>
      <c r="W968" s="364"/>
      <c r="X968" s="364"/>
      <c r="Y968" s="364"/>
      <c r="Z968" s="364"/>
    </row>
    <row r="969" spans="1:26" ht="15.75" customHeight="1" x14ac:dyDescent="0.25">
      <c r="A969" s="364"/>
      <c r="B969" s="364"/>
      <c r="C969" s="364"/>
      <c r="D969" s="364"/>
      <c r="E969" s="364"/>
      <c r="F969" s="364"/>
      <c r="G969" s="364"/>
      <c r="H969" s="364"/>
      <c r="I969" s="364"/>
      <c r="J969" s="364"/>
      <c r="K969" s="364"/>
      <c r="L969" s="364"/>
      <c r="M969" s="364"/>
      <c r="N969" s="364"/>
      <c r="O969" s="364"/>
      <c r="P969" s="364"/>
      <c r="Q969" s="364"/>
      <c r="R969" s="364"/>
      <c r="S969" s="364"/>
      <c r="T969" s="364"/>
      <c r="U969" s="364"/>
      <c r="V969" s="364"/>
      <c r="W969" s="364"/>
      <c r="X969" s="364"/>
      <c r="Y969" s="364"/>
      <c r="Z969" s="364"/>
    </row>
    <row r="970" spans="1:26" ht="15.75" customHeight="1" x14ac:dyDescent="0.25">
      <c r="A970" s="364"/>
      <c r="B970" s="364"/>
      <c r="C970" s="364"/>
      <c r="D970" s="364"/>
      <c r="E970" s="364"/>
      <c r="F970" s="364"/>
      <c r="G970" s="364"/>
      <c r="H970" s="364"/>
      <c r="I970" s="364"/>
      <c r="J970" s="364"/>
      <c r="K970" s="364"/>
      <c r="L970" s="364"/>
      <c r="M970" s="364"/>
      <c r="N970" s="364"/>
      <c r="O970" s="364"/>
      <c r="P970" s="364"/>
      <c r="Q970" s="364"/>
      <c r="R970" s="364"/>
      <c r="S970" s="364"/>
      <c r="T970" s="364"/>
      <c r="U970" s="364"/>
      <c r="V970" s="364"/>
      <c r="W970" s="364"/>
      <c r="X970" s="364"/>
      <c r="Y970" s="364"/>
      <c r="Z970" s="364"/>
    </row>
    <row r="971" spans="1:26" ht="15.75" customHeight="1" x14ac:dyDescent="0.25">
      <c r="A971" s="364"/>
      <c r="B971" s="364"/>
      <c r="C971" s="364"/>
      <c r="D971" s="364"/>
      <c r="E971" s="364"/>
      <c r="F971" s="364"/>
      <c r="G971" s="364"/>
      <c r="H971" s="364"/>
      <c r="I971" s="364"/>
      <c r="J971" s="364"/>
      <c r="K971" s="364"/>
      <c r="L971" s="364"/>
      <c r="M971" s="364"/>
      <c r="N971" s="364"/>
      <c r="O971" s="364"/>
      <c r="P971" s="364"/>
      <c r="Q971" s="364"/>
      <c r="R971" s="364"/>
      <c r="S971" s="364"/>
      <c r="T971" s="364"/>
      <c r="U971" s="364"/>
      <c r="V971" s="364"/>
      <c r="W971" s="364"/>
      <c r="X971" s="364"/>
      <c r="Y971" s="364"/>
      <c r="Z971" s="364"/>
    </row>
    <row r="972" spans="1:26" ht="15.75" customHeight="1" x14ac:dyDescent="0.25">
      <c r="A972" s="364"/>
      <c r="B972" s="364"/>
      <c r="C972" s="364"/>
      <c r="D972" s="364"/>
      <c r="E972" s="364"/>
      <c r="F972" s="364"/>
      <c r="G972" s="364"/>
      <c r="H972" s="364"/>
      <c r="I972" s="364"/>
      <c r="J972" s="364"/>
      <c r="K972" s="364"/>
      <c r="L972" s="364"/>
      <c r="M972" s="364"/>
      <c r="N972" s="364"/>
      <c r="O972" s="364"/>
      <c r="P972" s="364"/>
      <c r="Q972" s="364"/>
      <c r="R972" s="364"/>
      <c r="S972" s="364"/>
      <c r="T972" s="364"/>
      <c r="U972" s="364"/>
      <c r="V972" s="364"/>
      <c r="W972" s="364"/>
      <c r="X972" s="364"/>
      <c r="Y972" s="364"/>
      <c r="Z972" s="364"/>
    </row>
    <row r="973" spans="1:26" ht="15.75" customHeight="1" x14ac:dyDescent="0.25">
      <c r="A973" s="364"/>
      <c r="B973" s="364"/>
      <c r="C973" s="364"/>
      <c r="D973" s="364"/>
      <c r="E973" s="364"/>
      <c r="F973" s="364"/>
      <c r="G973" s="364"/>
      <c r="H973" s="364"/>
      <c r="I973" s="364"/>
      <c r="J973" s="364"/>
      <c r="K973" s="364"/>
      <c r="L973" s="364"/>
      <c r="M973" s="364"/>
      <c r="N973" s="364"/>
      <c r="O973" s="364"/>
      <c r="P973" s="364"/>
      <c r="Q973" s="364"/>
      <c r="R973" s="364"/>
      <c r="S973" s="364"/>
      <c r="T973" s="364"/>
      <c r="U973" s="364"/>
      <c r="V973" s="364"/>
      <c r="W973" s="364"/>
      <c r="X973" s="364"/>
      <c r="Y973" s="364"/>
      <c r="Z973" s="364"/>
    </row>
    <row r="974" spans="1:26" ht="15.75" customHeight="1" x14ac:dyDescent="0.25">
      <c r="A974" s="364"/>
      <c r="B974" s="364"/>
      <c r="C974" s="364"/>
      <c r="D974" s="364"/>
      <c r="E974" s="364"/>
      <c r="F974" s="364"/>
      <c r="G974" s="364"/>
      <c r="H974" s="364"/>
      <c r="I974" s="364"/>
      <c r="J974" s="364"/>
      <c r="K974" s="364"/>
      <c r="L974" s="364"/>
      <c r="M974" s="364"/>
      <c r="N974" s="364"/>
      <c r="O974" s="364"/>
      <c r="P974" s="364"/>
      <c r="Q974" s="364"/>
      <c r="R974" s="364"/>
      <c r="S974" s="364"/>
      <c r="T974" s="364"/>
      <c r="U974" s="364"/>
      <c r="V974" s="364"/>
      <c r="W974" s="364"/>
      <c r="X974" s="364"/>
      <c r="Y974" s="364"/>
      <c r="Z974" s="364"/>
    </row>
    <row r="975" spans="1:26" ht="15.75" customHeight="1" x14ac:dyDescent="0.25">
      <c r="A975" s="364"/>
      <c r="B975" s="364"/>
      <c r="C975" s="364"/>
      <c r="D975" s="364"/>
      <c r="E975" s="364"/>
      <c r="F975" s="364"/>
      <c r="G975" s="364"/>
      <c r="H975" s="364"/>
      <c r="I975" s="364"/>
      <c r="J975" s="364"/>
      <c r="K975" s="364"/>
      <c r="L975" s="364"/>
      <c r="M975" s="364"/>
      <c r="N975" s="364"/>
      <c r="O975" s="364"/>
      <c r="P975" s="364"/>
      <c r="Q975" s="364"/>
      <c r="R975" s="364"/>
      <c r="S975" s="364"/>
      <c r="T975" s="364"/>
      <c r="U975" s="364"/>
      <c r="V975" s="364"/>
      <c r="W975" s="364"/>
      <c r="X975" s="364"/>
      <c r="Y975" s="364"/>
      <c r="Z975" s="364"/>
    </row>
    <row r="976" spans="1:26" ht="15.75" customHeight="1" x14ac:dyDescent="0.25">
      <c r="A976" s="364"/>
      <c r="B976" s="364"/>
      <c r="C976" s="364"/>
      <c r="D976" s="364"/>
      <c r="E976" s="364"/>
      <c r="F976" s="364"/>
      <c r="G976" s="364"/>
      <c r="H976" s="364"/>
      <c r="I976" s="364"/>
      <c r="J976" s="364"/>
      <c r="K976" s="364"/>
      <c r="L976" s="364"/>
      <c r="M976" s="364"/>
      <c r="N976" s="364"/>
      <c r="O976" s="364"/>
      <c r="P976" s="364"/>
      <c r="Q976" s="364"/>
      <c r="R976" s="364"/>
      <c r="S976" s="364"/>
      <c r="T976" s="364"/>
      <c r="U976" s="364"/>
      <c r="V976" s="364"/>
      <c r="W976" s="364"/>
      <c r="X976" s="364"/>
      <c r="Y976" s="364"/>
      <c r="Z976" s="364"/>
    </row>
    <row r="977" spans="1:26" ht="15.75" customHeight="1" x14ac:dyDescent="0.25">
      <c r="A977" s="364"/>
      <c r="B977" s="364"/>
      <c r="C977" s="364"/>
      <c r="D977" s="364"/>
      <c r="E977" s="364"/>
      <c r="F977" s="364"/>
      <c r="G977" s="364"/>
      <c r="H977" s="364"/>
      <c r="I977" s="364"/>
      <c r="J977" s="364"/>
      <c r="K977" s="364"/>
      <c r="L977" s="364"/>
      <c r="M977" s="364"/>
      <c r="N977" s="364"/>
      <c r="O977" s="364"/>
      <c r="P977" s="364"/>
      <c r="Q977" s="364"/>
      <c r="R977" s="364"/>
      <c r="S977" s="364"/>
      <c r="T977" s="364"/>
      <c r="U977" s="364"/>
      <c r="V977" s="364"/>
      <c r="W977" s="364"/>
      <c r="X977" s="364"/>
      <c r="Y977" s="364"/>
      <c r="Z977" s="364"/>
    </row>
    <row r="978" spans="1:26" ht="15.75" customHeight="1" x14ac:dyDescent="0.25">
      <c r="A978" s="364"/>
      <c r="B978" s="364"/>
      <c r="C978" s="364"/>
      <c r="D978" s="364"/>
      <c r="E978" s="364"/>
      <c r="F978" s="364"/>
      <c r="G978" s="364"/>
      <c r="H978" s="364"/>
      <c r="I978" s="364"/>
      <c r="J978" s="364"/>
      <c r="K978" s="364"/>
      <c r="L978" s="364"/>
      <c r="M978" s="364"/>
      <c r="N978" s="364"/>
      <c r="O978" s="364"/>
      <c r="P978" s="364"/>
      <c r="Q978" s="364"/>
      <c r="R978" s="364"/>
      <c r="S978" s="364"/>
      <c r="T978" s="364"/>
      <c r="U978" s="364"/>
      <c r="V978" s="364"/>
      <c r="W978" s="364"/>
      <c r="X978" s="364"/>
      <c r="Y978" s="364"/>
      <c r="Z978" s="364"/>
    </row>
    <row r="979" spans="1:26" ht="15.75" customHeight="1" x14ac:dyDescent="0.25">
      <c r="A979" s="364"/>
      <c r="B979" s="364"/>
      <c r="C979" s="364"/>
      <c r="D979" s="364"/>
      <c r="E979" s="364"/>
      <c r="F979" s="364"/>
      <c r="G979" s="364"/>
      <c r="H979" s="364"/>
      <c r="I979" s="364"/>
      <c r="J979" s="364"/>
      <c r="K979" s="364"/>
      <c r="L979" s="364"/>
      <c r="M979" s="364"/>
      <c r="N979" s="364"/>
      <c r="O979" s="364"/>
      <c r="P979" s="364"/>
      <c r="Q979" s="364"/>
      <c r="R979" s="364"/>
      <c r="S979" s="364"/>
      <c r="T979" s="364"/>
      <c r="U979" s="364"/>
      <c r="V979" s="364"/>
      <c r="W979" s="364"/>
      <c r="X979" s="364"/>
      <c r="Y979" s="364"/>
      <c r="Z979" s="364"/>
    </row>
    <row r="980" spans="1:26" ht="15.75" customHeight="1" x14ac:dyDescent="0.25">
      <c r="A980" s="364"/>
      <c r="B980" s="364"/>
      <c r="C980" s="364"/>
      <c r="D980" s="364"/>
      <c r="E980" s="364"/>
      <c r="F980" s="364"/>
      <c r="G980" s="364"/>
      <c r="H980" s="364"/>
      <c r="I980" s="364"/>
      <c r="J980" s="364"/>
      <c r="K980" s="364"/>
      <c r="L980" s="364"/>
      <c r="M980" s="364"/>
      <c r="N980" s="364"/>
      <c r="O980" s="364"/>
      <c r="P980" s="364"/>
      <c r="Q980" s="364"/>
      <c r="R980" s="364"/>
      <c r="S980" s="364"/>
      <c r="T980" s="364"/>
      <c r="U980" s="364"/>
      <c r="V980" s="364"/>
      <c r="W980" s="364"/>
      <c r="X980" s="364"/>
      <c r="Y980" s="364"/>
      <c r="Z980" s="364"/>
    </row>
    <row r="981" spans="1:26" ht="15.75" customHeight="1" x14ac:dyDescent="0.25">
      <c r="A981" s="364"/>
      <c r="B981" s="364"/>
      <c r="C981" s="364"/>
      <c r="D981" s="364"/>
      <c r="E981" s="364"/>
      <c r="F981" s="364"/>
      <c r="G981" s="364"/>
      <c r="H981" s="364"/>
      <c r="I981" s="364"/>
      <c r="J981" s="364"/>
      <c r="K981" s="364"/>
      <c r="L981" s="364"/>
      <c r="M981" s="364"/>
      <c r="N981" s="364"/>
      <c r="O981" s="364"/>
      <c r="P981" s="364"/>
      <c r="Q981" s="364"/>
      <c r="R981" s="364"/>
      <c r="S981" s="364"/>
      <c r="T981" s="364"/>
      <c r="U981" s="364"/>
      <c r="V981" s="364"/>
      <c r="W981" s="364"/>
      <c r="X981" s="364"/>
      <c r="Y981" s="364"/>
      <c r="Z981" s="364"/>
    </row>
    <row r="982" spans="1:26" ht="15.75" customHeight="1" x14ac:dyDescent="0.25">
      <c r="A982" s="364"/>
      <c r="B982" s="364"/>
      <c r="C982" s="364"/>
      <c r="D982" s="364"/>
      <c r="E982" s="364"/>
      <c r="F982" s="364"/>
      <c r="G982" s="364"/>
      <c r="H982" s="364"/>
      <c r="I982" s="364"/>
      <c r="J982" s="364"/>
      <c r="K982" s="364"/>
      <c r="L982" s="364"/>
      <c r="M982" s="364"/>
      <c r="N982" s="364"/>
      <c r="O982" s="364"/>
      <c r="P982" s="364"/>
      <c r="Q982" s="364"/>
      <c r="R982" s="364"/>
      <c r="S982" s="364"/>
      <c r="T982" s="364"/>
      <c r="U982" s="364"/>
      <c r="V982" s="364"/>
      <c r="W982" s="364"/>
      <c r="X982" s="364"/>
      <c r="Y982" s="364"/>
      <c r="Z982" s="364"/>
    </row>
    <row r="983" spans="1:26" ht="15.75" customHeight="1" x14ac:dyDescent="0.25">
      <c r="A983" s="364"/>
      <c r="B983" s="364"/>
      <c r="C983" s="364"/>
      <c r="D983" s="364"/>
      <c r="E983" s="364"/>
      <c r="F983" s="364"/>
      <c r="G983" s="364"/>
      <c r="H983" s="364"/>
      <c r="I983" s="364"/>
      <c r="J983" s="364"/>
      <c r="K983" s="364"/>
      <c r="L983" s="364"/>
      <c r="M983" s="364"/>
      <c r="N983" s="364"/>
      <c r="O983" s="364"/>
      <c r="P983" s="364"/>
      <c r="Q983" s="364"/>
      <c r="R983" s="364"/>
      <c r="S983" s="364"/>
      <c r="T983" s="364"/>
      <c r="U983" s="364"/>
      <c r="V983" s="364"/>
      <c r="W983" s="364"/>
      <c r="X983" s="364"/>
      <c r="Y983" s="364"/>
      <c r="Z983" s="364"/>
    </row>
    <row r="984" spans="1:26" ht="15.75" customHeight="1" x14ac:dyDescent="0.25">
      <c r="A984" s="364"/>
      <c r="B984" s="364"/>
      <c r="C984" s="364"/>
      <c r="D984" s="364"/>
      <c r="E984" s="364"/>
      <c r="F984" s="364"/>
      <c r="G984" s="364"/>
      <c r="H984" s="364"/>
      <c r="I984" s="364"/>
      <c r="J984" s="364"/>
      <c r="K984" s="364"/>
      <c r="L984" s="364"/>
      <c r="M984" s="364"/>
      <c r="N984" s="364"/>
      <c r="O984" s="364"/>
      <c r="P984" s="364"/>
      <c r="Q984" s="364"/>
      <c r="R984" s="364"/>
      <c r="S984" s="364"/>
      <c r="T984" s="364"/>
      <c r="U984" s="364"/>
      <c r="V984" s="364"/>
      <c r="W984" s="364"/>
      <c r="X984" s="364"/>
      <c r="Y984" s="364"/>
      <c r="Z984" s="364"/>
    </row>
    <row r="985" spans="1:26" ht="15.75" customHeight="1" x14ac:dyDescent="0.25">
      <c r="A985" s="364"/>
      <c r="B985" s="364"/>
      <c r="C985" s="364"/>
      <c r="D985" s="364"/>
      <c r="E985" s="364"/>
      <c r="F985" s="364"/>
      <c r="G985" s="364"/>
      <c r="H985" s="364"/>
      <c r="I985" s="364"/>
      <c r="J985" s="364"/>
      <c r="K985" s="364"/>
      <c r="L985" s="364"/>
      <c r="M985" s="364"/>
      <c r="N985" s="364"/>
      <c r="O985" s="364"/>
      <c r="P985" s="364"/>
      <c r="Q985" s="364"/>
      <c r="R985" s="364"/>
      <c r="S985" s="364"/>
      <c r="T985" s="364"/>
      <c r="U985" s="364"/>
      <c r="V985" s="364"/>
      <c r="W985" s="364"/>
      <c r="X985" s="364"/>
      <c r="Y985" s="364"/>
      <c r="Z985" s="364"/>
    </row>
    <row r="986" spans="1:26" ht="15.75" customHeight="1" x14ac:dyDescent="0.25">
      <c r="A986" s="364"/>
      <c r="B986" s="364"/>
      <c r="C986" s="364"/>
      <c r="D986" s="364"/>
      <c r="E986" s="364"/>
      <c r="F986" s="364"/>
      <c r="G986" s="364"/>
      <c r="H986" s="364"/>
      <c r="I986" s="364"/>
      <c r="J986" s="364"/>
      <c r="K986" s="364"/>
      <c r="L986" s="364"/>
      <c r="M986" s="364"/>
      <c r="N986" s="364"/>
      <c r="O986" s="364"/>
      <c r="P986" s="364"/>
      <c r="Q986" s="364"/>
      <c r="R986" s="364"/>
      <c r="S986" s="364"/>
      <c r="T986" s="364"/>
      <c r="U986" s="364"/>
      <c r="V986" s="364"/>
      <c r="W986" s="364"/>
      <c r="X986" s="364"/>
      <c r="Y986" s="364"/>
      <c r="Z986" s="364"/>
    </row>
    <row r="987" spans="1:26" ht="15.75" customHeight="1" x14ac:dyDescent="0.25">
      <c r="A987" s="364"/>
      <c r="B987" s="364"/>
      <c r="C987" s="364"/>
      <c r="D987" s="364"/>
      <c r="E987" s="364"/>
      <c r="F987" s="364"/>
      <c r="G987" s="364"/>
      <c r="H987" s="364"/>
      <c r="I987" s="364"/>
      <c r="J987" s="364"/>
      <c r="K987" s="364"/>
      <c r="L987" s="364"/>
      <c r="M987" s="364"/>
      <c r="N987" s="364"/>
      <c r="O987" s="364"/>
      <c r="P987" s="364"/>
      <c r="Q987" s="364"/>
      <c r="R987" s="364"/>
      <c r="S987" s="364"/>
      <c r="T987" s="364"/>
      <c r="U987" s="364"/>
      <c r="V987" s="364"/>
      <c r="W987" s="364"/>
      <c r="X987" s="364"/>
      <c r="Y987" s="364"/>
      <c r="Z987" s="364"/>
    </row>
    <row r="988" spans="1:26" ht="15.75" customHeight="1" x14ac:dyDescent="0.25">
      <c r="A988" s="364"/>
      <c r="B988" s="364"/>
      <c r="C988" s="364"/>
      <c r="D988" s="364"/>
      <c r="E988" s="364"/>
      <c r="F988" s="364"/>
      <c r="G988" s="364"/>
      <c r="H988" s="364"/>
      <c r="I988" s="364"/>
      <c r="J988" s="364"/>
      <c r="K988" s="364"/>
      <c r="L988" s="364"/>
      <c r="M988" s="364"/>
      <c r="N988" s="364"/>
      <c r="O988" s="364"/>
      <c r="P988" s="364"/>
      <c r="Q988" s="364"/>
      <c r="R988" s="364"/>
      <c r="S988" s="364"/>
      <c r="T988" s="364"/>
      <c r="U988" s="364"/>
      <c r="V988" s="364"/>
      <c r="W988" s="364"/>
      <c r="X988" s="364"/>
      <c r="Y988" s="364"/>
      <c r="Z988" s="364"/>
    </row>
    <row r="989" spans="1:26" ht="15.75" customHeight="1" x14ac:dyDescent="0.25">
      <c r="A989" s="364"/>
      <c r="B989" s="364"/>
      <c r="C989" s="364"/>
      <c r="D989" s="364"/>
      <c r="E989" s="364"/>
      <c r="F989" s="364"/>
      <c r="G989" s="364"/>
      <c r="H989" s="364"/>
      <c r="I989" s="364"/>
      <c r="J989" s="364"/>
      <c r="K989" s="364"/>
      <c r="L989" s="364"/>
      <c r="M989" s="364"/>
      <c r="N989" s="364"/>
      <c r="O989" s="364"/>
      <c r="P989" s="364"/>
      <c r="Q989" s="364"/>
      <c r="R989" s="364"/>
      <c r="S989" s="364"/>
      <c r="T989" s="364"/>
      <c r="U989" s="364"/>
      <c r="V989" s="364"/>
      <c r="W989" s="364"/>
      <c r="X989" s="364"/>
      <c r="Y989" s="364"/>
      <c r="Z989" s="364"/>
    </row>
    <row r="990" spans="1:26" ht="15.75" customHeight="1" x14ac:dyDescent="0.25">
      <c r="A990" s="364"/>
      <c r="B990" s="364"/>
      <c r="C990" s="364"/>
      <c r="D990" s="364"/>
      <c r="E990" s="364"/>
      <c r="F990" s="364"/>
      <c r="G990" s="364"/>
      <c r="H990" s="364"/>
      <c r="I990" s="364"/>
      <c r="J990" s="364"/>
      <c r="K990" s="364"/>
      <c r="L990" s="364"/>
      <c r="M990" s="364"/>
      <c r="N990" s="364"/>
      <c r="O990" s="364"/>
      <c r="P990" s="364"/>
      <c r="Q990" s="364"/>
      <c r="R990" s="364"/>
      <c r="S990" s="364"/>
      <c r="T990" s="364"/>
      <c r="U990" s="364"/>
      <c r="V990" s="364"/>
      <c r="W990" s="364"/>
      <c r="X990" s="364"/>
      <c r="Y990" s="364"/>
      <c r="Z990" s="364"/>
    </row>
    <row r="991" spans="1:26" ht="15.75" customHeight="1" x14ac:dyDescent="0.25">
      <c r="A991" s="364"/>
      <c r="B991" s="364"/>
      <c r="C991" s="364"/>
      <c r="D991" s="364"/>
      <c r="E991" s="364"/>
      <c r="F991" s="364"/>
      <c r="G991" s="364"/>
      <c r="H991" s="364"/>
      <c r="I991" s="364"/>
      <c r="J991" s="364"/>
      <c r="K991" s="364"/>
      <c r="L991" s="364"/>
      <c r="M991" s="364"/>
      <c r="N991" s="364"/>
      <c r="O991" s="364"/>
      <c r="P991" s="364"/>
      <c r="Q991" s="364"/>
      <c r="R991" s="364"/>
      <c r="S991" s="364"/>
      <c r="T991" s="364"/>
      <c r="U991" s="364"/>
      <c r="V991" s="364"/>
      <c r="W991" s="364"/>
      <c r="X991" s="364"/>
      <c r="Y991" s="364"/>
      <c r="Z991" s="364"/>
    </row>
    <row r="992" spans="1:26" ht="15.75" customHeight="1" x14ac:dyDescent="0.25">
      <c r="A992" s="364"/>
      <c r="B992" s="364"/>
      <c r="C992" s="364"/>
      <c r="D992" s="364"/>
      <c r="E992" s="364"/>
      <c r="F992" s="364"/>
      <c r="G992" s="364"/>
      <c r="H992" s="364"/>
      <c r="I992" s="364"/>
      <c r="J992" s="364"/>
      <c r="K992" s="364"/>
      <c r="L992" s="364"/>
      <c r="M992" s="364"/>
      <c r="N992" s="364"/>
      <c r="O992" s="364"/>
      <c r="P992" s="364"/>
      <c r="Q992" s="364"/>
      <c r="R992" s="364"/>
      <c r="S992" s="364"/>
      <c r="T992" s="364"/>
      <c r="U992" s="364"/>
      <c r="V992" s="364"/>
      <c r="W992" s="364"/>
      <c r="X992" s="364"/>
      <c r="Y992" s="364"/>
      <c r="Z992" s="364"/>
    </row>
    <row r="993" spans="1:26" ht="15.75" customHeight="1" x14ac:dyDescent="0.25">
      <c r="A993" s="364"/>
      <c r="B993" s="364"/>
      <c r="C993" s="364"/>
      <c r="D993" s="364"/>
      <c r="E993" s="364"/>
      <c r="F993" s="364"/>
      <c r="G993" s="364"/>
      <c r="H993" s="364"/>
      <c r="I993" s="364"/>
      <c r="J993" s="364"/>
      <c r="K993" s="364"/>
      <c r="L993" s="364"/>
      <c r="M993" s="364"/>
      <c r="N993" s="364"/>
      <c r="O993" s="364"/>
      <c r="P993" s="364"/>
      <c r="Q993" s="364"/>
      <c r="R993" s="364"/>
      <c r="S993" s="364"/>
      <c r="T993" s="364"/>
      <c r="U993" s="364"/>
      <c r="V993" s="364"/>
      <c r="W993" s="364"/>
      <c r="X993" s="364"/>
      <c r="Y993" s="364"/>
      <c r="Z993" s="364"/>
    </row>
    <row r="994" spans="1:26" ht="15.75" customHeight="1" x14ac:dyDescent="0.25">
      <c r="A994" s="364"/>
      <c r="B994" s="364"/>
      <c r="C994" s="364"/>
      <c r="D994" s="364"/>
      <c r="E994" s="364"/>
      <c r="F994" s="364"/>
      <c r="G994" s="364"/>
      <c r="H994" s="364"/>
      <c r="I994" s="364"/>
      <c r="J994" s="364"/>
      <c r="K994" s="364"/>
      <c r="L994" s="364"/>
      <c r="M994" s="364"/>
      <c r="N994" s="364"/>
      <c r="O994" s="364"/>
      <c r="P994" s="364"/>
      <c r="Q994" s="364"/>
      <c r="R994" s="364"/>
      <c r="S994" s="364"/>
      <c r="T994" s="364"/>
      <c r="U994" s="364"/>
      <c r="V994" s="364"/>
      <c r="W994" s="364"/>
      <c r="X994" s="364"/>
      <c r="Y994" s="364"/>
      <c r="Z994" s="364"/>
    </row>
    <row r="995" spans="1:26" ht="15.75" customHeight="1" x14ac:dyDescent="0.25">
      <c r="A995" s="364"/>
      <c r="B995" s="364"/>
      <c r="C995" s="364"/>
      <c r="D995" s="364"/>
      <c r="E995" s="364"/>
      <c r="F995" s="364"/>
      <c r="G995" s="364"/>
      <c r="H995" s="364"/>
      <c r="I995" s="364"/>
      <c r="J995" s="364"/>
      <c r="K995" s="364"/>
      <c r="L995" s="364"/>
      <c r="M995" s="364"/>
      <c r="N995" s="364"/>
      <c r="O995" s="364"/>
      <c r="P995" s="364"/>
      <c r="Q995" s="364"/>
      <c r="R995" s="364"/>
      <c r="S995" s="364"/>
      <c r="T995" s="364"/>
      <c r="U995" s="364"/>
      <c r="V995" s="364"/>
      <c r="W995" s="364"/>
      <c r="X995" s="364"/>
      <c r="Y995" s="364"/>
      <c r="Z995" s="364"/>
    </row>
    <row r="996" spans="1:26" ht="15.75" customHeight="1" x14ac:dyDescent="0.25">
      <c r="A996" s="364"/>
      <c r="B996" s="364"/>
      <c r="C996" s="364"/>
      <c r="D996" s="364"/>
      <c r="E996" s="364"/>
      <c r="F996" s="364"/>
      <c r="G996" s="364"/>
      <c r="H996" s="364"/>
      <c r="I996" s="364"/>
      <c r="J996" s="364"/>
      <c r="K996" s="364"/>
      <c r="L996" s="364"/>
      <c r="M996" s="364"/>
      <c r="N996" s="364"/>
      <c r="O996" s="364"/>
      <c r="P996" s="364"/>
      <c r="Q996" s="364"/>
      <c r="R996" s="364"/>
      <c r="S996" s="364"/>
      <c r="T996" s="364"/>
      <c r="U996" s="364"/>
      <c r="V996" s="364"/>
      <c r="W996" s="364"/>
      <c r="X996" s="364"/>
      <c r="Y996" s="364"/>
      <c r="Z996" s="364"/>
    </row>
    <row r="997" spans="1:26" ht="15.75" customHeight="1" x14ac:dyDescent="0.25">
      <c r="A997" s="364"/>
      <c r="B997" s="364"/>
      <c r="C997" s="364"/>
      <c r="D997" s="364"/>
      <c r="E997" s="364"/>
      <c r="F997" s="364"/>
      <c r="G997" s="364"/>
      <c r="H997" s="364"/>
      <c r="I997" s="364"/>
      <c r="J997" s="364"/>
      <c r="K997" s="364"/>
      <c r="L997" s="364"/>
      <c r="M997" s="364"/>
      <c r="N997" s="364"/>
      <c r="O997" s="364"/>
      <c r="P997" s="364"/>
      <c r="Q997" s="364"/>
      <c r="R997" s="364"/>
      <c r="S997" s="364"/>
      <c r="T997" s="364"/>
      <c r="U997" s="364"/>
      <c r="V997" s="364"/>
      <c r="W997" s="364"/>
      <c r="X997" s="364"/>
      <c r="Y997" s="364"/>
      <c r="Z997" s="364"/>
    </row>
    <row r="998" spans="1:26" ht="15.75" customHeight="1" x14ac:dyDescent="0.25">
      <c r="A998" s="364"/>
      <c r="B998" s="364"/>
      <c r="C998" s="364"/>
      <c r="D998" s="364"/>
      <c r="E998" s="364"/>
      <c r="F998" s="364"/>
      <c r="G998" s="364"/>
      <c r="H998" s="364"/>
      <c r="I998" s="364"/>
      <c r="J998" s="364"/>
      <c r="K998" s="364"/>
      <c r="L998" s="364"/>
      <c r="M998" s="364"/>
      <c r="N998" s="364"/>
      <c r="O998" s="364"/>
      <c r="P998" s="364"/>
      <c r="Q998" s="364"/>
      <c r="R998" s="364"/>
      <c r="S998" s="364"/>
      <c r="T998" s="364"/>
      <c r="U998" s="364"/>
      <c r="V998" s="364"/>
      <c r="W998" s="364"/>
      <c r="X998" s="364"/>
      <c r="Y998" s="364"/>
      <c r="Z998" s="364"/>
    </row>
    <row r="999" spans="1:26" ht="15.75" customHeight="1" x14ac:dyDescent="0.25">
      <c r="A999" s="364"/>
      <c r="B999" s="364"/>
      <c r="C999" s="364"/>
      <c r="D999" s="364"/>
      <c r="E999" s="364"/>
      <c r="F999" s="364"/>
      <c r="G999" s="364"/>
      <c r="H999" s="364"/>
      <c r="I999" s="364"/>
      <c r="J999" s="364"/>
      <c r="K999" s="364"/>
      <c r="L999" s="364"/>
      <c r="M999" s="364"/>
      <c r="N999" s="364"/>
      <c r="O999" s="364"/>
      <c r="P999" s="364"/>
      <c r="Q999" s="364"/>
      <c r="R999" s="364"/>
      <c r="S999" s="364"/>
      <c r="T999" s="364"/>
      <c r="U999" s="364"/>
      <c r="V999" s="364"/>
      <c r="W999" s="364"/>
      <c r="X999" s="364"/>
      <c r="Y999" s="364"/>
      <c r="Z999" s="364"/>
    </row>
    <row r="1000" spans="1:26" ht="15.75" customHeight="1" x14ac:dyDescent="0.25">
      <c r="A1000" s="364"/>
      <c r="B1000" s="364"/>
      <c r="C1000" s="364"/>
      <c r="D1000" s="364"/>
      <c r="E1000" s="364"/>
      <c r="F1000" s="364"/>
      <c r="G1000" s="364"/>
      <c r="H1000" s="364"/>
      <c r="I1000" s="364"/>
      <c r="J1000" s="364"/>
      <c r="K1000" s="364"/>
      <c r="L1000" s="364"/>
      <c r="M1000" s="364"/>
      <c r="N1000" s="364"/>
      <c r="O1000" s="364"/>
      <c r="P1000" s="364"/>
      <c r="Q1000" s="364"/>
      <c r="R1000" s="364"/>
      <c r="S1000" s="364"/>
      <c r="T1000" s="364"/>
      <c r="U1000" s="364"/>
      <c r="V1000" s="364"/>
      <c r="W1000" s="364"/>
      <c r="X1000" s="364"/>
      <c r="Y1000" s="364"/>
      <c r="Z1000" s="364"/>
    </row>
  </sheetData>
  <mergeCells count="2">
    <mergeCell ref="B1:E1"/>
    <mergeCell ref="B2:E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showGridLines="0" workbookViewId="0"/>
  </sheetViews>
  <sheetFormatPr defaultColWidth="12.7109375" defaultRowHeight="15" customHeight="1" x14ac:dyDescent="0.25"/>
  <cols>
    <col min="1" max="1" width="43.28515625" customWidth="1"/>
    <col min="2" max="2" width="8.28515625" customWidth="1"/>
    <col min="3" max="6" width="12.7109375" customWidth="1"/>
    <col min="7" max="7" width="18.28515625" customWidth="1"/>
    <col min="8" max="26" width="12.7109375" customWidth="1"/>
  </cols>
  <sheetData>
    <row r="1" spans="1:26" ht="15.75" customHeight="1" x14ac:dyDescent="0.25">
      <c r="A1" s="496" t="s">
        <v>592</v>
      </c>
      <c r="B1" s="495"/>
      <c r="C1" s="495"/>
      <c r="D1" s="495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spans="1:26" ht="15.75" customHeight="1" x14ac:dyDescent="0.25">
      <c r="A2" s="496" t="s">
        <v>6</v>
      </c>
      <c r="B2" s="495"/>
      <c r="C2" s="495"/>
      <c r="D2" s="495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</row>
    <row r="3" spans="1:26" ht="15.75" customHeight="1" x14ac:dyDescent="0.25">
      <c r="A3" s="378"/>
      <c r="B3" s="379">
        <v>45291</v>
      </c>
      <c r="C3" s="379">
        <v>45657</v>
      </c>
      <c r="D3" s="380" t="s">
        <v>616</v>
      </c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</row>
    <row r="4" spans="1:26" ht="15.75" customHeight="1" x14ac:dyDescent="0.25">
      <c r="A4" s="381" t="s">
        <v>50</v>
      </c>
      <c r="B4" s="374"/>
      <c r="C4" s="374"/>
      <c r="D4" s="37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</row>
    <row r="5" spans="1:26" ht="15.75" customHeight="1" x14ac:dyDescent="0.25">
      <c r="A5" s="367" t="s">
        <v>51</v>
      </c>
      <c r="B5" s="374"/>
      <c r="C5" s="374"/>
      <c r="D5" s="37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</row>
    <row r="6" spans="1:26" ht="15.75" customHeight="1" x14ac:dyDescent="0.25">
      <c r="A6" s="367" t="s">
        <v>617</v>
      </c>
      <c r="B6" s="371">
        <v>299151.5</v>
      </c>
      <c r="C6" s="371">
        <v>1257231.96</v>
      </c>
      <c r="D6" s="371">
        <v>994791.98</v>
      </c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</row>
    <row r="7" spans="1:26" ht="15.75" customHeight="1" x14ac:dyDescent="0.25">
      <c r="A7" s="367" t="s">
        <v>53</v>
      </c>
      <c r="B7" s="374"/>
      <c r="C7" s="374"/>
      <c r="D7" s="374">
        <v>2314943.3333333335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</row>
    <row r="8" spans="1:26" ht="15.75" customHeight="1" x14ac:dyDescent="0.25">
      <c r="A8" s="367" t="s">
        <v>618</v>
      </c>
      <c r="B8" s="373">
        <v>299151.5</v>
      </c>
      <c r="C8" s="373">
        <v>1257231.96</v>
      </c>
      <c r="D8" s="373">
        <v>3309735.3133333335</v>
      </c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</row>
    <row r="9" spans="1:26" ht="15.75" customHeight="1" x14ac:dyDescent="0.25">
      <c r="A9" s="367" t="s">
        <v>54</v>
      </c>
      <c r="B9" s="374">
        <v>1138.6199999999999</v>
      </c>
      <c r="C9" s="374">
        <v>1138.6199999999999</v>
      </c>
      <c r="D9" s="374">
        <v>4572.3999999999996</v>
      </c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</row>
    <row r="10" spans="1:26" ht="15.75" customHeight="1" x14ac:dyDescent="0.25">
      <c r="A10" s="367" t="s">
        <v>619</v>
      </c>
      <c r="B10" s="373">
        <v>300290.12</v>
      </c>
      <c r="C10" s="373">
        <v>1258370.58</v>
      </c>
      <c r="D10" s="373">
        <v>3314307.7133333334</v>
      </c>
      <c r="E10" s="364"/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</row>
    <row r="11" spans="1:26" ht="15.75" customHeight="1" x14ac:dyDescent="0.25">
      <c r="A11" s="367"/>
      <c r="B11" s="374"/>
      <c r="C11" s="374"/>
      <c r="D11" s="374"/>
      <c r="E11" s="364"/>
      <c r="F11" s="364"/>
      <c r="G11" s="364"/>
      <c r="H11" s="364"/>
      <c r="I11" s="364"/>
      <c r="J11" s="364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</row>
    <row r="12" spans="1:26" ht="15.75" customHeight="1" x14ac:dyDescent="0.25">
      <c r="A12" s="367" t="s">
        <v>67</v>
      </c>
      <c r="B12" s="374"/>
      <c r="C12" s="374"/>
      <c r="D12" s="374"/>
      <c r="E12" s="364"/>
      <c r="F12" s="364"/>
      <c r="G12" s="364"/>
      <c r="H12" s="364"/>
      <c r="I12" s="364"/>
      <c r="J12" s="364"/>
      <c r="K12" s="364"/>
      <c r="L12" s="364"/>
      <c r="M12" s="364"/>
      <c r="N12" s="364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</row>
    <row r="13" spans="1:26" ht="15.75" customHeight="1" x14ac:dyDescent="0.25">
      <c r="A13" s="381" t="s">
        <v>55</v>
      </c>
      <c r="B13" s="374"/>
      <c r="C13" s="374"/>
      <c r="D13" s="374"/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</row>
    <row r="14" spans="1:26" ht="15.75" customHeight="1" x14ac:dyDescent="0.25">
      <c r="A14" s="367" t="s">
        <v>56</v>
      </c>
      <c r="B14" s="374"/>
      <c r="C14" s="374"/>
      <c r="D14" s="37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</row>
    <row r="15" spans="1:26" ht="15.75" customHeight="1" x14ac:dyDescent="0.25">
      <c r="A15" s="367" t="s">
        <v>57</v>
      </c>
      <c r="B15" s="371">
        <v>66315.64</v>
      </c>
      <c r="C15" s="371">
        <v>82446.36</v>
      </c>
      <c r="D15" s="371">
        <v>65257.78</v>
      </c>
      <c r="E15" s="364"/>
      <c r="F15" s="364"/>
      <c r="G15" s="364"/>
      <c r="H15" s="364"/>
      <c r="I15" s="364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</row>
    <row r="16" spans="1:26" ht="15.75" customHeight="1" x14ac:dyDescent="0.25">
      <c r="A16" s="367" t="s">
        <v>58</v>
      </c>
      <c r="B16" s="374"/>
      <c r="C16" s="374">
        <v>355892</v>
      </c>
      <c r="D16" s="374">
        <v>530000</v>
      </c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</row>
    <row r="17" spans="1:26" ht="15.75" customHeight="1" x14ac:dyDescent="0.25">
      <c r="A17" s="367" t="s">
        <v>620</v>
      </c>
      <c r="B17" s="373">
        <v>66315.64</v>
      </c>
      <c r="C17" s="373">
        <v>438338.36</v>
      </c>
      <c r="D17" s="373">
        <v>595257.78</v>
      </c>
      <c r="E17" s="364"/>
      <c r="F17" s="364"/>
      <c r="G17" s="364"/>
      <c r="H17" s="364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</row>
    <row r="18" spans="1:26" ht="15.75" customHeight="1" x14ac:dyDescent="0.25">
      <c r="A18" s="367" t="s">
        <v>60</v>
      </c>
      <c r="B18" s="374"/>
      <c r="C18" s="374"/>
      <c r="D18" s="374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 spans="1:26" ht="15.75" customHeight="1" x14ac:dyDescent="0.25">
      <c r="A19" s="367" t="s">
        <v>621</v>
      </c>
      <c r="B19" s="371">
        <v>39432.74</v>
      </c>
      <c r="C19" s="371">
        <v>33186.83</v>
      </c>
      <c r="D19" s="374">
        <v>-1813.17</v>
      </c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</row>
    <row r="20" spans="1:26" ht="15.75" customHeight="1" x14ac:dyDescent="0.25">
      <c r="A20" s="367" t="s">
        <v>622</v>
      </c>
      <c r="B20" s="371">
        <v>82500</v>
      </c>
      <c r="C20" s="371">
        <v>82500</v>
      </c>
      <c r="D20" s="374">
        <v>82500</v>
      </c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</row>
    <row r="21" spans="1:26" ht="15.75" customHeight="1" x14ac:dyDescent="0.25">
      <c r="A21" s="367" t="s">
        <v>623</v>
      </c>
      <c r="B21" s="373">
        <v>121932.73999999999</v>
      </c>
      <c r="C21" s="373">
        <v>115686.83</v>
      </c>
      <c r="D21" s="373">
        <v>80686.83</v>
      </c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</row>
    <row r="22" spans="1:26" ht="15.75" customHeight="1" x14ac:dyDescent="0.25">
      <c r="A22" s="367" t="s">
        <v>624</v>
      </c>
      <c r="B22" s="373">
        <v>188248.38</v>
      </c>
      <c r="C22" s="373">
        <v>554025.18999999994</v>
      </c>
      <c r="D22" s="373">
        <v>675944.61</v>
      </c>
      <c r="E22" s="364"/>
      <c r="F22" s="364"/>
      <c r="G22" s="364"/>
      <c r="H22" s="364"/>
      <c r="I22" s="364"/>
      <c r="J22" s="364"/>
      <c r="K22" s="364"/>
      <c r="L22" s="364"/>
      <c r="M22" s="364"/>
      <c r="N22" s="364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</row>
    <row r="23" spans="1:26" ht="15.75" customHeight="1" x14ac:dyDescent="0.25">
      <c r="A23" s="381" t="s">
        <v>61</v>
      </c>
      <c r="B23" s="374"/>
      <c r="C23" s="374"/>
      <c r="D23" s="37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</row>
    <row r="24" spans="1:26" ht="15.75" customHeight="1" x14ac:dyDescent="0.25">
      <c r="A24" s="367" t="s">
        <v>62</v>
      </c>
      <c r="B24" s="371">
        <v>-82500</v>
      </c>
      <c r="C24" s="371"/>
      <c r="D24" s="371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</row>
    <row r="25" spans="1:26" ht="15.75" customHeight="1" x14ac:dyDescent="0.25">
      <c r="A25" s="367" t="s">
        <v>625</v>
      </c>
      <c r="B25" s="373">
        <v>23384.11</v>
      </c>
      <c r="C25" s="373">
        <v>429760.94</v>
      </c>
      <c r="D25" s="373">
        <v>524660.88</v>
      </c>
      <c r="E25" s="364"/>
      <c r="F25" s="364"/>
      <c r="G25" s="364"/>
      <c r="H25" s="364"/>
      <c r="I25" s="364"/>
      <c r="J25" s="364"/>
      <c r="K25" s="364"/>
      <c r="L25" s="364"/>
      <c r="M25" s="364"/>
      <c r="N25" s="364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</row>
    <row r="26" spans="1:26" ht="15.75" customHeight="1" x14ac:dyDescent="0.25">
      <c r="A26" s="367" t="s">
        <v>66</v>
      </c>
      <c r="B26" s="371">
        <v>121596.05</v>
      </c>
      <c r="C26" s="371">
        <v>171157.62999999989</v>
      </c>
      <c r="D26" s="371">
        <v>1134106.48</v>
      </c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70"/>
    </row>
    <row r="27" spans="1:26" ht="15.75" customHeight="1" x14ac:dyDescent="0.25">
      <c r="A27" s="367" t="s">
        <v>35</v>
      </c>
      <c r="B27" s="371">
        <v>49561.579999999893</v>
      </c>
      <c r="C27" s="371">
        <v>962948.85000000021</v>
      </c>
      <c r="D27" s="371">
        <v>2028917.7533333327</v>
      </c>
      <c r="E27" s="364"/>
      <c r="F27" s="382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70">
        <f>'P&amp;L Yearly'!F42</f>
        <v>0</v>
      </c>
    </row>
    <row r="28" spans="1:26" ht="15.75" customHeight="1" x14ac:dyDescent="0.25">
      <c r="A28" s="367" t="s">
        <v>626</v>
      </c>
      <c r="B28" s="373">
        <v>112041.7399999999</v>
      </c>
      <c r="C28" s="373">
        <v>704345.54</v>
      </c>
      <c r="D28" s="373">
        <v>2638363.3533333326</v>
      </c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</row>
    <row r="29" spans="1:26" ht="15.75" customHeight="1" x14ac:dyDescent="0.25">
      <c r="A29" s="367" t="s">
        <v>627</v>
      </c>
      <c r="B29" s="373">
        <v>300290.11999999988</v>
      </c>
      <c r="C29" s="373">
        <v>1258370.73</v>
      </c>
      <c r="D29" s="373">
        <v>3314307.9633333324</v>
      </c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</row>
    <row r="30" spans="1:26" ht="15.75" customHeight="1" x14ac:dyDescent="0.25">
      <c r="A30" s="364"/>
      <c r="B30" s="364"/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</row>
    <row r="31" spans="1:26" ht="15.75" customHeight="1" x14ac:dyDescent="0.25">
      <c r="A31" s="364"/>
      <c r="B31" s="364"/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</row>
    <row r="32" spans="1:26" ht="15.75" customHeight="1" x14ac:dyDescent="0.25">
      <c r="A32" s="364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64"/>
      <c r="Z32" s="364"/>
    </row>
    <row r="33" spans="1:26" ht="15.75" customHeight="1" x14ac:dyDescent="0.25">
      <c r="A33" s="364"/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</row>
    <row r="34" spans="1:26" ht="15.75" customHeight="1" x14ac:dyDescent="0.25">
      <c r="A34" s="364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  <c r="Z34" s="364"/>
    </row>
    <row r="35" spans="1:26" ht="15.75" customHeight="1" x14ac:dyDescent="0.25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4"/>
      <c r="P35" s="364"/>
      <c r="Q35" s="364"/>
      <c r="R35" s="364"/>
      <c r="S35" s="364"/>
      <c r="T35" s="364"/>
      <c r="U35" s="364"/>
      <c r="V35" s="364"/>
      <c r="W35" s="364"/>
      <c r="X35" s="364"/>
      <c r="Y35" s="364"/>
      <c r="Z35" s="364"/>
    </row>
    <row r="36" spans="1:26" ht="15.75" customHeight="1" x14ac:dyDescent="0.25">
      <c r="A36" s="364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</row>
    <row r="37" spans="1:26" ht="15.75" customHeight="1" x14ac:dyDescent="0.25">
      <c r="A37" s="364"/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</row>
    <row r="38" spans="1:26" ht="15.75" customHeight="1" x14ac:dyDescent="0.25">
      <c r="A38" s="364"/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</row>
    <row r="39" spans="1:26" ht="15.75" customHeight="1" x14ac:dyDescent="0.25">
      <c r="A39" s="364"/>
      <c r="B39" s="364"/>
      <c r="C39" s="364"/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</row>
    <row r="40" spans="1:26" ht="15.75" customHeight="1" x14ac:dyDescent="0.25">
      <c r="A40" s="364"/>
      <c r="B40" s="364"/>
      <c r="C40" s="364"/>
      <c r="D40" s="364"/>
      <c r="E40" s="364"/>
      <c r="F40" s="364"/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  <c r="W40" s="364"/>
      <c r="X40" s="364"/>
      <c r="Y40" s="364"/>
      <c r="Z40" s="364"/>
    </row>
    <row r="41" spans="1:26" ht="15.75" customHeight="1" x14ac:dyDescent="0.25">
      <c r="A41" s="364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  <c r="S41" s="364"/>
      <c r="T41" s="364"/>
      <c r="U41" s="364"/>
      <c r="V41" s="364"/>
      <c r="W41" s="364"/>
      <c r="X41" s="364"/>
      <c r="Y41" s="364"/>
      <c r="Z41" s="364"/>
    </row>
    <row r="42" spans="1:26" ht="15.75" customHeight="1" x14ac:dyDescent="0.25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  <c r="Z42" s="364"/>
    </row>
    <row r="43" spans="1:26" ht="15.75" customHeight="1" x14ac:dyDescent="0.25">
      <c r="A43" s="364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</row>
    <row r="44" spans="1:26" ht="15.75" customHeight="1" x14ac:dyDescent="0.25">
      <c r="A44" s="364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</row>
    <row r="45" spans="1:26" ht="15.75" customHeight="1" x14ac:dyDescent="0.25">
      <c r="A45" s="364"/>
      <c r="B45" s="364"/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64"/>
      <c r="P45" s="364"/>
      <c r="Q45" s="364"/>
      <c r="R45" s="364"/>
      <c r="S45" s="364"/>
      <c r="T45" s="364"/>
      <c r="U45" s="364"/>
      <c r="V45" s="364"/>
      <c r="W45" s="364"/>
      <c r="X45" s="364"/>
      <c r="Y45" s="364"/>
      <c r="Z45" s="364"/>
    </row>
    <row r="46" spans="1:26" ht="15.75" customHeight="1" x14ac:dyDescent="0.25">
      <c r="A46" s="364"/>
      <c r="B46" s="364"/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  <c r="S46" s="364"/>
      <c r="T46" s="364"/>
      <c r="U46" s="364"/>
      <c r="V46" s="364"/>
      <c r="W46" s="364"/>
      <c r="X46" s="364"/>
      <c r="Y46" s="364"/>
      <c r="Z46" s="364"/>
    </row>
    <row r="47" spans="1:26" ht="15.75" customHeight="1" x14ac:dyDescent="0.25">
      <c r="A47" s="364"/>
      <c r="B47" s="364"/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</row>
    <row r="48" spans="1:26" ht="15.75" customHeight="1" x14ac:dyDescent="0.25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</row>
    <row r="49" spans="1:26" ht="15.75" customHeight="1" x14ac:dyDescent="0.25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</row>
    <row r="50" spans="1:26" ht="15.75" customHeight="1" x14ac:dyDescent="0.25">
      <c r="A50" s="364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4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</row>
    <row r="51" spans="1:26" ht="15.75" customHeight="1" x14ac:dyDescent="0.25">
      <c r="A51" s="364"/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</row>
    <row r="52" spans="1:26" ht="15.75" customHeight="1" x14ac:dyDescent="0.25">
      <c r="A52" s="364"/>
      <c r="B52" s="364"/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</row>
    <row r="53" spans="1:26" ht="15.75" customHeight="1" x14ac:dyDescent="0.25">
      <c r="A53" s="364"/>
      <c r="B53" s="364"/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  <c r="S53" s="364"/>
      <c r="T53" s="364"/>
      <c r="U53" s="364"/>
      <c r="V53" s="364"/>
      <c r="W53" s="364"/>
      <c r="X53" s="364"/>
      <c r="Y53" s="364"/>
      <c r="Z53" s="364"/>
    </row>
    <row r="54" spans="1:26" ht="15.75" customHeight="1" x14ac:dyDescent="0.25">
      <c r="A54" s="364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  <c r="S54" s="364"/>
      <c r="T54" s="364"/>
      <c r="U54" s="364"/>
      <c r="V54" s="364"/>
      <c r="W54" s="364"/>
      <c r="X54" s="364"/>
      <c r="Y54" s="364"/>
      <c r="Z54" s="364"/>
    </row>
    <row r="55" spans="1:26" ht="15.75" customHeight="1" x14ac:dyDescent="0.25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  <c r="P55" s="364"/>
      <c r="Q55" s="364"/>
      <c r="R55" s="364"/>
      <c r="S55" s="364"/>
      <c r="T55" s="364"/>
      <c r="U55" s="364"/>
      <c r="V55" s="364"/>
      <c r="W55" s="364"/>
      <c r="X55" s="364"/>
      <c r="Y55" s="364"/>
      <c r="Z55" s="364"/>
    </row>
    <row r="56" spans="1:26" ht="15.75" customHeight="1" x14ac:dyDescent="0.25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</row>
    <row r="57" spans="1:26" ht="15.75" customHeight="1" x14ac:dyDescent="0.25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</row>
    <row r="58" spans="1:26" ht="15.75" customHeight="1" x14ac:dyDescent="0.25">
      <c r="A58" s="364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</row>
    <row r="59" spans="1:26" ht="15.75" customHeight="1" x14ac:dyDescent="0.25">
      <c r="A59" s="364"/>
      <c r="B59" s="364"/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4"/>
      <c r="R59" s="364"/>
      <c r="S59" s="364"/>
      <c r="T59" s="364"/>
      <c r="U59" s="364"/>
      <c r="V59" s="364"/>
      <c r="W59" s="364"/>
      <c r="X59" s="364"/>
      <c r="Y59" s="364"/>
      <c r="Z59" s="364"/>
    </row>
    <row r="60" spans="1:26" ht="15.75" customHeight="1" x14ac:dyDescent="0.25">
      <c r="A60" s="364"/>
      <c r="B60" s="364"/>
      <c r="C60" s="364"/>
      <c r="D60" s="364"/>
      <c r="E60" s="364"/>
      <c r="F60" s="364"/>
      <c r="G60" s="364"/>
      <c r="H60" s="364"/>
      <c r="I60" s="364"/>
      <c r="J60" s="364"/>
      <c r="K60" s="364"/>
      <c r="L60" s="364"/>
      <c r="M60" s="364"/>
      <c r="N60" s="364"/>
      <c r="O60" s="364"/>
      <c r="P60" s="364"/>
      <c r="Q60" s="364"/>
      <c r="R60" s="364"/>
      <c r="S60" s="364"/>
      <c r="T60" s="364"/>
      <c r="U60" s="364"/>
      <c r="V60" s="364"/>
      <c r="W60" s="364"/>
      <c r="X60" s="364"/>
      <c r="Y60" s="364"/>
      <c r="Z60" s="364"/>
    </row>
    <row r="61" spans="1:26" ht="15.75" customHeight="1" x14ac:dyDescent="0.25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4"/>
      <c r="P61" s="364"/>
      <c r="Q61" s="364"/>
      <c r="R61" s="364"/>
      <c r="S61" s="364"/>
      <c r="T61" s="364"/>
      <c r="U61" s="364"/>
      <c r="V61" s="364"/>
      <c r="W61" s="364"/>
      <c r="X61" s="364"/>
      <c r="Y61" s="364"/>
      <c r="Z61" s="364"/>
    </row>
    <row r="62" spans="1:26" ht="15.75" customHeight="1" x14ac:dyDescent="0.25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4"/>
      <c r="P62" s="364"/>
      <c r="Q62" s="364"/>
      <c r="R62" s="364"/>
      <c r="S62" s="364"/>
      <c r="T62" s="364"/>
      <c r="U62" s="364"/>
      <c r="V62" s="364"/>
      <c r="W62" s="364"/>
      <c r="X62" s="364"/>
      <c r="Y62" s="364"/>
      <c r="Z62" s="364"/>
    </row>
    <row r="63" spans="1:26" ht="15.75" customHeight="1" x14ac:dyDescent="0.25">
      <c r="A63" s="364"/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</row>
    <row r="64" spans="1:26" ht="15.75" customHeight="1" x14ac:dyDescent="0.25">
      <c r="A64" s="364"/>
      <c r="B64" s="364"/>
      <c r="C64" s="364"/>
      <c r="D64" s="364"/>
      <c r="E64" s="364"/>
      <c r="F64" s="364"/>
      <c r="G64" s="364"/>
      <c r="H64" s="364"/>
      <c r="I64" s="364"/>
      <c r="J64" s="364"/>
      <c r="K64" s="364"/>
      <c r="L64" s="364"/>
      <c r="M64" s="364"/>
      <c r="N64" s="364"/>
      <c r="O64" s="364"/>
      <c r="P64" s="364"/>
      <c r="Q64" s="364"/>
      <c r="R64" s="364"/>
      <c r="S64" s="364"/>
      <c r="T64" s="364"/>
      <c r="U64" s="364"/>
      <c r="V64" s="364"/>
      <c r="W64" s="364"/>
      <c r="X64" s="364"/>
      <c r="Y64" s="364"/>
      <c r="Z64" s="364"/>
    </row>
    <row r="65" spans="1:26" ht="15.75" customHeight="1" x14ac:dyDescent="0.25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  <c r="S65" s="364"/>
      <c r="T65" s="364"/>
      <c r="U65" s="364"/>
      <c r="V65" s="364"/>
      <c r="W65" s="364"/>
      <c r="X65" s="364"/>
      <c r="Y65" s="364"/>
      <c r="Z65" s="364"/>
    </row>
    <row r="66" spans="1:26" ht="15.75" customHeight="1" x14ac:dyDescent="0.25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</row>
    <row r="67" spans="1:26" ht="15.75" customHeight="1" x14ac:dyDescent="0.25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4"/>
      <c r="P67" s="364"/>
      <c r="Q67" s="364"/>
      <c r="R67" s="364"/>
      <c r="S67" s="364"/>
      <c r="T67" s="364"/>
      <c r="U67" s="364"/>
      <c r="V67" s="364"/>
      <c r="W67" s="364"/>
      <c r="X67" s="364"/>
      <c r="Y67" s="364"/>
      <c r="Z67" s="364"/>
    </row>
    <row r="68" spans="1:26" ht="15.75" customHeight="1" x14ac:dyDescent="0.25">
      <c r="A68" s="364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</row>
    <row r="69" spans="1:26" ht="15.75" customHeight="1" x14ac:dyDescent="0.25">
      <c r="A69" s="364"/>
      <c r="B69" s="364"/>
      <c r="C69" s="364"/>
      <c r="D69" s="364"/>
      <c r="E69" s="364"/>
      <c r="F69" s="364"/>
      <c r="G69" s="364"/>
      <c r="H69" s="364"/>
      <c r="I69" s="364"/>
      <c r="J69" s="364"/>
      <c r="K69" s="364"/>
      <c r="L69" s="364"/>
      <c r="M69" s="364"/>
      <c r="N69" s="364"/>
      <c r="O69" s="364"/>
      <c r="P69" s="364"/>
      <c r="Q69" s="364"/>
      <c r="R69" s="364"/>
      <c r="S69" s="364"/>
      <c r="T69" s="364"/>
      <c r="U69" s="364"/>
      <c r="V69" s="364"/>
      <c r="W69" s="364"/>
      <c r="X69" s="364"/>
      <c r="Y69" s="364"/>
      <c r="Z69" s="364"/>
    </row>
    <row r="70" spans="1:26" ht="15.75" customHeight="1" x14ac:dyDescent="0.25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</row>
    <row r="71" spans="1:26" ht="15.75" customHeight="1" x14ac:dyDescent="0.25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4"/>
      <c r="P71" s="364"/>
      <c r="Q71" s="364"/>
      <c r="R71" s="364"/>
      <c r="S71" s="364"/>
      <c r="T71" s="364"/>
      <c r="U71" s="364"/>
      <c r="V71" s="364"/>
      <c r="W71" s="364"/>
      <c r="X71" s="364"/>
      <c r="Y71" s="364"/>
      <c r="Z71" s="364"/>
    </row>
    <row r="72" spans="1:26" ht="15.75" customHeight="1" x14ac:dyDescent="0.25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4"/>
      <c r="P72" s="364"/>
      <c r="Q72" s="364"/>
      <c r="R72" s="364"/>
      <c r="S72" s="364"/>
      <c r="T72" s="364"/>
      <c r="U72" s="364"/>
      <c r="V72" s="364"/>
      <c r="W72" s="364"/>
      <c r="X72" s="364"/>
      <c r="Y72" s="364"/>
      <c r="Z72" s="364"/>
    </row>
    <row r="73" spans="1:26" ht="15.75" customHeight="1" x14ac:dyDescent="0.25">
      <c r="A73" s="364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</row>
    <row r="74" spans="1:26" ht="15.75" customHeight="1" x14ac:dyDescent="0.25">
      <c r="A74" s="364"/>
      <c r="B74" s="364"/>
      <c r="C74" s="364"/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4"/>
      <c r="Q74" s="364"/>
      <c r="R74" s="364"/>
      <c r="S74" s="364"/>
      <c r="T74" s="364"/>
      <c r="U74" s="364"/>
      <c r="V74" s="364"/>
      <c r="W74" s="364"/>
      <c r="X74" s="364"/>
      <c r="Y74" s="364"/>
      <c r="Z74" s="364"/>
    </row>
    <row r="75" spans="1:26" ht="15.75" customHeight="1" x14ac:dyDescent="0.25">
      <c r="A75" s="364"/>
      <c r="B75" s="364"/>
      <c r="C75" s="364"/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4"/>
      <c r="Q75" s="364"/>
      <c r="R75" s="364"/>
      <c r="S75" s="364"/>
      <c r="T75" s="364"/>
      <c r="U75" s="364"/>
      <c r="V75" s="364"/>
      <c r="W75" s="364"/>
      <c r="X75" s="364"/>
      <c r="Y75" s="364"/>
      <c r="Z75" s="364"/>
    </row>
    <row r="76" spans="1:26" ht="15.75" customHeight="1" x14ac:dyDescent="0.25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4"/>
      <c r="P76" s="364"/>
      <c r="Q76" s="364"/>
      <c r="R76" s="364"/>
      <c r="S76" s="364"/>
      <c r="T76" s="364"/>
      <c r="U76" s="364"/>
      <c r="V76" s="364"/>
      <c r="W76" s="364"/>
      <c r="X76" s="364"/>
      <c r="Y76" s="364"/>
      <c r="Z76" s="364"/>
    </row>
    <row r="77" spans="1:26" ht="15.75" customHeight="1" x14ac:dyDescent="0.25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4"/>
      <c r="P77" s="364"/>
      <c r="Q77" s="364"/>
      <c r="R77" s="364"/>
      <c r="S77" s="364"/>
      <c r="T77" s="364"/>
      <c r="U77" s="364"/>
      <c r="V77" s="364"/>
      <c r="W77" s="364"/>
      <c r="X77" s="364"/>
      <c r="Y77" s="364"/>
      <c r="Z77" s="364"/>
    </row>
    <row r="78" spans="1:26" ht="15.75" customHeight="1" x14ac:dyDescent="0.25">
      <c r="A78" s="364"/>
      <c r="B78" s="364"/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4"/>
      <c r="P78" s="364"/>
      <c r="Q78" s="364"/>
      <c r="R78" s="364"/>
      <c r="S78" s="364"/>
      <c r="T78" s="364"/>
      <c r="U78" s="364"/>
      <c r="V78" s="364"/>
      <c r="W78" s="364"/>
      <c r="X78" s="364"/>
      <c r="Y78" s="364"/>
      <c r="Z78" s="364"/>
    </row>
    <row r="79" spans="1:26" ht="15.75" customHeight="1" x14ac:dyDescent="0.25">
      <c r="A79" s="364"/>
      <c r="B79" s="364"/>
      <c r="C79" s="364"/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4"/>
      <c r="Q79" s="364"/>
      <c r="R79" s="364"/>
      <c r="S79" s="364"/>
      <c r="T79" s="364"/>
      <c r="U79" s="364"/>
      <c r="V79" s="364"/>
      <c r="W79" s="364"/>
      <c r="X79" s="364"/>
      <c r="Y79" s="364"/>
      <c r="Z79" s="364"/>
    </row>
    <row r="80" spans="1:26" ht="15.75" customHeight="1" x14ac:dyDescent="0.25">
      <c r="A80" s="364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4"/>
      <c r="R80" s="364"/>
      <c r="S80" s="364"/>
      <c r="T80" s="364"/>
      <c r="U80" s="364"/>
      <c r="V80" s="364"/>
      <c r="W80" s="364"/>
      <c r="X80" s="364"/>
      <c r="Y80" s="364"/>
      <c r="Z80" s="364"/>
    </row>
    <row r="81" spans="1:26" ht="15.75" customHeight="1" x14ac:dyDescent="0.25">
      <c r="A81" s="364"/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4"/>
      <c r="Q81" s="364"/>
      <c r="R81" s="364"/>
      <c r="S81" s="364"/>
      <c r="T81" s="364"/>
      <c r="U81" s="364"/>
      <c r="V81" s="364"/>
      <c r="W81" s="364"/>
      <c r="X81" s="364"/>
      <c r="Y81" s="364"/>
      <c r="Z81" s="364"/>
    </row>
    <row r="82" spans="1:26" ht="15.75" customHeight="1" x14ac:dyDescent="0.25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</row>
    <row r="83" spans="1:26" ht="15.75" customHeight="1" x14ac:dyDescent="0.25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</row>
    <row r="84" spans="1:26" ht="15.75" customHeight="1" x14ac:dyDescent="0.25">
      <c r="A84" s="364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4"/>
      <c r="P84" s="364"/>
      <c r="Q84" s="364"/>
      <c r="R84" s="364"/>
      <c r="S84" s="364"/>
      <c r="T84" s="364"/>
      <c r="U84" s="364"/>
      <c r="V84" s="364"/>
      <c r="W84" s="364"/>
      <c r="X84" s="364"/>
      <c r="Y84" s="364"/>
      <c r="Z84" s="364"/>
    </row>
    <row r="85" spans="1:26" ht="15.75" customHeight="1" x14ac:dyDescent="0.25">
      <c r="A85" s="364"/>
      <c r="B85" s="364"/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4"/>
      <c r="Q85" s="364"/>
      <c r="R85" s="364"/>
      <c r="S85" s="364"/>
      <c r="T85" s="364"/>
      <c r="U85" s="364"/>
      <c r="V85" s="364"/>
      <c r="W85" s="364"/>
      <c r="X85" s="364"/>
      <c r="Y85" s="364"/>
      <c r="Z85" s="364"/>
    </row>
    <row r="86" spans="1:26" ht="15.75" customHeight="1" x14ac:dyDescent="0.25">
      <c r="A86" s="364"/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4"/>
      <c r="Q86" s="364"/>
      <c r="R86" s="364"/>
      <c r="S86" s="364"/>
      <c r="T86" s="364"/>
      <c r="U86" s="364"/>
      <c r="V86" s="364"/>
      <c r="W86" s="364"/>
      <c r="X86" s="364"/>
      <c r="Y86" s="364"/>
      <c r="Z86" s="364"/>
    </row>
    <row r="87" spans="1:26" ht="15.75" customHeight="1" x14ac:dyDescent="0.25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4"/>
      <c r="Q87" s="364"/>
      <c r="R87" s="364"/>
      <c r="S87" s="364"/>
      <c r="T87" s="364"/>
      <c r="U87" s="364"/>
      <c r="V87" s="364"/>
      <c r="W87" s="364"/>
      <c r="X87" s="364"/>
      <c r="Y87" s="364"/>
      <c r="Z87" s="364"/>
    </row>
    <row r="88" spans="1:26" ht="15.75" customHeight="1" x14ac:dyDescent="0.25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</row>
    <row r="89" spans="1:26" ht="15.75" customHeight="1" x14ac:dyDescent="0.25">
      <c r="A89" s="364"/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</row>
    <row r="90" spans="1:26" ht="15.75" customHeight="1" x14ac:dyDescent="0.25">
      <c r="A90" s="364"/>
      <c r="B90" s="364"/>
      <c r="C90" s="364"/>
      <c r="D90" s="364"/>
      <c r="E90" s="364"/>
      <c r="F90" s="364"/>
      <c r="G90" s="364"/>
      <c r="H90" s="364"/>
      <c r="I90" s="364"/>
      <c r="J90" s="364"/>
      <c r="K90" s="364"/>
      <c r="L90" s="364"/>
      <c r="M90" s="364"/>
      <c r="N90" s="364"/>
      <c r="O90" s="364"/>
      <c r="P90" s="364"/>
      <c r="Q90" s="364"/>
      <c r="R90" s="364"/>
      <c r="S90" s="364"/>
      <c r="T90" s="364"/>
      <c r="U90" s="364"/>
      <c r="V90" s="364"/>
      <c r="W90" s="364"/>
      <c r="X90" s="364"/>
      <c r="Y90" s="364"/>
      <c r="Z90" s="364"/>
    </row>
    <row r="91" spans="1:26" ht="15.75" customHeight="1" x14ac:dyDescent="0.25">
      <c r="A91" s="364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4"/>
      <c r="P91" s="364"/>
      <c r="Q91" s="364"/>
      <c r="R91" s="364"/>
      <c r="S91" s="364"/>
      <c r="T91" s="364"/>
      <c r="U91" s="364"/>
      <c r="V91" s="364"/>
      <c r="W91" s="364"/>
      <c r="X91" s="364"/>
      <c r="Y91" s="364"/>
      <c r="Z91" s="364"/>
    </row>
    <row r="92" spans="1:26" ht="15.75" customHeight="1" x14ac:dyDescent="0.25">
      <c r="A92" s="364"/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</row>
    <row r="93" spans="1:26" ht="15.75" customHeight="1" x14ac:dyDescent="0.25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</row>
    <row r="94" spans="1:26" ht="15.75" customHeight="1" x14ac:dyDescent="0.25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</row>
    <row r="95" spans="1:26" ht="15.75" customHeight="1" x14ac:dyDescent="0.25">
      <c r="A95" s="364"/>
      <c r="B95" s="364"/>
      <c r="C95" s="364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4"/>
      <c r="P95" s="364"/>
      <c r="Q95" s="364"/>
      <c r="R95" s="364"/>
      <c r="S95" s="364"/>
      <c r="T95" s="364"/>
      <c r="U95" s="364"/>
      <c r="V95" s="364"/>
      <c r="W95" s="364"/>
      <c r="X95" s="364"/>
      <c r="Y95" s="364"/>
      <c r="Z95" s="364"/>
    </row>
    <row r="96" spans="1:26" ht="15.75" customHeight="1" x14ac:dyDescent="0.25">
      <c r="A96" s="364"/>
      <c r="B96" s="364"/>
      <c r="C96" s="364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4"/>
      <c r="Q96" s="364"/>
      <c r="R96" s="364"/>
      <c r="S96" s="364"/>
      <c r="T96" s="364"/>
      <c r="U96" s="364"/>
      <c r="V96" s="364"/>
      <c r="W96" s="364"/>
      <c r="X96" s="364"/>
      <c r="Y96" s="364"/>
      <c r="Z96" s="364"/>
    </row>
    <row r="97" spans="1:26" ht="15.75" customHeight="1" x14ac:dyDescent="0.25">
      <c r="A97" s="364"/>
      <c r="B97" s="364"/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4"/>
      <c r="P97" s="364"/>
      <c r="Q97" s="364"/>
      <c r="R97" s="364"/>
      <c r="S97" s="364"/>
      <c r="T97" s="364"/>
      <c r="U97" s="364"/>
      <c r="V97" s="364"/>
      <c r="W97" s="364"/>
      <c r="X97" s="364"/>
      <c r="Y97" s="364"/>
      <c r="Z97" s="364"/>
    </row>
    <row r="98" spans="1:26" ht="15.75" customHeight="1" x14ac:dyDescent="0.25">
      <c r="A98" s="364"/>
      <c r="B98" s="364"/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4"/>
      <c r="P98" s="364"/>
      <c r="Q98" s="364"/>
      <c r="R98" s="364"/>
      <c r="S98" s="364"/>
      <c r="T98" s="364"/>
      <c r="U98" s="364"/>
      <c r="V98" s="364"/>
      <c r="W98" s="364"/>
      <c r="X98" s="364"/>
      <c r="Y98" s="364"/>
      <c r="Z98" s="364"/>
    </row>
    <row r="99" spans="1:26" ht="15.75" customHeight="1" x14ac:dyDescent="0.25">
      <c r="A99" s="364"/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</row>
    <row r="100" spans="1:26" ht="15.75" customHeight="1" x14ac:dyDescent="0.25">
      <c r="A100" s="364"/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</row>
    <row r="101" spans="1:26" ht="15.75" customHeight="1" x14ac:dyDescent="0.25">
      <c r="A101" s="364"/>
      <c r="B101" s="364"/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</row>
    <row r="102" spans="1:26" ht="15.75" customHeight="1" x14ac:dyDescent="0.25">
      <c r="A102" s="364"/>
      <c r="B102" s="364"/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</row>
    <row r="103" spans="1:26" ht="15.75" customHeight="1" x14ac:dyDescent="0.25">
      <c r="A103" s="364"/>
      <c r="B103" s="364"/>
      <c r="C103" s="364"/>
      <c r="D103" s="364"/>
      <c r="E103" s="364"/>
      <c r="F103" s="364"/>
      <c r="G103" s="364"/>
      <c r="H103" s="364"/>
      <c r="I103" s="364"/>
      <c r="J103" s="364"/>
      <c r="K103" s="364"/>
      <c r="L103" s="364"/>
      <c r="M103" s="364"/>
      <c r="N103" s="364"/>
      <c r="O103" s="364"/>
      <c r="P103" s="364"/>
      <c r="Q103" s="364"/>
      <c r="R103" s="364"/>
      <c r="S103" s="364"/>
      <c r="T103" s="364"/>
      <c r="U103" s="364"/>
      <c r="V103" s="364"/>
      <c r="W103" s="364"/>
      <c r="X103" s="364"/>
      <c r="Y103" s="364"/>
      <c r="Z103" s="364"/>
    </row>
    <row r="104" spans="1:26" ht="15.75" customHeight="1" x14ac:dyDescent="0.25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4"/>
      <c r="P104" s="364"/>
      <c r="Q104" s="364"/>
      <c r="R104" s="364"/>
      <c r="S104" s="364"/>
      <c r="T104" s="364"/>
      <c r="U104" s="364"/>
      <c r="V104" s="364"/>
      <c r="W104" s="364"/>
      <c r="X104" s="364"/>
      <c r="Y104" s="364"/>
      <c r="Z104" s="364"/>
    </row>
    <row r="105" spans="1:26" ht="15.75" customHeight="1" x14ac:dyDescent="0.25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4"/>
      <c r="P105" s="364"/>
      <c r="Q105" s="364"/>
      <c r="R105" s="364"/>
      <c r="S105" s="364"/>
      <c r="T105" s="364"/>
      <c r="U105" s="364"/>
      <c r="V105" s="364"/>
      <c r="W105" s="364"/>
      <c r="X105" s="364"/>
      <c r="Y105" s="364"/>
      <c r="Z105" s="364"/>
    </row>
    <row r="106" spans="1:26" ht="15.75" customHeight="1" x14ac:dyDescent="0.25">
      <c r="A106" s="364"/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4"/>
      <c r="Q106" s="364"/>
      <c r="R106" s="364"/>
      <c r="S106" s="364"/>
      <c r="T106" s="364"/>
      <c r="U106" s="364"/>
      <c r="V106" s="364"/>
      <c r="W106" s="364"/>
      <c r="X106" s="364"/>
      <c r="Y106" s="364"/>
      <c r="Z106" s="364"/>
    </row>
    <row r="107" spans="1:26" ht="15.75" customHeight="1" x14ac:dyDescent="0.25">
      <c r="A107" s="364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4"/>
      <c r="P107" s="364"/>
      <c r="Q107" s="364"/>
      <c r="R107" s="364"/>
      <c r="S107" s="364"/>
      <c r="T107" s="364"/>
      <c r="U107" s="364"/>
      <c r="V107" s="364"/>
      <c r="W107" s="364"/>
      <c r="X107" s="364"/>
      <c r="Y107" s="364"/>
      <c r="Z107" s="364"/>
    </row>
    <row r="108" spans="1:26" ht="15.75" customHeight="1" x14ac:dyDescent="0.25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4"/>
      <c r="P108" s="364"/>
      <c r="Q108" s="364"/>
      <c r="R108" s="364"/>
      <c r="S108" s="364"/>
      <c r="T108" s="364"/>
      <c r="U108" s="364"/>
      <c r="V108" s="364"/>
      <c r="W108" s="364"/>
      <c r="X108" s="364"/>
      <c r="Y108" s="364"/>
      <c r="Z108" s="364"/>
    </row>
    <row r="109" spans="1:26" ht="15.75" customHeight="1" x14ac:dyDescent="0.25">
      <c r="A109" s="364"/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</row>
    <row r="110" spans="1:26" ht="15.75" customHeight="1" x14ac:dyDescent="0.25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</row>
    <row r="111" spans="1:26" ht="15.75" customHeight="1" x14ac:dyDescent="0.25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4"/>
      <c r="P111" s="364"/>
      <c r="Q111" s="364"/>
      <c r="R111" s="364"/>
      <c r="S111" s="364"/>
      <c r="T111" s="364"/>
      <c r="U111" s="364"/>
      <c r="V111" s="364"/>
      <c r="W111" s="364"/>
      <c r="X111" s="364"/>
      <c r="Y111" s="364"/>
      <c r="Z111" s="364"/>
    </row>
    <row r="112" spans="1:26" ht="15.75" customHeight="1" x14ac:dyDescent="0.25">
      <c r="A112" s="364"/>
      <c r="B112" s="364"/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4"/>
      <c r="P112" s="364"/>
      <c r="Q112" s="364"/>
      <c r="R112" s="364"/>
      <c r="S112" s="364"/>
      <c r="T112" s="364"/>
      <c r="U112" s="364"/>
      <c r="V112" s="364"/>
      <c r="W112" s="364"/>
      <c r="X112" s="364"/>
      <c r="Y112" s="364"/>
      <c r="Z112" s="364"/>
    </row>
    <row r="113" spans="1:26" ht="15.75" customHeight="1" x14ac:dyDescent="0.25">
      <c r="A113" s="364"/>
      <c r="B113" s="364"/>
      <c r="C113" s="36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  <c r="O113" s="364"/>
      <c r="P113" s="364"/>
      <c r="Q113" s="364"/>
      <c r="R113" s="364"/>
      <c r="S113" s="364"/>
      <c r="T113" s="364"/>
      <c r="U113" s="364"/>
      <c r="V113" s="364"/>
      <c r="W113" s="364"/>
      <c r="X113" s="364"/>
      <c r="Y113" s="364"/>
      <c r="Z113" s="364"/>
    </row>
    <row r="114" spans="1:26" ht="15.75" customHeight="1" x14ac:dyDescent="0.25">
      <c r="A114" s="364"/>
      <c r="B114" s="364"/>
      <c r="C114" s="364"/>
      <c r="D114" s="364"/>
      <c r="E114" s="364"/>
      <c r="F114" s="364"/>
      <c r="G114" s="364"/>
      <c r="H114" s="364"/>
      <c r="I114" s="364"/>
      <c r="J114" s="364"/>
      <c r="K114" s="364"/>
      <c r="L114" s="364"/>
      <c r="M114" s="364"/>
      <c r="N114" s="364"/>
      <c r="O114" s="364"/>
      <c r="P114" s="364"/>
      <c r="Q114" s="364"/>
      <c r="R114" s="364"/>
      <c r="S114" s="364"/>
      <c r="T114" s="364"/>
      <c r="U114" s="364"/>
      <c r="V114" s="364"/>
      <c r="W114" s="364"/>
      <c r="X114" s="364"/>
      <c r="Y114" s="364"/>
      <c r="Z114" s="364"/>
    </row>
    <row r="115" spans="1:26" ht="15.75" customHeight="1" x14ac:dyDescent="0.25">
      <c r="A115" s="364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4"/>
      <c r="P115" s="364"/>
      <c r="Q115" s="364"/>
      <c r="R115" s="364"/>
      <c r="S115" s="364"/>
      <c r="T115" s="364"/>
      <c r="U115" s="364"/>
      <c r="V115" s="364"/>
      <c r="W115" s="364"/>
      <c r="X115" s="364"/>
      <c r="Y115" s="364"/>
      <c r="Z115" s="364"/>
    </row>
    <row r="116" spans="1:26" ht="15.75" customHeight="1" x14ac:dyDescent="0.25">
      <c r="A116" s="364"/>
      <c r="B116" s="364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4"/>
      <c r="P116" s="364"/>
      <c r="Q116" s="364"/>
      <c r="R116" s="364"/>
      <c r="S116" s="364"/>
      <c r="T116" s="364"/>
      <c r="U116" s="364"/>
      <c r="V116" s="364"/>
      <c r="W116" s="364"/>
      <c r="X116" s="364"/>
      <c r="Y116" s="364"/>
      <c r="Z116" s="364"/>
    </row>
    <row r="117" spans="1:26" ht="15.75" customHeight="1" x14ac:dyDescent="0.25">
      <c r="A117" s="364"/>
      <c r="B117" s="364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</row>
    <row r="118" spans="1:26" ht="15.75" customHeight="1" x14ac:dyDescent="0.25">
      <c r="A118" s="364"/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</row>
    <row r="119" spans="1:26" ht="15.75" customHeight="1" x14ac:dyDescent="0.25">
      <c r="A119" s="364"/>
      <c r="B119" s="364"/>
      <c r="C119" s="364"/>
      <c r="D119" s="364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4"/>
      <c r="U119" s="364"/>
      <c r="V119" s="364"/>
      <c r="W119" s="364"/>
      <c r="X119" s="364"/>
      <c r="Y119" s="364"/>
      <c r="Z119" s="364"/>
    </row>
    <row r="120" spans="1:26" ht="15.75" customHeight="1" x14ac:dyDescent="0.25">
      <c r="A120" s="364"/>
      <c r="B120" s="364"/>
      <c r="C120" s="364"/>
      <c r="D120" s="364"/>
      <c r="E120" s="364"/>
      <c r="F120" s="364"/>
      <c r="G120" s="364"/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4"/>
      <c r="U120" s="364"/>
      <c r="V120" s="364"/>
      <c r="W120" s="364"/>
      <c r="X120" s="364"/>
      <c r="Y120" s="364"/>
      <c r="Z120" s="364"/>
    </row>
    <row r="121" spans="1:26" ht="15.75" customHeight="1" x14ac:dyDescent="0.25">
      <c r="A121" s="364"/>
      <c r="B121" s="364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</row>
    <row r="122" spans="1:26" ht="15.75" customHeight="1" x14ac:dyDescent="0.25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4"/>
      <c r="S122" s="364"/>
      <c r="T122" s="364"/>
      <c r="U122" s="364"/>
      <c r="V122" s="364"/>
      <c r="W122" s="364"/>
      <c r="X122" s="364"/>
      <c r="Y122" s="364"/>
      <c r="Z122" s="364"/>
    </row>
    <row r="123" spans="1:26" ht="15.75" customHeight="1" x14ac:dyDescent="0.25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4"/>
      <c r="P123" s="364"/>
      <c r="Q123" s="364"/>
      <c r="R123" s="364"/>
      <c r="S123" s="364"/>
      <c r="T123" s="364"/>
      <c r="U123" s="364"/>
      <c r="V123" s="364"/>
      <c r="W123" s="364"/>
      <c r="X123" s="364"/>
      <c r="Y123" s="364"/>
      <c r="Z123" s="364"/>
    </row>
    <row r="124" spans="1:26" ht="15.75" customHeight="1" x14ac:dyDescent="0.25">
      <c r="A124" s="364"/>
      <c r="B124" s="364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4"/>
      <c r="P124" s="364"/>
      <c r="Q124" s="364"/>
      <c r="R124" s="364"/>
      <c r="S124" s="364"/>
      <c r="T124" s="364"/>
      <c r="U124" s="364"/>
      <c r="V124" s="364"/>
      <c r="W124" s="364"/>
      <c r="X124" s="364"/>
      <c r="Y124" s="364"/>
      <c r="Z124" s="364"/>
    </row>
    <row r="125" spans="1:26" ht="15.75" customHeight="1" x14ac:dyDescent="0.25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4"/>
      <c r="P125" s="364"/>
      <c r="Q125" s="364"/>
      <c r="R125" s="364"/>
      <c r="S125" s="364"/>
      <c r="T125" s="364"/>
      <c r="U125" s="364"/>
      <c r="V125" s="364"/>
      <c r="W125" s="364"/>
      <c r="X125" s="364"/>
      <c r="Y125" s="364"/>
      <c r="Z125" s="364"/>
    </row>
    <row r="126" spans="1:26" ht="15.75" customHeight="1" x14ac:dyDescent="0.25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</row>
    <row r="127" spans="1:26" ht="15.75" customHeight="1" x14ac:dyDescent="0.25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</row>
    <row r="128" spans="1:26" ht="15.75" customHeight="1" x14ac:dyDescent="0.25">
      <c r="A128" s="364"/>
      <c r="B128" s="364"/>
      <c r="C128" s="364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4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</row>
    <row r="129" spans="1:26" ht="15.75" customHeight="1" x14ac:dyDescent="0.25">
      <c r="A129" s="364"/>
      <c r="B129" s="364"/>
      <c r="C129" s="36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4"/>
      <c r="P129" s="364"/>
      <c r="Q129" s="364"/>
      <c r="R129" s="364"/>
      <c r="S129" s="364"/>
      <c r="T129" s="364"/>
      <c r="U129" s="364"/>
      <c r="V129" s="364"/>
      <c r="W129" s="364"/>
      <c r="X129" s="364"/>
      <c r="Y129" s="364"/>
      <c r="Z129" s="364"/>
    </row>
    <row r="130" spans="1:26" ht="15.75" customHeight="1" x14ac:dyDescent="0.25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</row>
    <row r="131" spans="1:26" ht="15.75" customHeight="1" x14ac:dyDescent="0.25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4"/>
      <c r="Q131" s="364"/>
      <c r="R131" s="364"/>
      <c r="S131" s="364"/>
      <c r="T131" s="364"/>
      <c r="U131" s="364"/>
      <c r="V131" s="364"/>
      <c r="W131" s="364"/>
      <c r="X131" s="364"/>
      <c r="Y131" s="364"/>
      <c r="Z131" s="364"/>
    </row>
    <row r="132" spans="1:26" ht="15.75" customHeight="1" x14ac:dyDescent="0.25">
      <c r="A132" s="364"/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</row>
    <row r="133" spans="1:26" ht="15.75" customHeight="1" x14ac:dyDescent="0.25">
      <c r="A133" s="364"/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</row>
    <row r="134" spans="1:26" ht="15.75" customHeight="1" x14ac:dyDescent="0.25">
      <c r="A134" s="364"/>
      <c r="B134" s="364"/>
      <c r="C134" s="364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4"/>
      <c r="O134" s="364"/>
      <c r="P134" s="364"/>
      <c r="Q134" s="364"/>
      <c r="R134" s="364"/>
      <c r="S134" s="364"/>
      <c r="T134" s="364"/>
      <c r="U134" s="364"/>
      <c r="V134" s="364"/>
      <c r="W134" s="364"/>
      <c r="X134" s="364"/>
      <c r="Y134" s="364"/>
      <c r="Z134" s="364"/>
    </row>
    <row r="135" spans="1:26" ht="15.75" customHeight="1" x14ac:dyDescent="0.25">
      <c r="A135" s="364"/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4"/>
      <c r="P135" s="364"/>
      <c r="Q135" s="364"/>
      <c r="R135" s="364"/>
      <c r="S135" s="364"/>
      <c r="T135" s="364"/>
      <c r="U135" s="364"/>
      <c r="V135" s="364"/>
      <c r="W135" s="364"/>
      <c r="X135" s="364"/>
      <c r="Y135" s="364"/>
      <c r="Z135" s="364"/>
    </row>
    <row r="136" spans="1:26" ht="15.75" customHeight="1" x14ac:dyDescent="0.25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64"/>
      <c r="S136" s="364"/>
      <c r="T136" s="364"/>
      <c r="U136" s="364"/>
      <c r="V136" s="364"/>
      <c r="W136" s="364"/>
      <c r="X136" s="364"/>
      <c r="Y136" s="364"/>
      <c r="Z136" s="364"/>
    </row>
    <row r="137" spans="1:26" ht="15.75" customHeight="1" x14ac:dyDescent="0.25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4"/>
      <c r="Q137" s="364"/>
      <c r="R137" s="364"/>
      <c r="S137" s="364"/>
      <c r="T137" s="364"/>
      <c r="U137" s="364"/>
      <c r="V137" s="364"/>
      <c r="W137" s="364"/>
      <c r="X137" s="364"/>
      <c r="Y137" s="364"/>
      <c r="Z137" s="364"/>
    </row>
    <row r="138" spans="1:26" ht="15.75" customHeight="1" x14ac:dyDescent="0.25">
      <c r="A138" s="364"/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</row>
    <row r="139" spans="1:26" ht="15.75" customHeight="1" x14ac:dyDescent="0.25">
      <c r="A139" s="364"/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</row>
    <row r="140" spans="1:26" ht="15.75" customHeight="1" x14ac:dyDescent="0.25">
      <c r="A140" s="364"/>
      <c r="B140" s="364"/>
      <c r="C140" s="364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4"/>
      <c r="O140" s="364"/>
      <c r="P140" s="364"/>
      <c r="Q140" s="364"/>
      <c r="R140" s="364"/>
      <c r="S140" s="364"/>
      <c r="T140" s="364"/>
      <c r="U140" s="364"/>
      <c r="V140" s="364"/>
      <c r="W140" s="364"/>
      <c r="X140" s="364"/>
      <c r="Y140" s="364"/>
      <c r="Z140" s="364"/>
    </row>
    <row r="141" spans="1:26" ht="15.75" customHeight="1" x14ac:dyDescent="0.25">
      <c r="A141" s="364"/>
      <c r="B141" s="364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</row>
    <row r="142" spans="1:26" ht="15.75" customHeight="1" x14ac:dyDescent="0.25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4"/>
      <c r="P142" s="364"/>
      <c r="Q142" s="364"/>
      <c r="R142" s="364"/>
      <c r="S142" s="364"/>
      <c r="T142" s="364"/>
      <c r="U142" s="364"/>
      <c r="V142" s="364"/>
      <c r="W142" s="364"/>
      <c r="X142" s="364"/>
      <c r="Y142" s="364"/>
      <c r="Z142" s="364"/>
    </row>
    <row r="143" spans="1:26" ht="15.75" customHeight="1" x14ac:dyDescent="0.25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4"/>
      <c r="P143" s="364"/>
      <c r="Q143" s="364"/>
      <c r="R143" s="364"/>
      <c r="S143" s="364"/>
      <c r="T143" s="364"/>
      <c r="U143" s="364"/>
      <c r="V143" s="364"/>
      <c r="W143" s="364"/>
      <c r="X143" s="364"/>
      <c r="Y143" s="364"/>
      <c r="Z143" s="364"/>
    </row>
    <row r="144" spans="1:26" ht="15.75" customHeight="1" x14ac:dyDescent="0.25">
      <c r="A144" s="364"/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</row>
    <row r="145" spans="1:26" ht="15.75" customHeight="1" x14ac:dyDescent="0.25">
      <c r="A145" s="364"/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</row>
    <row r="146" spans="1:26" ht="15.75" customHeight="1" x14ac:dyDescent="0.25">
      <c r="A146" s="364"/>
      <c r="B146" s="364"/>
      <c r="C146" s="364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  <c r="N146" s="364"/>
      <c r="O146" s="364"/>
      <c r="P146" s="364"/>
      <c r="Q146" s="364"/>
      <c r="R146" s="364"/>
      <c r="S146" s="364"/>
      <c r="T146" s="364"/>
      <c r="U146" s="364"/>
      <c r="V146" s="364"/>
      <c r="W146" s="364"/>
      <c r="X146" s="364"/>
      <c r="Y146" s="364"/>
      <c r="Z146" s="364"/>
    </row>
    <row r="147" spans="1:26" ht="15.75" customHeight="1" x14ac:dyDescent="0.25">
      <c r="A147" s="364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4"/>
      <c r="P147" s="364"/>
      <c r="Q147" s="364"/>
      <c r="R147" s="364"/>
      <c r="S147" s="364"/>
      <c r="T147" s="364"/>
      <c r="U147" s="364"/>
      <c r="V147" s="364"/>
      <c r="W147" s="364"/>
      <c r="X147" s="364"/>
      <c r="Y147" s="364"/>
      <c r="Z147" s="364"/>
    </row>
    <row r="148" spans="1:26" ht="15.75" customHeight="1" x14ac:dyDescent="0.25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4"/>
      <c r="P148" s="364"/>
      <c r="Q148" s="364"/>
      <c r="R148" s="364"/>
      <c r="S148" s="364"/>
      <c r="T148" s="364"/>
      <c r="U148" s="364"/>
      <c r="V148" s="364"/>
      <c r="W148" s="364"/>
      <c r="X148" s="364"/>
      <c r="Y148" s="364"/>
      <c r="Z148" s="364"/>
    </row>
    <row r="149" spans="1:26" ht="15.75" customHeight="1" x14ac:dyDescent="0.25">
      <c r="A149" s="364"/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</row>
    <row r="150" spans="1:26" ht="15.75" customHeight="1" x14ac:dyDescent="0.25">
      <c r="A150" s="364"/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</row>
    <row r="151" spans="1:26" ht="15.75" customHeight="1" x14ac:dyDescent="0.25">
      <c r="A151" s="364"/>
      <c r="B151" s="364"/>
      <c r="C151" s="364"/>
      <c r="D151" s="364"/>
      <c r="E151" s="364"/>
      <c r="F151" s="364"/>
      <c r="G151" s="364"/>
      <c r="H151" s="364"/>
      <c r="I151" s="364"/>
      <c r="J151" s="364"/>
      <c r="K151" s="364"/>
      <c r="L151" s="364"/>
      <c r="M151" s="364"/>
      <c r="N151" s="364"/>
      <c r="O151" s="364"/>
      <c r="P151" s="364"/>
      <c r="Q151" s="364"/>
      <c r="R151" s="364"/>
      <c r="S151" s="364"/>
      <c r="T151" s="364"/>
      <c r="U151" s="364"/>
      <c r="V151" s="364"/>
      <c r="W151" s="364"/>
      <c r="X151" s="364"/>
      <c r="Y151" s="364"/>
      <c r="Z151" s="364"/>
    </row>
    <row r="152" spans="1:26" ht="15.75" customHeight="1" x14ac:dyDescent="0.25">
      <c r="A152" s="364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4"/>
      <c r="P152" s="364"/>
      <c r="Q152" s="364"/>
      <c r="R152" s="364"/>
      <c r="S152" s="364"/>
      <c r="T152" s="364"/>
      <c r="U152" s="364"/>
      <c r="V152" s="364"/>
      <c r="W152" s="364"/>
      <c r="X152" s="364"/>
      <c r="Y152" s="364"/>
      <c r="Z152" s="364"/>
    </row>
    <row r="153" spans="1:26" ht="15.75" customHeight="1" x14ac:dyDescent="0.25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4"/>
      <c r="P153" s="364"/>
      <c r="Q153" s="364"/>
      <c r="R153" s="364"/>
      <c r="S153" s="364"/>
      <c r="T153" s="364"/>
      <c r="U153" s="364"/>
      <c r="V153" s="364"/>
      <c r="W153" s="364"/>
      <c r="X153" s="364"/>
      <c r="Y153" s="364"/>
      <c r="Z153" s="364"/>
    </row>
    <row r="154" spans="1:26" ht="15.75" customHeight="1" x14ac:dyDescent="0.25">
      <c r="A154" s="364"/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</row>
    <row r="155" spans="1:26" ht="15.75" customHeight="1" x14ac:dyDescent="0.25">
      <c r="A155" s="364"/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</row>
    <row r="156" spans="1:26" ht="15.75" customHeight="1" x14ac:dyDescent="0.25">
      <c r="A156" s="364"/>
      <c r="B156" s="364"/>
      <c r="C156" s="364"/>
      <c r="D156" s="364"/>
      <c r="E156" s="364"/>
      <c r="F156" s="364"/>
      <c r="G156" s="364"/>
      <c r="H156" s="364"/>
      <c r="I156" s="364"/>
      <c r="J156" s="364"/>
      <c r="K156" s="364"/>
      <c r="L156" s="364"/>
      <c r="M156" s="364"/>
      <c r="N156" s="364"/>
      <c r="O156" s="364"/>
      <c r="P156" s="364"/>
      <c r="Q156" s="364"/>
      <c r="R156" s="364"/>
      <c r="S156" s="364"/>
      <c r="T156" s="364"/>
      <c r="U156" s="364"/>
      <c r="V156" s="364"/>
      <c r="W156" s="364"/>
      <c r="X156" s="364"/>
      <c r="Y156" s="364"/>
      <c r="Z156" s="364"/>
    </row>
    <row r="157" spans="1:26" ht="15.75" customHeight="1" x14ac:dyDescent="0.25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4"/>
      <c r="P157" s="364"/>
      <c r="Q157" s="364"/>
      <c r="R157" s="364"/>
      <c r="S157" s="364"/>
      <c r="T157" s="364"/>
      <c r="U157" s="364"/>
      <c r="V157" s="364"/>
      <c r="W157" s="364"/>
      <c r="X157" s="364"/>
      <c r="Y157" s="364"/>
      <c r="Z157" s="364"/>
    </row>
    <row r="158" spans="1:26" ht="15.75" customHeight="1" x14ac:dyDescent="0.25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4"/>
      <c r="P158" s="364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</row>
    <row r="159" spans="1:26" ht="15.75" customHeight="1" x14ac:dyDescent="0.25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4"/>
      <c r="P159" s="364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</row>
    <row r="160" spans="1:26" ht="15.75" customHeight="1" x14ac:dyDescent="0.25">
      <c r="A160" s="364"/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</row>
    <row r="161" spans="1:26" ht="15.75" customHeight="1" x14ac:dyDescent="0.25">
      <c r="A161" s="364"/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</row>
    <row r="162" spans="1:26" ht="15.75" customHeight="1" x14ac:dyDescent="0.25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4"/>
      <c r="P162" s="364"/>
      <c r="Q162" s="364"/>
      <c r="R162" s="364"/>
      <c r="S162" s="364"/>
      <c r="T162" s="364"/>
      <c r="U162" s="364"/>
      <c r="V162" s="364"/>
      <c r="W162" s="364"/>
      <c r="X162" s="364"/>
      <c r="Y162" s="364"/>
      <c r="Z162" s="364"/>
    </row>
    <row r="163" spans="1:26" ht="15.75" customHeight="1" x14ac:dyDescent="0.25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</row>
    <row r="164" spans="1:26" ht="15.75" customHeight="1" x14ac:dyDescent="0.25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4"/>
      <c r="P164" s="364"/>
      <c r="Q164" s="364"/>
      <c r="R164" s="364"/>
      <c r="S164" s="364"/>
      <c r="T164" s="364"/>
      <c r="U164" s="364"/>
      <c r="V164" s="364"/>
      <c r="W164" s="364"/>
      <c r="X164" s="364"/>
      <c r="Y164" s="364"/>
      <c r="Z164" s="364"/>
    </row>
    <row r="165" spans="1:26" ht="15.75" customHeight="1" x14ac:dyDescent="0.25">
      <c r="A165" s="364"/>
      <c r="B165" s="364"/>
      <c r="C165" s="364"/>
      <c r="D165" s="364"/>
      <c r="E165" s="364"/>
      <c r="F165" s="364"/>
      <c r="G165" s="364"/>
      <c r="H165" s="364"/>
      <c r="I165" s="364"/>
      <c r="J165" s="364"/>
      <c r="K165" s="364"/>
      <c r="L165" s="364"/>
      <c r="M165" s="364"/>
      <c r="N165" s="364"/>
      <c r="O165" s="364"/>
      <c r="P165" s="364"/>
      <c r="Q165" s="364"/>
      <c r="R165" s="364"/>
      <c r="S165" s="364"/>
      <c r="T165" s="364"/>
      <c r="U165" s="364"/>
      <c r="V165" s="364"/>
      <c r="W165" s="364"/>
      <c r="X165" s="364"/>
      <c r="Y165" s="364"/>
      <c r="Z165" s="364"/>
    </row>
    <row r="166" spans="1:26" ht="15.75" customHeight="1" x14ac:dyDescent="0.25">
      <c r="A166" s="364"/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</row>
    <row r="167" spans="1:26" ht="15.75" customHeight="1" x14ac:dyDescent="0.25">
      <c r="A167" s="364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</row>
    <row r="168" spans="1:26" ht="15.75" customHeight="1" x14ac:dyDescent="0.25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4"/>
      <c r="P168" s="364"/>
      <c r="Q168" s="364"/>
      <c r="R168" s="364"/>
      <c r="S168" s="364"/>
      <c r="T168" s="364"/>
      <c r="U168" s="364"/>
      <c r="V168" s="364"/>
      <c r="W168" s="364"/>
      <c r="X168" s="364"/>
      <c r="Y168" s="364"/>
      <c r="Z168" s="364"/>
    </row>
    <row r="169" spans="1:26" ht="15.75" customHeight="1" x14ac:dyDescent="0.25">
      <c r="A169" s="364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4"/>
      <c r="P169" s="364"/>
      <c r="Q169" s="364"/>
      <c r="R169" s="364"/>
      <c r="S169" s="364"/>
      <c r="T169" s="364"/>
      <c r="U169" s="364"/>
      <c r="V169" s="364"/>
      <c r="W169" s="364"/>
      <c r="X169" s="364"/>
      <c r="Y169" s="364"/>
      <c r="Z169" s="364"/>
    </row>
    <row r="170" spans="1:26" ht="15.75" customHeight="1" x14ac:dyDescent="0.25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4"/>
      <c r="P170" s="364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</row>
    <row r="171" spans="1:26" ht="15.75" customHeight="1" x14ac:dyDescent="0.25">
      <c r="A171" s="364"/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</row>
    <row r="172" spans="1:26" ht="15.75" customHeight="1" x14ac:dyDescent="0.25">
      <c r="A172" s="364"/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</row>
    <row r="173" spans="1:26" ht="15.75" customHeight="1" x14ac:dyDescent="0.25">
      <c r="A173" s="364"/>
      <c r="B173" s="364"/>
      <c r="C173" s="364"/>
      <c r="D173" s="364"/>
      <c r="E173" s="364"/>
      <c r="F173" s="364"/>
      <c r="G173" s="364"/>
      <c r="H173" s="364"/>
      <c r="I173" s="364"/>
      <c r="J173" s="364"/>
      <c r="K173" s="364"/>
      <c r="L173" s="364"/>
      <c r="M173" s="364"/>
      <c r="N173" s="364"/>
      <c r="O173" s="364"/>
      <c r="P173" s="364"/>
      <c r="Q173" s="364"/>
      <c r="R173" s="364"/>
      <c r="S173" s="364"/>
      <c r="T173" s="364"/>
      <c r="U173" s="364"/>
      <c r="V173" s="364"/>
      <c r="W173" s="364"/>
      <c r="X173" s="364"/>
      <c r="Y173" s="364"/>
      <c r="Z173" s="364"/>
    </row>
    <row r="174" spans="1:26" ht="15.75" customHeight="1" x14ac:dyDescent="0.25">
      <c r="A174" s="364"/>
      <c r="B174" s="364"/>
      <c r="C174" s="364"/>
      <c r="D174" s="364"/>
      <c r="E174" s="364"/>
      <c r="F174" s="364"/>
      <c r="G174" s="364"/>
      <c r="H174" s="364"/>
      <c r="I174" s="364"/>
      <c r="J174" s="364"/>
      <c r="K174" s="364"/>
      <c r="L174" s="364"/>
      <c r="M174" s="364"/>
      <c r="N174" s="364"/>
      <c r="O174" s="364"/>
      <c r="P174" s="364"/>
      <c r="Q174" s="364"/>
      <c r="R174" s="364"/>
      <c r="S174" s="364"/>
      <c r="T174" s="364"/>
      <c r="U174" s="364"/>
      <c r="V174" s="364"/>
      <c r="W174" s="364"/>
      <c r="X174" s="364"/>
      <c r="Y174" s="364"/>
      <c r="Z174" s="364"/>
    </row>
    <row r="175" spans="1:26" ht="15.75" customHeight="1" x14ac:dyDescent="0.25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</row>
    <row r="176" spans="1:26" ht="15.75" customHeight="1" x14ac:dyDescent="0.25">
      <c r="A176" s="364"/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4"/>
      <c r="P176" s="364"/>
      <c r="Q176" s="364"/>
      <c r="R176" s="364"/>
      <c r="S176" s="364"/>
      <c r="T176" s="364"/>
      <c r="U176" s="364"/>
      <c r="V176" s="364"/>
      <c r="W176" s="364"/>
      <c r="X176" s="364"/>
      <c r="Y176" s="364"/>
      <c r="Z176" s="364"/>
    </row>
    <row r="177" spans="1:26" ht="15.75" customHeight="1" x14ac:dyDescent="0.25">
      <c r="A177" s="364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4"/>
      <c r="P177" s="364"/>
      <c r="Q177" s="364"/>
      <c r="R177" s="364"/>
      <c r="S177" s="364"/>
      <c r="T177" s="364"/>
      <c r="U177" s="364"/>
      <c r="V177" s="364"/>
      <c r="W177" s="364"/>
      <c r="X177" s="364"/>
      <c r="Y177" s="364"/>
      <c r="Z177" s="364"/>
    </row>
    <row r="178" spans="1:26" ht="15.75" customHeight="1" x14ac:dyDescent="0.25">
      <c r="A178" s="364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4"/>
      <c r="P178" s="364"/>
      <c r="Q178" s="364"/>
      <c r="R178" s="364"/>
      <c r="S178" s="364"/>
      <c r="T178" s="364"/>
      <c r="U178" s="364"/>
      <c r="V178" s="364"/>
      <c r="W178" s="364"/>
      <c r="X178" s="364"/>
      <c r="Y178" s="364"/>
      <c r="Z178" s="364"/>
    </row>
    <row r="179" spans="1:26" ht="15.75" customHeight="1" x14ac:dyDescent="0.25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</row>
    <row r="180" spans="1:26" ht="15.75" customHeight="1" x14ac:dyDescent="0.25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4"/>
      <c r="P180" s="364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</row>
    <row r="181" spans="1:26" ht="15.75" customHeight="1" x14ac:dyDescent="0.25">
      <c r="A181" s="364"/>
      <c r="B181" s="364"/>
      <c r="C181" s="364"/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4"/>
      <c r="P181" s="364"/>
      <c r="Q181" s="364"/>
      <c r="R181" s="364"/>
      <c r="S181" s="364"/>
      <c r="T181" s="364"/>
      <c r="U181" s="364"/>
      <c r="V181" s="364"/>
      <c r="W181" s="364"/>
      <c r="X181" s="364"/>
      <c r="Y181" s="364"/>
      <c r="Z181" s="364"/>
    </row>
    <row r="182" spans="1:26" ht="15.75" customHeight="1" x14ac:dyDescent="0.25">
      <c r="A182" s="364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4"/>
      <c r="P182" s="364"/>
      <c r="Q182" s="364"/>
      <c r="R182" s="364"/>
      <c r="S182" s="364"/>
      <c r="T182" s="364"/>
      <c r="U182" s="364"/>
      <c r="V182" s="364"/>
      <c r="W182" s="364"/>
      <c r="X182" s="364"/>
      <c r="Y182" s="364"/>
      <c r="Z182" s="364"/>
    </row>
    <row r="183" spans="1:26" ht="15.75" customHeight="1" x14ac:dyDescent="0.25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4"/>
      <c r="P183" s="364"/>
      <c r="Q183" s="364"/>
      <c r="R183" s="364"/>
      <c r="S183" s="364"/>
      <c r="T183" s="364"/>
      <c r="U183" s="364"/>
      <c r="V183" s="364"/>
      <c r="W183" s="364"/>
      <c r="X183" s="364"/>
      <c r="Y183" s="364"/>
      <c r="Z183" s="364"/>
    </row>
    <row r="184" spans="1:26" ht="15.75" customHeight="1" x14ac:dyDescent="0.25">
      <c r="A184" s="364"/>
      <c r="B184" s="364"/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64"/>
      <c r="P184" s="364"/>
      <c r="Q184" s="364"/>
      <c r="R184" s="364"/>
      <c r="S184" s="364"/>
      <c r="T184" s="364"/>
      <c r="U184" s="364"/>
      <c r="V184" s="364"/>
      <c r="W184" s="364"/>
      <c r="X184" s="364"/>
      <c r="Y184" s="364"/>
      <c r="Z184" s="364"/>
    </row>
    <row r="185" spans="1:26" ht="15.75" customHeight="1" x14ac:dyDescent="0.25">
      <c r="A185" s="364"/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</row>
    <row r="186" spans="1:26" ht="15.75" customHeight="1" x14ac:dyDescent="0.25">
      <c r="A186" s="364"/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</row>
    <row r="187" spans="1:26" ht="15.75" customHeight="1" x14ac:dyDescent="0.25">
      <c r="A187" s="364"/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</row>
    <row r="188" spans="1:26" ht="15.75" customHeight="1" x14ac:dyDescent="0.25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4"/>
      <c r="P188" s="364"/>
      <c r="Q188" s="364"/>
      <c r="R188" s="364"/>
      <c r="S188" s="364"/>
      <c r="T188" s="364"/>
      <c r="U188" s="364"/>
      <c r="V188" s="364"/>
      <c r="W188" s="364"/>
      <c r="X188" s="364"/>
      <c r="Y188" s="364"/>
      <c r="Z188" s="364"/>
    </row>
    <row r="189" spans="1:26" ht="15.75" customHeight="1" x14ac:dyDescent="0.25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4"/>
      <c r="P189" s="364"/>
      <c r="Q189" s="364"/>
      <c r="R189" s="364"/>
      <c r="S189" s="364"/>
      <c r="T189" s="364"/>
      <c r="U189" s="364"/>
      <c r="V189" s="364"/>
      <c r="W189" s="364"/>
      <c r="X189" s="364"/>
      <c r="Y189" s="364"/>
      <c r="Z189" s="364"/>
    </row>
    <row r="190" spans="1:26" ht="15.75" customHeight="1" x14ac:dyDescent="0.25">
      <c r="A190" s="364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4"/>
      <c r="P190" s="364"/>
      <c r="Q190" s="364"/>
      <c r="R190" s="364"/>
      <c r="S190" s="364"/>
      <c r="T190" s="364"/>
      <c r="U190" s="364"/>
      <c r="V190" s="364"/>
      <c r="W190" s="364"/>
      <c r="X190" s="364"/>
      <c r="Y190" s="364"/>
      <c r="Z190" s="364"/>
    </row>
    <row r="191" spans="1:26" ht="15.75" customHeight="1" x14ac:dyDescent="0.25">
      <c r="A191" s="364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4"/>
      <c r="P191" s="364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</row>
    <row r="192" spans="1:26" ht="15.75" customHeight="1" x14ac:dyDescent="0.25">
      <c r="A192" s="364"/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</row>
    <row r="193" spans="1:26" ht="15.75" customHeight="1" x14ac:dyDescent="0.25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4"/>
      <c r="P193" s="364"/>
      <c r="Q193" s="364"/>
      <c r="R193" s="364"/>
      <c r="S193" s="364"/>
      <c r="T193" s="364"/>
      <c r="U193" s="364"/>
      <c r="V193" s="364"/>
      <c r="W193" s="364"/>
      <c r="X193" s="364"/>
      <c r="Y193" s="364"/>
      <c r="Z193" s="364"/>
    </row>
    <row r="194" spans="1:26" ht="15.75" customHeight="1" x14ac:dyDescent="0.25">
      <c r="A194" s="364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4"/>
      <c r="P194" s="364"/>
      <c r="Q194" s="364"/>
      <c r="R194" s="364"/>
      <c r="S194" s="364"/>
      <c r="T194" s="364"/>
      <c r="U194" s="364"/>
      <c r="V194" s="364"/>
      <c r="W194" s="364"/>
      <c r="X194" s="364"/>
      <c r="Y194" s="364"/>
      <c r="Z194" s="364"/>
    </row>
    <row r="195" spans="1:26" ht="15.75" customHeight="1" x14ac:dyDescent="0.25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4"/>
      <c r="P195" s="364"/>
      <c r="Q195" s="364"/>
      <c r="R195" s="364"/>
      <c r="S195" s="364"/>
      <c r="T195" s="364"/>
      <c r="U195" s="364"/>
      <c r="V195" s="364"/>
      <c r="W195" s="364"/>
      <c r="X195" s="364"/>
      <c r="Y195" s="364"/>
      <c r="Z195" s="364"/>
    </row>
    <row r="196" spans="1:26" ht="15.75" customHeight="1" x14ac:dyDescent="0.25">
      <c r="A196" s="364"/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</row>
    <row r="197" spans="1:26" ht="15.75" customHeight="1" x14ac:dyDescent="0.25">
      <c r="A197" s="364"/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</row>
    <row r="198" spans="1:26" ht="15.75" customHeight="1" x14ac:dyDescent="0.25">
      <c r="A198" s="364"/>
      <c r="B198" s="364"/>
      <c r="C198" s="364"/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4"/>
      <c r="P198" s="364"/>
      <c r="Q198" s="364"/>
      <c r="R198" s="364"/>
      <c r="S198" s="364"/>
      <c r="T198" s="364"/>
      <c r="U198" s="364"/>
      <c r="V198" s="364"/>
      <c r="W198" s="364"/>
      <c r="X198" s="364"/>
      <c r="Y198" s="364"/>
      <c r="Z198" s="364"/>
    </row>
    <row r="199" spans="1:26" ht="15.75" customHeight="1" x14ac:dyDescent="0.25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4"/>
      <c r="P199" s="364"/>
      <c r="Q199" s="364"/>
      <c r="R199" s="364"/>
      <c r="S199" s="364"/>
      <c r="T199" s="364"/>
      <c r="U199" s="364"/>
      <c r="V199" s="364"/>
      <c r="W199" s="364"/>
      <c r="X199" s="364"/>
      <c r="Y199" s="364"/>
      <c r="Z199" s="364"/>
    </row>
    <row r="200" spans="1:26" ht="15.75" customHeight="1" x14ac:dyDescent="0.25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4"/>
      <c r="P200" s="364"/>
      <c r="Q200" s="364"/>
      <c r="R200" s="364"/>
      <c r="S200" s="364"/>
      <c r="T200" s="364"/>
      <c r="U200" s="364"/>
      <c r="V200" s="364"/>
      <c r="W200" s="364"/>
      <c r="X200" s="364"/>
      <c r="Y200" s="364"/>
      <c r="Z200" s="364"/>
    </row>
    <row r="201" spans="1:26" ht="15.75" customHeight="1" x14ac:dyDescent="0.25">
      <c r="A201" s="364"/>
      <c r="B201" s="364"/>
      <c r="C201" s="364"/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64"/>
      <c r="P201" s="364"/>
      <c r="Q201" s="364"/>
      <c r="R201" s="364"/>
      <c r="S201" s="364"/>
      <c r="T201" s="364"/>
      <c r="U201" s="364"/>
      <c r="V201" s="364"/>
      <c r="W201" s="364"/>
      <c r="X201" s="364"/>
      <c r="Y201" s="364"/>
      <c r="Z201" s="364"/>
    </row>
    <row r="202" spans="1:26" ht="15.75" customHeight="1" x14ac:dyDescent="0.25">
      <c r="A202" s="364"/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</row>
    <row r="203" spans="1:26" ht="15.75" customHeight="1" x14ac:dyDescent="0.25">
      <c r="A203" s="364"/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</row>
    <row r="204" spans="1:26" ht="15.75" customHeight="1" x14ac:dyDescent="0.25">
      <c r="A204" s="364"/>
      <c r="B204" s="364"/>
      <c r="C204" s="364"/>
      <c r="D204" s="364"/>
      <c r="E204" s="364"/>
      <c r="F204" s="364"/>
      <c r="G204" s="364"/>
      <c r="H204" s="364"/>
      <c r="I204" s="364"/>
      <c r="J204" s="364"/>
      <c r="K204" s="364"/>
      <c r="L204" s="364"/>
      <c r="M204" s="364"/>
      <c r="N204" s="364"/>
      <c r="O204" s="364"/>
      <c r="P204" s="364"/>
      <c r="Q204" s="364"/>
      <c r="R204" s="364"/>
      <c r="S204" s="364"/>
      <c r="T204" s="364"/>
      <c r="U204" s="364"/>
      <c r="V204" s="364"/>
      <c r="W204" s="364"/>
      <c r="X204" s="364"/>
      <c r="Y204" s="364"/>
      <c r="Z204" s="364"/>
    </row>
    <row r="205" spans="1:26" ht="15.75" customHeight="1" x14ac:dyDescent="0.25">
      <c r="A205" s="364"/>
      <c r="B205" s="364"/>
      <c r="C205" s="364"/>
      <c r="D205" s="364"/>
      <c r="E205" s="364"/>
      <c r="F205" s="364"/>
      <c r="G205" s="364"/>
      <c r="H205" s="364"/>
      <c r="I205" s="364"/>
      <c r="J205" s="364"/>
      <c r="K205" s="364"/>
      <c r="L205" s="364"/>
      <c r="M205" s="364"/>
      <c r="N205" s="364"/>
      <c r="O205" s="364"/>
      <c r="P205" s="364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</row>
    <row r="206" spans="1:26" ht="15.75" customHeight="1" x14ac:dyDescent="0.25">
      <c r="A206" s="364"/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4"/>
      <c r="P206" s="364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</row>
    <row r="207" spans="1:26" ht="15.75" customHeight="1" x14ac:dyDescent="0.25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4"/>
      <c r="P207" s="364"/>
      <c r="Q207" s="364"/>
      <c r="R207" s="364"/>
      <c r="S207" s="364"/>
      <c r="T207" s="364"/>
      <c r="U207" s="364"/>
      <c r="V207" s="364"/>
      <c r="W207" s="364"/>
      <c r="X207" s="364"/>
      <c r="Y207" s="364"/>
      <c r="Z207" s="364"/>
    </row>
    <row r="208" spans="1:26" ht="15.75" customHeight="1" x14ac:dyDescent="0.25">
      <c r="A208" s="364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4"/>
      <c r="P208" s="364"/>
      <c r="Q208" s="364"/>
      <c r="R208" s="364"/>
      <c r="S208" s="364"/>
      <c r="T208" s="364"/>
      <c r="U208" s="364"/>
      <c r="V208" s="364"/>
      <c r="W208" s="364"/>
      <c r="X208" s="364"/>
      <c r="Y208" s="364"/>
      <c r="Z208" s="364"/>
    </row>
    <row r="209" spans="1:26" ht="15.75" customHeight="1" x14ac:dyDescent="0.25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4"/>
      <c r="P209" s="364"/>
      <c r="Q209" s="364"/>
      <c r="R209" s="364"/>
      <c r="S209" s="364"/>
      <c r="T209" s="364"/>
      <c r="U209" s="364"/>
      <c r="V209" s="364"/>
      <c r="W209" s="364"/>
      <c r="X209" s="364"/>
      <c r="Y209" s="364"/>
      <c r="Z209" s="364"/>
    </row>
    <row r="210" spans="1:26" ht="15.75" customHeight="1" x14ac:dyDescent="0.25">
      <c r="A210" s="364"/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</row>
    <row r="211" spans="1:26" ht="15.75" customHeight="1" x14ac:dyDescent="0.25">
      <c r="A211" s="364"/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</row>
    <row r="212" spans="1:26" ht="15.75" customHeight="1" x14ac:dyDescent="0.25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4"/>
      <c r="P212" s="364"/>
      <c r="Q212" s="364"/>
      <c r="R212" s="364"/>
      <c r="S212" s="364"/>
      <c r="T212" s="364"/>
      <c r="U212" s="364"/>
      <c r="V212" s="364"/>
      <c r="W212" s="364"/>
      <c r="X212" s="364"/>
      <c r="Y212" s="364"/>
      <c r="Z212" s="364"/>
    </row>
    <row r="213" spans="1:26" ht="15.75" customHeight="1" x14ac:dyDescent="0.25">
      <c r="A213" s="364"/>
      <c r="B213" s="364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4"/>
      <c r="P213" s="364"/>
      <c r="Q213" s="364"/>
      <c r="R213" s="364"/>
      <c r="S213" s="364"/>
      <c r="T213" s="364"/>
      <c r="U213" s="364"/>
      <c r="V213" s="364"/>
      <c r="W213" s="364"/>
      <c r="X213" s="364"/>
      <c r="Y213" s="364"/>
      <c r="Z213" s="364"/>
    </row>
    <row r="214" spans="1:26" ht="15.75" customHeight="1" x14ac:dyDescent="0.25">
      <c r="A214" s="364"/>
      <c r="B214" s="364"/>
      <c r="C214" s="364"/>
      <c r="D214" s="364"/>
      <c r="E214" s="364"/>
      <c r="F214" s="364"/>
      <c r="G214" s="364"/>
      <c r="H214" s="364"/>
      <c r="I214" s="364"/>
      <c r="J214" s="364"/>
      <c r="K214" s="364"/>
      <c r="L214" s="364"/>
      <c r="M214" s="364"/>
      <c r="N214" s="364"/>
      <c r="O214" s="364"/>
      <c r="P214" s="364"/>
      <c r="Q214" s="364"/>
      <c r="R214" s="364"/>
      <c r="S214" s="364"/>
      <c r="T214" s="364"/>
      <c r="U214" s="364"/>
      <c r="V214" s="364"/>
      <c r="W214" s="364"/>
      <c r="X214" s="364"/>
      <c r="Y214" s="364"/>
      <c r="Z214" s="364"/>
    </row>
    <row r="215" spans="1:26" ht="15.75" customHeight="1" x14ac:dyDescent="0.25">
      <c r="A215" s="364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</row>
    <row r="216" spans="1:26" ht="15.75" customHeight="1" x14ac:dyDescent="0.25">
      <c r="A216" s="364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4"/>
      <c r="R216" s="364"/>
      <c r="S216" s="364"/>
      <c r="T216" s="364"/>
      <c r="U216" s="364"/>
      <c r="V216" s="364"/>
      <c r="W216" s="364"/>
      <c r="X216" s="364"/>
      <c r="Y216" s="364"/>
      <c r="Z216" s="364"/>
    </row>
    <row r="217" spans="1:26" ht="15.75" customHeight="1" x14ac:dyDescent="0.25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</row>
    <row r="218" spans="1:26" ht="15.75" customHeight="1" x14ac:dyDescent="0.25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</row>
    <row r="219" spans="1:26" ht="15.75" customHeight="1" x14ac:dyDescent="0.25">
      <c r="A219" s="364"/>
      <c r="B219" s="364"/>
      <c r="C219" s="364"/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4"/>
      <c r="P219" s="364"/>
      <c r="Q219" s="364"/>
      <c r="R219" s="364"/>
      <c r="S219" s="364"/>
      <c r="T219" s="364"/>
      <c r="U219" s="364"/>
      <c r="V219" s="364"/>
      <c r="W219" s="364"/>
      <c r="X219" s="364"/>
      <c r="Y219" s="364"/>
      <c r="Z219" s="364"/>
    </row>
    <row r="220" spans="1:26" ht="15.75" customHeight="1" x14ac:dyDescent="0.25">
      <c r="A220" s="364"/>
      <c r="B220" s="364"/>
      <c r="C220" s="364"/>
      <c r="D220" s="364"/>
      <c r="E220" s="364"/>
      <c r="F220" s="364"/>
      <c r="G220" s="364"/>
      <c r="H220" s="364"/>
      <c r="I220" s="364"/>
      <c r="J220" s="364"/>
      <c r="K220" s="364"/>
      <c r="L220" s="364"/>
      <c r="M220" s="364"/>
      <c r="N220" s="364"/>
      <c r="O220" s="364"/>
      <c r="P220" s="364"/>
      <c r="Q220" s="364"/>
      <c r="R220" s="364"/>
      <c r="S220" s="364"/>
      <c r="T220" s="364"/>
      <c r="U220" s="364"/>
      <c r="V220" s="364"/>
      <c r="W220" s="364"/>
      <c r="X220" s="364"/>
      <c r="Y220" s="364"/>
      <c r="Z220" s="364"/>
    </row>
    <row r="221" spans="1:26" ht="15.75" customHeight="1" x14ac:dyDescent="0.25">
      <c r="A221" s="364"/>
      <c r="B221" s="364"/>
      <c r="C221" s="364"/>
      <c r="D221" s="364"/>
      <c r="E221" s="364"/>
      <c r="F221" s="364"/>
      <c r="G221" s="364"/>
      <c r="H221" s="364"/>
      <c r="I221" s="364"/>
      <c r="J221" s="364"/>
      <c r="K221" s="364"/>
      <c r="L221" s="364"/>
      <c r="M221" s="364"/>
      <c r="N221" s="364"/>
      <c r="O221" s="364"/>
      <c r="P221" s="364"/>
      <c r="Q221" s="364"/>
      <c r="R221" s="364"/>
      <c r="S221" s="364"/>
      <c r="T221" s="364"/>
      <c r="U221" s="364"/>
      <c r="V221" s="364"/>
      <c r="W221" s="364"/>
      <c r="X221" s="364"/>
      <c r="Y221" s="364"/>
      <c r="Z221" s="364"/>
    </row>
    <row r="222" spans="1:26" ht="15.75" customHeight="1" x14ac:dyDescent="0.25">
      <c r="A222" s="364"/>
      <c r="B222" s="364"/>
      <c r="C222" s="364"/>
      <c r="D222" s="364"/>
      <c r="E222" s="364"/>
      <c r="F222" s="364"/>
      <c r="G222" s="364"/>
      <c r="H222" s="364"/>
      <c r="I222" s="364"/>
      <c r="J222" s="364"/>
      <c r="K222" s="364"/>
      <c r="L222" s="364"/>
      <c r="M222" s="364"/>
      <c r="N222" s="364"/>
      <c r="O222" s="364"/>
      <c r="P222" s="364"/>
      <c r="Q222" s="364"/>
      <c r="R222" s="364"/>
      <c r="S222" s="364"/>
      <c r="T222" s="364"/>
      <c r="U222" s="364"/>
      <c r="V222" s="364"/>
      <c r="W222" s="364"/>
      <c r="X222" s="364"/>
      <c r="Y222" s="364"/>
      <c r="Z222" s="364"/>
    </row>
    <row r="223" spans="1:26" ht="15.75" customHeight="1" x14ac:dyDescent="0.25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4"/>
      <c r="P223" s="364"/>
      <c r="Q223" s="364"/>
      <c r="R223" s="364"/>
      <c r="S223" s="364"/>
      <c r="T223" s="364"/>
      <c r="U223" s="364"/>
      <c r="V223" s="364"/>
      <c r="W223" s="364"/>
      <c r="X223" s="364"/>
      <c r="Y223" s="364"/>
      <c r="Z223" s="364"/>
    </row>
    <row r="224" spans="1:26" ht="15.75" customHeight="1" x14ac:dyDescent="0.25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</row>
    <row r="225" spans="1:26" ht="15.75" customHeight="1" x14ac:dyDescent="0.25">
      <c r="A225" s="364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4"/>
      <c r="P225" s="364"/>
      <c r="Q225" s="364"/>
      <c r="R225" s="364"/>
      <c r="S225" s="364"/>
      <c r="T225" s="364"/>
      <c r="U225" s="364"/>
      <c r="V225" s="364"/>
      <c r="W225" s="364"/>
      <c r="X225" s="364"/>
      <c r="Y225" s="364"/>
      <c r="Z225" s="364"/>
    </row>
    <row r="226" spans="1:26" ht="15.75" customHeight="1" x14ac:dyDescent="0.25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4"/>
      <c r="P226" s="364"/>
      <c r="Q226" s="364"/>
      <c r="R226" s="364"/>
      <c r="S226" s="364"/>
      <c r="T226" s="364"/>
      <c r="U226" s="364"/>
      <c r="V226" s="364"/>
      <c r="W226" s="364"/>
      <c r="X226" s="364"/>
      <c r="Y226" s="364"/>
      <c r="Z226" s="364"/>
    </row>
    <row r="227" spans="1:26" ht="15.75" customHeight="1" x14ac:dyDescent="0.25">
      <c r="A227" s="364"/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</row>
    <row r="228" spans="1:26" ht="15.75" customHeight="1" x14ac:dyDescent="0.25">
      <c r="A228" s="364"/>
      <c r="B228" s="36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</row>
    <row r="229" spans="1:26" ht="15.75" customHeight="1" x14ac:dyDescent="0.25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4"/>
      <c r="P229" s="364"/>
      <c r="Q229" s="364"/>
      <c r="R229" s="364"/>
      <c r="S229" s="364"/>
      <c r="T229" s="364"/>
      <c r="U229" s="364"/>
      <c r="V229" s="364"/>
      <c r="W229" s="364"/>
      <c r="X229" s="364"/>
      <c r="Y229" s="364"/>
      <c r="Z229" s="364"/>
    </row>
    <row r="230" spans="1:26" ht="15.75" customHeight="1" x14ac:dyDescent="0.25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</row>
    <row r="231" spans="1:26" ht="15.75" customHeight="1" x14ac:dyDescent="0.25">
      <c r="A231" s="364"/>
      <c r="B231" s="364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364"/>
      <c r="U231" s="364"/>
      <c r="V231" s="364"/>
      <c r="W231" s="364"/>
      <c r="X231" s="364"/>
      <c r="Y231" s="364"/>
      <c r="Z231" s="364"/>
    </row>
    <row r="232" spans="1:26" ht="15.75" customHeight="1" x14ac:dyDescent="0.25">
      <c r="A232" s="364"/>
      <c r="B232" s="364"/>
      <c r="C232" s="364"/>
      <c r="D232" s="364"/>
      <c r="E232" s="364"/>
      <c r="F232" s="364"/>
      <c r="G232" s="364"/>
      <c r="H232" s="364"/>
      <c r="I232" s="364"/>
      <c r="J232" s="364"/>
      <c r="K232" s="364"/>
      <c r="L232" s="364"/>
      <c r="M232" s="364"/>
      <c r="N232" s="364"/>
      <c r="O232" s="364"/>
      <c r="P232" s="364"/>
      <c r="Q232" s="364"/>
      <c r="R232" s="364"/>
      <c r="S232" s="364"/>
      <c r="T232" s="364"/>
      <c r="U232" s="364"/>
      <c r="V232" s="364"/>
      <c r="W232" s="364"/>
      <c r="X232" s="364"/>
      <c r="Y232" s="364"/>
      <c r="Z232" s="364"/>
    </row>
    <row r="233" spans="1:26" ht="15.75" customHeight="1" x14ac:dyDescent="0.25">
      <c r="A233" s="364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4"/>
      <c r="P233" s="364"/>
      <c r="Q233" s="364"/>
      <c r="R233" s="364"/>
      <c r="S233" s="364"/>
      <c r="T233" s="364"/>
      <c r="U233" s="364"/>
      <c r="V233" s="364"/>
      <c r="W233" s="364"/>
      <c r="X233" s="364"/>
      <c r="Y233" s="364"/>
      <c r="Z233" s="364"/>
    </row>
    <row r="234" spans="1:26" ht="15.75" customHeight="1" x14ac:dyDescent="0.25">
      <c r="A234" s="364"/>
      <c r="B234" s="364"/>
      <c r="C234" s="364"/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4"/>
      <c r="P234" s="364"/>
      <c r="Q234" s="364"/>
      <c r="R234" s="364"/>
      <c r="S234" s="364"/>
      <c r="T234" s="364"/>
      <c r="U234" s="364"/>
      <c r="V234" s="364"/>
      <c r="W234" s="364"/>
      <c r="X234" s="364"/>
      <c r="Y234" s="364"/>
      <c r="Z234" s="364"/>
    </row>
    <row r="235" spans="1:26" ht="15.75" customHeight="1" x14ac:dyDescent="0.25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</row>
    <row r="236" spans="1:26" ht="15.75" customHeight="1" x14ac:dyDescent="0.25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</row>
    <row r="237" spans="1:26" ht="15.75" customHeight="1" x14ac:dyDescent="0.25">
      <c r="A237" s="364"/>
      <c r="B237" s="364"/>
      <c r="C237" s="364"/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64"/>
      <c r="P237" s="364"/>
      <c r="Q237" s="364"/>
      <c r="R237" s="364"/>
      <c r="S237" s="364"/>
      <c r="T237" s="364"/>
      <c r="U237" s="364"/>
      <c r="V237" s="364"/>
      <c r="W237" s="364"/>
      <c r="X237" s="364"/>
      <c r="Y237" s="364"/>
      <c r="Z237" s="364"/>
    </row>
    <row r="238" spans="1:26" ht="15.75" customHeight="1" x14ac:dyDescent="0.25">
      <c r="A238" s="364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4"/>
      <c r="P238" s="364"/>
      <c r="Q238" s="364"/>
      <c r="R238" s="364"/>
      <c r="S238" s="364"/>
      <c r="T238" s="364"/>
      <c r="U238" s="364"/>
      <c r="V238" s="364"/>
      <c r="W238" s="364"/>
      <c r="X238" s="364"/>
      <c r="Y238" s="364"/>
      <c r="Z238" s="364"/>
    </row>
    <row r="239" spans="1:26" ht="15.75" customHeight="1" x14ac:dyDescent="0.25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4"/>
      <c r="P239" s="364"/>
      <c r="Q239" s="364"/>
      <c r="R239" s="364"/>
      <c r="S239" s="364"/>
      <c r="T239" s="364"/>
      <c r="U239" s="364"/>
      <c r="V239" s="364"/>
      <c r="W239" s="364"/>
      <c r="X239" s="364"/>
      <c r="Y239" s="364"/>
      <c r="Z239" s="364"/>
    </row>
    <row r="240" spans="1:26" ht="15.75" customHeight="1" x14ac:dyDescent="0.25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</row>
    <row r="241" spans="1:26" ht="15.75" customHeight="1" x14ac:dyDescent="0.25">
      <c r="A241" s="364"/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</row>
    <row r="242" spans="1:26" ht="15.75" customHeight="1" x14ac:dyDescent="0.25">
      <c r="A242" s="364"/>
      <c r="B242" s="364"/>
      <c r="C242" s="364"/>
      <c r="D242" s="364"/>
      <c r="E242" s="364"/>
      <c r="F242" s="364"/>
      <c r="G242" s="364"/>
      <c r="H242" s="364"/>
      <c r="I242" s="364"/>
      <c r="J242" s="364"/>
      <c r="K242" s="364"/>
      <c r="L242" s="364"/>
      <c r="M242" s="364"/>
      <c r="N242" s="364"/>
      <c r="O242" s="364"/>
      <c r="P242" s="364"/>
      <c r="Q242" s="364"/>
      <c r="R242" s="364"/>
      <c r="S242" s="364"/>
      <c r="T242" s="364"/>
      <c r="U242" s="364"/>
      <c r="V242" s="364"/>
      <c r="W242" s="364"/>
      <c r="X242" s="364"/>
      <c r="Y242" s="364"/>
      <c r="Z242" s="364"/>
    </row>
    <row r="243" spans="1:26" ht="15.75" customHeight="1" x14ac:dyDescent="0.25">
      <c r="A243" s="364"/>
      <c r="B243" s="364"/>
      <c r="C243" s="364"/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64"/>
      <c r="P243" s="364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</row>
    <row r="244" spans="1:26" ht="15.75" customHeight="1" x14ac:dyDescent="0.25">
      <c r="A244" s="364"/>
      <c r="B244" s="364"/>
      <c r="C244" s="364"/>
      <c r="D244" s="364"/>
      <c r="E244" s="364"/>
      <c r="F244" s="364"/>
      <c r="G244" s="364"/>
      <c r="H244" s="364"/>
      <c r="I244" s="364"/>
      <c r="J244" s="364"/>
      <c r="K244" s="364"/>
      <c r="L244" s="364"/>
      <c r="M244" s="364"/>
      <c r="N244" s="364"/>
      <c r="O244" s="364"/>
      <c r="P244" s="364"/>
      <c r="Q244" s="364"/>
      <c r="R244" s="364"/>
      <c r="S244" s="364"/>
      <c r="T244" s="364"/>
      <c r="U244" s="364"/>
      <c r="V244" s="364"/>
      <c r="W244" s="364"/>
      <c r="X244" s="364"/>
      <c r="Y244" s="364"/>
      <c r="Z244" s="364"/>
    </row>
    <row r="245" spans="1:26" ht="15.75" customHeight="1" x14ac:dyDescent="0.25">
      <c r="A245" s="364"/>
      <c r="B245" s="364"/>
      <c r="C245" s="364"/>
      <c r="D245" s="364"/>
      <c r="E245" s="364"/>
      <c r="F245" s="364"/>
      <c r="G245" s="364"/>
      <c r="H245" s="364"/>
      <c r="I245" s="364"/>
      <c r="J245" s="364"/>
      <c r="K245" s="364"/>
      <c r="L245" s="364"/>
      <c r="M245" s="364"/>
      <c r="N245" s="364"/>
      <c r="O245" s="364"/>
      <c r="P245" s="364"/>
      <c r="Q245" s="364"/>
      <c r="R245" s="364"/>
      <c r="S245" s="364"/>
      <c r="T245" s="364"/>
      <c r="U245" s="364"/>
      <c r="V245" s="364"/>
      <c r="W245" s="364"/>
      <c r="X245" s="364"/>
      <c r="Y245" s="364"/>
      <c r="Z245" s="364"/>
    </row>
    <row r="246" spans="1:26" ht="15.75" customHeight="1" x14ac:dyDescent="0.25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4"/>
      <c r="P246" s="364"/>
      <c r="Q246" s="364"/>
      <c r="R246" s="364"/>
      <c r="S246" s="364"/>
      <c r="T246" s="364"/>
      <c r="U246" s="364"/>
      <c r="V246" s="364"/>
      <c r="W246" s="364"/>
      <c r="X246" s="364"/>
      <c r="Y246" s="364"/>
      <c r="Z246" s="364"/>
    </row>
    <row r="247" spans="1:26" ht="15.75" customHeight="1" x14ac:dyDescent="0.25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</row>
    <row r="248" spans="1:26" ht="15.75" customHeight="1" x14ac:dyDescent="0.25">
      <c r="A248" s="364"/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</row>
    <row r="249" spans="1:26" ht="15.75" customHeight="1" x14ac:dyDescent="0.25">
      <c r="A249" s="364"/>
      <c r="B249" s="364"/>
      <c r="C249" s="364"/>
      <c r="D249" s="364"/>
      <c r="E249" s="364"/>
      <c r="F249" s="364"/>
      <c r="G249" s="364"/>
      <c r="H249" s="364"/>
      <c r="I249" s="364"/>
      <c r="J249" s="364"/>
      <c r="K249" s="364"/>
      <c r="L249" s="364"/>
      <c r="M249" s="364"/>
      <c r="N249" s="364"/>
      <c r="O249" s="364"/>
      <c r="P249" s="364"/>
      <c r="Q249" s="364"/>
      <c r="R249" s="364"/>
      <c r="S249" s="364"/>
      <c r="T249" s="364"/>
      <c r="U249" s="364"/>
      <c r="V249" s="364"/>
      <c r="W249" s="364"/>
      <c r="X249" s="364"/>
      <c r="Y249" s="364"/>
      <c r="Z249" s="364"/>
    </row>
    <row r="250" spans="1:26" ht="15.75" customHeight="1" x14ac:dyDescent="0.25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</row>
    <row r="251" spans="1:26" ht="15.75" customHeight="1" x14ac:dyDescent="0.25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4"/>
      <c r="P251" s="364"/>
      <c r="Q251" s="364"/>
      <c r="R251" s="364"/>
      <c r="S251" s="364"/>
      <c r="T251" s="364"/>
      <c r="U251" s="364"/>
      <c r="V251" s="364"/>
      <c r="W251" s="364"/>
      <c r="X251" s="364"/>
      <c r="Y251" s="364"/>
      <c r="Z251" s="364"/>
    </row>
    <row r="252" spans="1:26" ht="15.75" customHeight="1" x14ac:dyDescent="0.25">
      <c r="A252" s="364"/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</row>
    <row r="253" spans="1:26" ht="15.75" customHeight="1" x14ac:dyDescent="0.25">
      <c r="A253" s="364"/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</row>
    <row r="254" spans="1:26" ht="15.75" customHeight="1" x14ac:dyDescent="0.25">
      <c r="A254" s="364"/>
      <c r="B254" s="364"/>
      <c r="C254" s="364"/>
      <c r="D254" s="364"/>
      <c r="E254" s="364"/>
      <c r="F254" s="364"/>
      <c r="G254" s="364"/>
      <c r="H254" s="364"/>
      <c r="I254" s="364"/>
      <c r="J254" s="364"/>
      <c r="K254" s="364"/>
      <c r="L254" s="364"/>
      <c r="M254" s="364"/>
      <c r="N254" s="364"/>
      <c r="O254" s="364"/>
      <c r="P254" s="364"/>
      <c r="Q254" s="364"/>
      <c r="R254" s="364"/>
      <c r="S254" s="364"/>
      <c r="T254" s="364"/>
      <c r="U254" s="364"/>
      <c r="V254" s="364"/>
      <c r="W254" s="364"/>
      <c r="X254" s="364"/>
      <c r="Y254" s="364"/>
      <c r="Z254" s="364"/>
    </row>
    <row r="255" spans="1:26" ht="15.75" customHeight="1" x14ac:dyDescent="0.25">
      <c r="A255" s="364"/>
      <c r="B255" s="364"/>
      <c r="C255" s="364"/>
      <c r="D255" s="364"/>
      <c r="E255" s="364"/>
      <c r="F255" s="364"/>
      <c r="G255" s="364"/>
      <c r="H255" s="364"/>
      <c r="I255" s="364"/>
      <c r="J255" s="364"/>
      <c r="K255" s="364"/>
      <c r="L255" s="364"/>
      <c r="M255" s="364"/>
      <c r="N255" s="364"/>
      <c r="O255" s="364"/>
      <c r="P255" s="364"/>
      <c r="Q255" s="364"/>
      <c r="R255" s="364"/>
      <c r="S255" s="364"/>
      <c r="T255" s="364"/>
      <c r="U255" s="364"/>
      <c r="V255" s="364"/>
      <c r="W255" s="364"/>
      <c r="X255" s="364"/>
      <c r="Y255" s="364"/>
      <c r="Z255" s="364"/>
    </row>
    <row r="256" spans="1:26" ht="15.75" customHeight="1" x14ac:dyDescent="0.25">
      <c r="A256" s="364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4"/>
      <c r="P256" s="364"/>
      <c r="Q256" s="364"/>
      <c r="R256" s="364"/>
      <c r="S256" s="364"/>
      <c r="T256" s="364"/>
      <c r="U256" s="364"/>
      <c r="V256" s="364"/>
      <c r="W256" s="364"/>
      <c r="X256" s="364"/>
      <c r="Y256" s="364"/>
      <c r="Z256" s="364"/>
    </row>
    <row r="257" spans="1:26" ht="15.75" customHeight="1" x14ac:dyDescent="0.25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4"/>
      <c r="P257" s="364"/>
      <c r="Q257" s="364"/>
      <c r="R257" s="364"/>
      <c r="S257" s="364"/>
      <c r="T257" s="364"/>
      <c r="U257" s="364"/>
      <c r="V257" s="364"/>
      <c r="W257" s="364"/>
      <c r="X257" s="364"/>
      <c r="Y257" s="364"/>
      <c r="Z257" s="364"/>
    </row>
    <row r="258" spans="1:26" ht="15.75" customHeight="1" x14ac:dyDescent="0.25">
      <c r="A258" s="364"/>
      <c r="B258" s="364"/>
      <c r="C258" s="364"/>
      <c r="D258" s="364"/>
      <c r="E258" s="364"/>
      <c r="F258" s="364"/>
      <c r="G258" s="364"/>
      <c r="H258" s="364"/>
      <c r="I258" s="364"/>
      <c r="J258" s="364"/>
      <c r="K258" s="364"/>
      <c r="L258" s="364"/>
      <c r="M258" s="364"/>
      <c r="N258" s="364"/>
      <c r="O258" s="364"/>
      <c r="P258" s="364"/>
      <c r="Q258" s="364"/>
      <c r="R258" s="364"/>
      <c r="S258" s="364"/>
      <c r="T258" s="364"/>
      <c r="U258" s="364"/>
      <c r="V258" s="364"/>
      <c r="W258" s="364"/>
      <c r="X258" s="364"/>
      <c r="Y258" s="364"/>
      <c r="Z258" s="364"/>
    </row>
    <row r="259" spans="1:26" ht="15.75" customHeight="1" x14ac:dyDescent="0.25">
      <c r="A259" s="364"/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</row>
    <row r="260" spans="1:26" ht="15.75" customHeight="1" x14ac:dyDescent="0.25">
      <c r="A260" s="364"/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</row>
    <row r="261" spans="1:26" ht="15.75" customHeight="1" x14ac:dyDescent="0.25">
      <c r="A261" s="364"/>
      <c r="B261" s="364"/>
      <c r="C261" s="364"/>
      <c r="D261" s="364"/>
      <c r="E261" s="364"/>
      <c r="F261" s="364"/>
      <c r="G261" s="364"/>
      <c r="H261" s="364"/>
      <c r="I261" s="364"/>
      <c r="J261" s="364"/>
      <c r="K261" s="364"/>
      <c r="L261" s="364"/>
      <c r="M261" s="364"/>
      <c r="N261" s="364"/>
      <c r="O261" s="364"/>
      <c r="P261" s="364"/>
      <c r="Q261" s="364"/>
      <c r="R261" s="364"/>
      <c r="S261" s="364"/>
      <c r="T261" s="364"/>
      <c r="U261" s="364"/>
      <c r="V261" s="364"/>
      <c r="W261" s="364"/>
      <c r="X261" s="364"/>
      <c r="Y261" s="364"/>
      <c r="Z261" s="364"/>
    </row>
    <row r="262" spans="1:26" ht="15.75" customHeight="1" x14ac:dyDescent="0.25">
      <c r="A262" s="364"/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4"/>
      <c r="P262" s="364"/>
      <c r="Q262" s="364"/>
      <c r="R262" s="364"/>
      <c r="S262" s="364"/>
      <c r="T262" s="364"/>
      <c r="U262" s="364"/>
      <c r="V262" s="364"/>
      <c r="W262" s="364"/>
      <c r="X262" s="364"/>
      <c r="Y262" s="364"/>
      <c r="Z262" s="364"/>
    </row>
    <row r="263" spans="1:26" ht="15.75" customHeight="1" x14ac:dyDescent="0.25">
      <c r="A263" s="364"/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4"/>
      <c r="P263" s="364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</row>
    <row r="264" spans="1:26" ht="15.75" customHeight="1" x14ac:dyDescent="0.25">
      <c r="A264" s="364"/>
      <c r="B264" s="364"/>
      <c r="C264" s="364"/>
      <c r="D264" s="364"/>
      <c r="E264" s="364"/>
      <c r="F264" s="364"/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4"/>
      <c r="S264" s="364"/>
      <c r="T264" s="364"/>
      <c r="U264" s="364"/>
      <c r="V264" s="364"/>
      <c r="W264" s="364"/>
      <c r="X264" s="364"/>
      <c r="Y264" s="364"/>
      <c r="Z264" s="364"/>
    </row>
    <row r="265" spans="1:26" ht="15.75" customHeight="1" x14ac:dyDescent="0.25">
      <c r="A265" s="364"/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</row>
    <row r="266" spans="1:26" ht="15.75" customHeight="1" x14ac:dyDescent="0.25">
      <c r="A266" s="364"/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</row>
    <row r="267" spans="1:26" ht="15.75" customHeight="1" x14ac:dyDescent="0.25">
      <c r="A267" s="364"/>
      <c r="B267" s="364"/>
      <c r="C267" s="364"/>
      <c r="D267" s="364"/>
      <c r="E267" s="364"/>
      <c r="F267" s="364"/>
      <c r="G267" s="364"/>
      <c r="H267" s="364"/>
      <c r="I267" s="364"/>
      <c r="J267" s="364"/>
      <c r="K267" s="364"/>
      <c r="L267" s="364"/>
      <c r="M267" s="364"/>
      <c r="N267" s="364"/>
      <c r="O267" s="364"/>
      <c r="P267" s="364"/>
      <c r="Q267" s="364"/>
      <c r="R267" s="364"/>
      <c r="S267" s="364"/>
      <c r="T267" s="364"/>
      <c r="U267" s="364"/>
      <c r="V267" s="364"/>
      <c r="W267" s="364"/>
      <c r="X267" s="364"/>
      <c r="Y267" s="364"/>
      <c r="Z267" s="364"/>
    </row>
    <row r="268" spans="1:26" ht="15.75" customHeight="1" x14ac:dyDescent="0.25">
      <c r="A268" s="364"/>
      <c r="B268" s="364"/>
      <c r="C268" s="364"/>
      <c r="D268" s="364"/>
      <c r="E268" s="364"/>
      <c r="F268" s="364"/>
      <c r="G268" s="364"/>
      <c r="H268" s="364"/>
      <c r="I268" s="364"/>
      <c r="J268" s="364"/>
      <c r="K268" s="364"/>
      <c r="L268" s="364"/>
      <c r="M268" s="364"/>
      <c r="N268" s="364"/>
      <c r="O268" s="364"/>
      <c r="P268" s="364"/>
      <c r="Q268" s="364"/>
      <c r="R268" s="364"/>
      <c r="S268" s="364"/>
      <c r="T268" s="364"/>
      <c r="U268" s="364"/>
      <c r="V268" s="364"/>
      <c r="W268" s="364"/>
      <c r="X268" s="364"/>
      <c r="Y268" s="364"/>
      <c r="Z268" s="364"/>
    </row>
    <row r="269" spans="1:26" ht="15.75" customHeight="1" x14ac:dyDescent="0.25">
      <c r="A269" s="364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4"/>
      <c r="P269" s="364"/>
      <c r="Q269" s="364"/>
      <c r="R269" s="364"/>
      <c r="S269" s="364"/>
      <c r="T269" s="364"/>
      <c r="U269" s="364"/>
      <c r="V269" s="364"/>
      <c r="W269" s="364"/>
      <c r="X269" s="364"/>
      <c r="Y269" s="364"/>
      <c r="Z269" s="364"/>
    </row>
    <row r="270" spans="1:26" ht="15.75" customHeight="1" x14ac:dyDescent="0.25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4"/>
      <c r="P270" s="364"/>
      <c r="Q270" s="364"/>
      <c r="R270" s="364"/>
      <c r="S270" s="364"/>
      <c r="T270" s="364"/>
      <c r="U270" s="364"/>
      <c r="V270" s="364"/>
      <c r="W270" s="364"/>
      <c r="X270" s="364"/>
      <c r="Y270" s="364"/>
      <c r="Z270" s="364"/>
    </row>
    <row r="271" spans="1:26" ht="15.75" customHeight="1" x14ac:dyDescent="0.25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</row>
    <row r="272" spans="1:26" ht="15.75" customHeight="1" x14ac:dyDescent="0.25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</row>
    <row r="273" spans="1:26" ht="15.75" customHeight="1" x14ac:dyDescent="0.25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4"/>
      <c r="V273" s="364"/>
      <c r="W273" s="364"/>
      <c r="X273" s="364"/>
      <c r="Y273" s="364"/>
      <c r="Z273" s="364"/>
    </row>
    <row r="274" spans="1:26" ht="15.75" customHeight="1" x14ac:dyDescent="0.25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364"/>
      <c r="P274" s="364"/>
      <c r="Q274" s="364"/>
      <c r="R274" s="364"/>
      <c r="S274" s="364"/>
      <c r="T274" s="364"/>
      <c r="U274" s="364"/>
      <c r="V274" s="364"/>
      <c r="W274" s="364"/>
      <c r="X274" s="364"/>
      <c r="Y274" s="364"/>
      <c r="Z274" s="364"/>
    </row>
    <row r="275" spans="1:26" ht="15.75" customHeight="1" x14ac:dyDescent="0.25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4"/>
      <c r="P275" s="364"/>
      <c r="Q275" s="364"/>
      <c r="R275" s="364"/>
      <c r="S275" s="364"/>
      <c r="T275" s="364"/>
      <c r="U275" s="364"/>
      <c r="V275" s="364"/>
      <c r="W275" s="364"/>
      <c r="X275" s="364"/>
      <c r="Y275" s="364"/>
      <c r="Z275" s="364"/>
    </row>
    <row r="276" spans="1:26" ht="15.75" customHeight="1" x14ac:dyDescent="0.25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364"/>
      <c r="P276" s="364"/>
      <c r="Q276" s="364"/>
      <c r="R276" s="364"/>
      <c r="S276" s="364"/>
      <c r="T276" s="364"/>
      <c r="U276" s="364"/>
      <c r="V276" s="364"/>
      <c r="W276" s="364"/>
      <c r="X276" s="364"/>
      <c r="Y276" s="364"/>
      <c r="Z276" s="364"/>
    </row>
    <row r="277" spans="1:26" ht="15.75" customHeight="1" x14ac:dyDescent="0.25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</row>
    <row r="278" spans="1:26" ht="15.75" customHeight="1" x14ac:dyDescent="0.25">
      <c r="A278" s="364"/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</row>
    <row r="279" spans="1:26" ht="15.75" customHeight="1" x14ac:dyDescent="0.25">
      <c r="A279" s="364"/>
      <c r="B279" s="364"/>
      <c r="C279" s="364"/>
      <c r="D279" s="364"/>
      <c r="E279" s="364"/>
      <c r="F279" s="364"/>
      <c r="G279" s="364"/>
      <c r="H279" s="364"/>
      <c r="I279" s="364"/>
      <c r="J279" s="364"/>
      <c r="K279" s="364"/>
      <c r="L279" s="364"/>
      <c r="M279" s="364"/>
      <c r="N279" s="364"/>
      <c r="O279" s="364"/>
      <c r="P279" s="364"/>
      <c r="Q279" s="364"/>
      <c r="R279" s="364"/>
      <c r="S279" s="364"/>
      <c r="T279" s="364"/>
      <c r="U279" s="364"/>
      <c r="V279" s="364"/>
      <c r="W279" s="364"/>
      <c r="X279" s="364"/>
      <c r="Y279" s="364"/>
      <c r="Z279" s="364"/>
    </row>
    <row r="280" spans="1:26" ht="15.75" customHeight="1" x14ac:dyDescent="0.25">
      <c r="A280" s="364"/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4"/>
      <c r="P280" s="364"/>
      <c r="Q280" s="364"/>
      <c r="R280" s="364"/>
      <c r="S280" s="364"/>
      <c r="T280" s="364"/>
      <c r="U280" s="364"/>
      <c r="V280" s="364"/>
      <c r="W280" s="364"/>
      <c r="X280" s="364"/>
      <c r="Y280" s="364"/>
      <c r="Z280" s="364"/>
    </row>
    <row r="281" spans="1:26" ht="15.75" customHeight="1" x14ac:dyDescent="0.25">
      <c r="A281" s="364"/>
      <c r="B281" s="364"/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64"/>
      <c r="P281" s="364"/>
      <c r="Q281" s="364"/>
      <c r="R281" s="364"/>
      <c r="S281" s="364"/>
      <c r="T281" s="364"/>
      <c r="U281" s="364"/>
      <c r="V281" s="364"/>
      <c r="W281" s="364"/>
      <c r="X281" s="364"/>
      <c r="Y281" s="364"/>
      <c r="Z281" s="364"/>
    </row>
    <row r="282" spans="1:26" ht="15.75" customHeight="1" x14ac:dyDescent="0.25">
      <c r="A282" s="364"/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</row>
    <row r="283" spans="1:26" ht="15.75" customHeight="1" x14ac:dyDescent="0.25">
      <c r="A283" s="364"/>
      <c r="B283" s="364"/>
      <c r="C283" s="364"/>
      <c r="D283" s="364"/>
      <c r="E283" s="364"/>
      <c r="F283" s="364"/>
      <c r="G283" s="364"/>
      <c r="H283" s="364"/>
      <c r="I283" s="364"/>
      <c r="J283" s="364"/>
      <c r="K283" s="364"/>
      <c r="L283" s="364"/>
      <c r="M283" s="364"/>
      <c r="N283" s="364"/>
      <c r="O283" s="364"/>
      <c r="P283" s="364"/>
      <c r="Q283" s="364"/>
      <c r="R283" s="364"/>
      <c r="S283" s="364"/>
      <c r="T283" s="364"/>
      <c r="U283" s="364"/>
      <c r="V283" s="364"/>
      <c r="W283" s="364"/>
      <c r="X283" s="364"/>
      <c r="Y283" s="364"/>
      <c r="Z283" s="364"/>
    </row>
    <row r="284" spans="1:26" ht="15.75" customHeight="1" x14ac:dyDescent="0.25">
      <c r="A284" s="364"/>
      <c r="B284" s="364"/>
      <c r="C284" s="364"/>
      <c r="D284" s="364"/>
      <c r="E284" s="364"/>
      <c r="F284" s="364"/>
      <c r="G284" s="364"/>
      <c r="H284" s="364"/>
      <c r="I284" s="364"/>
      <c r="J284" s="364"/>
      <c r="K284" s="364"/>
      <c r="L284" s="364"/>
      <c r="M284" s="364"/>
      <c r="N284" s="364"/>
      <c r="O284" s="364"/>
      <c r="P284" s="364"/>
      <c r="Q284" s="364"/>
      <c r="R284" s="364"/>
      <c r="S284" s="364"/>
      <c r="T284" s="364"/>
      <c r="U284" s="364"/>
      <c r="V284" s="364"/>
      <c r="W284" s="364"/>
      <c r="X284" s="364"/>
      <c r="Y284" s="364"/>
      <c r="Z284" s="364"/>
    </row>
    <row r="285" spans="1:26" ht="15.75" customHeight="1" x14ac:dyDescent="0.25">
      <c r="A285" s="364"/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4"/>
      <c r="P285" s="364"/>
      <c r="Q285" s="364"/>
      <c r="R285" s="364"/>
      <c r="S285" s="364"/>
      <c r="T285" s="364"/>
      <c r="U285" s="364"/>
      <c r="V285" s="364"/>
      <c r="W285" s="364"/>
      <c r="X285" s="364"/>
      <c r="Y285" s="364"/>
      <c r="Z285" s="364"/>
    </row>
    <row r="286" spans="1:26" ht="15.75" customHeight="1" x14ac:dyDescent="0.25">
      <c r="A286" s="364"/>
      <c r="B286" s="364"/>
      <c r="C286" s="364"/>
      <c r="D286" s="364"/>
      <c r="E286" s="364"/>
      <c r="F286" s="364"/>
      <c r="G286" s="364"/>
      <c r="H286" s="364"/>
      <c r="I286" s="364"/>
      <c r="J286" s="364"/>
      <c r="K286" s="364"/>
      <c r="L286" s="364"/>
      <c r="M286" s="364"/>
      <c r="N286" s="364"/>
      <c r="O286" s="364"/>
      <c r="P286" s="364"/>
      <c r="Q286" s="364"/>
      <c r="R286" s="364"/>
      <c r="S286" s="364"/>
      <c r="T286" s="364"/>
      <c r="U286" s="364"/>
      <c r="V286" s="364"/>
      <c r="W286" s="364"/>
      <c r="X286" s="364"/>
      <c r="Y286" s="364"/>
      <c r="Z286" s="364"/>
    </row>
    <row r="287" spans="1:26" ht="15.75" customHeight="1" x14ac:dyDescent="0.25">
      <c r="A287" s="364"/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</row>
    <row r="288" spans="1:26" ht="15.75" customHeight="1" x14ac:dyDescent="0.25">
      <c r="A288" s="364"/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</row>
    <row r="289" spans="1:26" ht="15.75" customHeight="1" x14ac:dyDescent="0.25">
      <c r="A289" s="364"/>
      <c r="B289" s="364"/>
      <c r="C289" s="364"/>
      <c r="D289" s="364"/>
      <c r="E289" s="364"/>
      <c r="F289" s="364"/>
      <c r="G289" s="364"/>
      <c r="H289" s="364"/>
      <c r="I289" s="364"/>
      <c r="J289" s="364"/>
      <c r="K289" s="364"/>
      <c r="L289" s="364"/>
      <c r="M289" s="364"/>
      <c r="N289" s="364"/>
      <c r="O289" s="364"/>
      <c r="P289" s="364"/>
      <c r="Q289" s="364"/>
      <c r="R289" s="364"/>
      <c r="S289" s="364"/>
      <c r="T289" s="364"/>
      <c r="U289" s="364"/>
      <c r="V289" s="364"/>
      <c r="W289" s="364"/>
      <c r="X289" s="364"/>
      <c r="Y289" s="364"/>
      <c r="Z289" s="364"/>
    </row>
    <row r="290" spans="1:26" ht="15.75" customHeight="1" x14ac:dyDescent="0.25">
      <c r="A290" s="364"/>
      <c r="B290" s="364"/>
      <c r="C290" s="364"/>
      <c r="D290" s="364"/>
      <c r="E290" s="364"/>
      <c r="F290" s="364"/>
      <c r="G290" s="364"/>
      <c r="H290" s="364"/>
      <c r="I290" s="364"/>
      <c r="J290" s="364"/>
      <c r="K290" s="364"/>
      <c r="L290" s="364"/>
      <c r="M290" s="364"/>
      <c r="N290" s="364"/>
      <c r="O290" s="364"/>
      <c r="P290" s="364"/>
      <c r="Q290" s="364"/>
      <c r="R290" s="364"/>
      <c r="S290" s="364"/>
      <c r="T290" s="364"/>
      <c r="U290" s="364"/>
      <c r="V290" s="364"/>
      <c r="W290" s="364"/>
      <c r="X290" s="364"/>
      <c r="Y290" s="364"/>
      <c r="Z290" s="364"/>
    </row>
    <row r="291" spans="1:26" ht="15.75" customHeight="1" x14ac:dyDescent="0.25">
      <c r="A291" s="364"/>
      <c r="B291" s="364"/>
      <c r="C291" s="364"/>
      <c r="D291" s="364"/>
      <c r="E291" s="364"/>
      <c r="F291" s="364"/>
      <c r="G291" s="364"/>
      <c r="H291" s="364"/>
      <c r="I291" s="364"/>
      <c r="J291" s="364"/>
      <c r="K291" s="364"/>
      <c r="L291" s="364"/>
      <c r="M291" s="364"/>
      <c r="N291" s="364"/>
      <c r="O291" s="364"/>
      <c r="P291" s="364"/>
      <c r="Q291" s="364"/>
      <c r="R291" s="364"/>
      <c r="S291" s="364"/>
      <c r="T291" s="364"/>
      <c r="U291" s="364"/>
      <c r="V291" s="364"/>
      <c r="W291" s="364"/>
      <c r="X291" s="364"/>
      <c r="Y291" s="364"/>
      <c r="Z291" s="364"/>
    </row>
    <row r="292" spans="1:26" ht="15.75" customHeight="1" x14ac:dyDescent="0.25">
      <c r="A292" s="364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</row>
    <row r="293" spans="1:26" ht="15.75" customHeight="1" x14ac:dyDescent="0.25">
      <c r="A293" s="364"/>
      <c r="B293" s="364"/>
      <c r="C293" s="364"/>
      <c r="D293" s="364"/>
      <c r="E293" s="364"/>
      <c r="F293" s="364"/>
      <c r="G293" s="364"/>
      <c r="H293" s="364"/>
      <c r="I293" s="364"/>
      <c r="J293" s="364"/>
      <c r="K293" s="364"/>
      <c r="L293" s="364"/>
      <c r="M293" s="364"/>
      <c r="N293" s="364"/>
      <c r="O293" s="364"/>
      <c r="P293" s="364"/>
      <c r="Q293" s="364"/>
      <c r="R293" s="364"/>
      <c r="S293" s="364"/>
      <c r="T293" s="364"/>
      <c r="U293" s="364"/>
      <c r="V293" s="364"/>
      <c r="W293" s="364"/>
      <c r="X293" s="364"/>
      <c r="Y293" s="364"/>
      <c r="Z293" s="364"/>
    </row>
    <row r="294" spans="1:26" ht="15.75" customHeight="1" x14ac:dyDescent="0.25">
      <c r="A294" s="364"/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</row>
    <row r="295" spans="1:26" ht="15.75" customHeight="1" x14ac:dyDescent="0.25">
      <c r="A295" s="364"/>
      <c r="B295" s="364"/>
      <c r="C295" s="364"/>
      <c r="D295" s="364"/>
      <c r="E295" s="364"/>
      <c r="F295" s="364"/>
      <c r="G295" s="364"/>
      <c r="H295" s="364"/>
      <c r="I295" s="364"/>
      <c r="J295" s="364"/>
      <c r="K295" s="364"/>
      <c r="L295" s="364"/>
      <c r="M295" s="364"/>
      <c r="N295" s="364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</row>
    <row r="296" spans="1:26" ht="15.75" customHeight="1" x14ac:dyDescent="0.25">
      <c r="A296" s="364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</row>
    <row r="297" spans="1:26" ht="15.75" customHeight="1" x14ac:dyDescent="0.25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4"/>
      <c r="P297" s="364"/>
      <c r="Q297" s="364"/>
      <c r="R297" s="364"/>
      <c r="S297" s="364"/>
      <c r="T297" s="364"/>
      <c r="U297" s="364"/>
      <c r="V297" s="364"/>
      <c r="W297" s="364"/>
      <c r="X297" s="364"/>
      <c r="Y297" s="364"/>
      <c r="Z297" s="364"/>
    </row>
    <row r="298" spans="1:26" ht="15.75" customHeight="1" x14ac:dyDescent="0.25">
      <c r="A298" s="364"/>
      <c r="B298" s="364"/>
      <c r="C298" s="364"/>
      <c r="D298" s="364"/>
      <c r="E298" s="364"/>
      <c r="F298" s="364"/>
      <c r="G298" s="364"/>
      <c r="H298" s="364"/>
      <c r="I298" s="364"/>
      <c r="J298" s="364"/>
      <c r="K298" s="364"/>
      <c r="L298" s="364"/>
      <c r="M298" s="364"/>
      <c r="N298" s="364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</row>
    <row r="299" spans="1:26" ht="15.75" customHeight="1" x14ac:dyDescent="0.25">
      <c r="A299" s="364"/>
      <c r="B299" s="364"/>
      <c r="C299" s="364"/>
      <c r="D299" s="364"/>
      <c r="E299" s="364"/>
      <c r="F299" s="364"/>
      <c r="G299" s="364"/>
      <c r="H299" s="364"/>
      <c r="I299" s="364"/>
      <c r="J299" s="364"/>
      <c r="K299" s="364"/>
      <c r="L299" s="364"/>
      <c r="M299" s="364"/>
      <c r="N299" s="364"/>
      <c r="O299" s="364"/>
      <c r="P299" s="364"/>
      <c r="Q299" s="364"/>
      <c r="R299" s="364"/>
      <c r="S299" s="364"/>
      <c r="T299" s="364"/>
      <c r="U299" s="364"/>
      <c r="V299" s="364"/>
      <c r="W299" s="364"/>
      <c r="X299" s="364"/>
      <c r="Y299" s="364"/>
      <c r="Z299" s="364"/>
    </row>
    <row r="300" spans="1:26" ht="15.75" customHeight="1" x14ac:dyDescent="0.25">
      <c r="A300" s="364"/>
      <c r="B300" s="364"/>
      <c r="C300" s="364"/>
      <c r="D300" s="364"/>
      <c r="E300" s="364"/>
      <c r="F300" s="364"/>
      <c r="G300" s="364"/>
      <c r="H300" s="364"/>
      <c r="I300" s="364"/>
      <c r="J300" s="364"/>
      <c r="K300" s="364"/>
      <c r="L300" s="364"/>
      <c r="M300" s="364"/>
      <c r="N300" s="364"/>
      <c r="O300" s="364"/>
      <c r="P300" s="364"/>
      <c r="Q300" s="364"/>
      <c r="R300" s="364"/>
      <c r="S300" s="364"/>
      <c r="T300" s="364"/>
      <c r="U300" s="364"/>
      <c r="V300" s="364"/>
      <c r="W300" s="364"/>
      <c r="X300" s="364"/>
      <c r="Y300" s="364"/>
      <c r="Z300" s="364"/>
    </row>
    <row r="301" spans="1:26" ht="15.75" customHeight="1" x14ac:dyDescent="0.25">
      <c r="A301" s="364"/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4"/>
      <c r="P301" s="364"/>
      <c r="Q301" s="364"/>
      <c r="R301" s="364"/>
      <c r="S301" s="364"/>
      <c r="T301" s="364"/>
      <c r="U301" s="364"/>
      <c r="V301" s="364"/>
      <c r="W301" s="364"/>
      <c r="X301" s="364"/>
      <c r="Y301" s="364"/>
      <c r="Z301" s="364"/>
    </row>
    <row r="302" spans="1:26" ht="15.75" customHeight="1" x14ac:dyDescent="0.25">
      <c r="A302" s="364"/>
      <c r="B302" s="364"/>
      <c r="C302" s="364"/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4"/>
      <c r="P302" s="364"/>
      <c r="Q302" s="364"/>
      <c r="R302" s="364"/>
      <c r="S302" s="364"/>
      <c r="T302" s="364"/>
      <c r="U302" s="364"/>
      <c r="V302" s="364"/>
      <c r="W302" s="364"/>
      <c r="X302" s="364"/>
      <c r="Y302" s="364"/>
      <c r="Z302" s="364"/>
    </row>
    <row r="303" spans="1:26" ht="15.75" customHeight="1" x14ac:dyDescent="0.25">
      <c r="A303" s="364"/>
      <c r="B303" s="364"/>
      <c r="C303" s="364"/>
      <c r="D303" s="364"/>
      <c r="E303" s="364"/>
      <c r="F303" s="364"/>
      <c r="G303" s="364"/>
      <c r="H303" s="364"/>
      <c r="I303" s="364"/>
      <c r="J303" s="364"/>
      <c r="K303" s="364"/>
      <c r="L303" s="364"/>
      <c r="M303" s="364"/>
      <c r="N303" s="364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</row>
    <row r="304" spans="1:26" ht="15.75" customHeight="1" x14ac:dyDescent="0.25">
      <c r="A304" s="364"/>
      <c r="B304" s="364"/>
      <c r="C304" s="364"/>
      <c r="D304" s="364"/>
      <c r="E304" s="364"/>
      <c r="F304" s="364"/>
      <c r="G304" s="364"/>
      <c r="H304" s="364"/>
      <c r="I304" s="364"/>
      <c r="J304" s="364"/>
      <c r="K304" s="364"/>
      <c r="L304" s="364"/>
      <c r="M304" s="364"/>
      <c r="N304" s="364"/>
      <c r="O304" s="364"/>
      <c r="P304" s="364"/>
      <c r="Q304" s="364"/>
      <c r="R304" s="364"/>
      <c r="S304" s="364"/>
      <c r="T304" s="364"/>
      <c r="U304" s="364"/>
      <c r="V304" s="364"/>
      <c r="W304" s="364"/>
      <c r="X304" s="364"/>
      <c r="Y304" s="364"/>
      <c r="Z304" s="364"/>
    </row>
    <row r="305" spans="1:26" ht="15.75" customHeight="1" x14ac:dyDescent="0.25">
      <c r="A305" s="364"/>
      <c r="B305" s="364"/>
      <c r="C305" s="364"/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4"/>
      <c r="P305" s="364"/>
      <c r="Q305" s="364"/>
      <c r="R305" s="364"/>
      <c r="S305" s="364"/>
      <c r="T305" s="364"/>
      <c r="U305" s="364"/>
      <c r="V305" s="364"/>
      <c r="W305" s="364"/>
      <c r="X305" s="364"/>
      <c r="Y305" s="364"/>
      <c r="Z305" s="364"/>
    </row>
    <row r="306" spans="1:26" ht="15.75" customHeight="1" x14ac:dyDescent="0.25">
      <c r="A306" s="364"/>
      <c r="B306" s="364"/>
      <c r="C306" s="364"/>
      <c r="D306" s="364"/>
      <c r="E306" s="364"/>
      <c r="F306" s="364"/>
      <c r="G306" s="364"/>
      <c r="H306" s="364"/>
      <c r="I306" s="364"/>
      <c r="J306" s="364"/>
      <c r="K306" s="364"/>
      <c r="L306" s="364"/>
      <c r="M306" s="364"/>
      <c r="N306" s="364"/>
      <c r="O306" s="364"/>
      <c r="P306" s="364"/>
      <c r="Q306" s="364"/>
      <c r="R306" s="364"/>
      <c r="S306" s="364"/>
      <c r="T306" s="364"/>
      <c r="U306" s="364"/>
      <c r="V306" s="364"/>
      <c r="W306" s="364"/>
      <c r="X306" s="364"/>
      <c r="Y306" s="364"/>
      <c r="Z306" s="364"/>
    </row>
    <row r="307" spans="1:26" ht="15.75" customHeight="1" x14ac:dyDescent="0.25">
      <c r="A307" s="364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4"/>
      <c r="P307" s="364"/>
      <c r="Q307" s="364"/>
      <c r="R307" s="364"/>
      <c r="S307" s="364"/>
      <c r="T307" s="364"/>
      <c r="U307" s="364"/>
      <c r="V307" s="364"/>
      <c r="W307" s="364"/>
      <c r="X307" s="364"/>
      <c r="Y307" s="364"/>
      <c r="Z307" s="364"/>
    </row>
    <row r="308" spans="1:26" ht="15.75" customHeight="1" x14ac:dyDescent="0.25">
      <c r="A308" s="364"/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4"/>
      <c r="P308" s="364"/>
      <c r="Q308" s="364"/>
      <c r="R308" s="364"/>
      <c r="S308" s="364"/>
      <c r="T308" s="364"/>
      <c r="U308" s="364"/>
      <c r="V308" s="364"/>
      <c r="W308" s="364"/>
      <c r="X308" s="364"/>
      <c r="Y308" s="364"/>
      <c r="Z308" s="364"/>
    </row>
    <row r="309" spans="1:26" ht="15.75" customHeight="1" x14ac:dyDescent="0.25">
      <c r="A309" s="364"/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</row>
    <row r="310" spans="1:26" ht="15.75" customHeight="1" x14ac:dyDescent="0.25">
      <c r="A310" s="364"/>
      <c r="B310" s="364"/>
      <c r="C310" s="364"/>
      <c r="D310" s="364"/>
      <c r="E310" s="364"/>
      <c r="F310" s="364"/>
      <c r="G310" s="364"/>
      <c r="H310" s="364"/>
      <c r="I310" s="364"/>
      <c r="J310" s="364"/>
      <c r="K310" s="364"/>
      <c r="L310" s="364"/>
      <c r="M310" s="364"/>
      <c r="N310" s="364"/>
      <c r="O310" s="364"/>
      <c r="P310" s="364"/>
      <c r="Q310" s="364"/>
      <c r="R310" s="364"/>
      <c r="S310" s="364"/>
      <c r="T310" s="364"/>
      <c r="U310" s="364"/>
      <c r="V310" s="364"/>
      <c r="W310" s="364"/>
      <c r="X310" s="364"/>
      <c r="Y310" s="364"/>
      <c r="Z310" s="364"/>
    </row>
    <row r="311" spans="1:26" ht="15.75" customHeight="1" x14ac:dyDescent="0.25">
      <c r="A311" s="364"/>
      <c r="B311" s="364"/>
      <c r="C311" s="364"/>
      <c r="D311" s="364"/>
      <c r="E311" s="364"/>
      <c r="F311" s="364"/>
      <c r="G311" s="364"/>
      <c r="H311" s="364"/>
      <c r="I311" s="364"/>
      <c r="J311" s="364"/>
      <c r="K311" s="364"/>
      <c r="L311" s="364"/>
      <c r="M311" s="364"/>
      <c r="N311" s="364"/>
      <c r="O311" s="364"/>
      <c r="P311" s="364"/>
      <c r="Q311" s="364"/>
      <c r="R311" s="364"/>
      <c r="S311" s="364"/>
      <c r="T311" s="364"/>
      <c r="U311" s="364"/>
      <c r="V311" s="364"/>
      <c r="W311" s="364"/>
      <c r="X311" s="364"/>
      <c r="Y311" s="364"/>
      <c r="Z311" s="364"/>
    </row>
    <row r="312" spans="1:26" ht="15.75" customHeight="1" x14ac:dyDescent="0.25">
      <c r="A312" s="364"/>
      <c r="B312" s="364"/>
      <c r="C312" s="364"/>
      <c r="D312" s="364"/>
      <c r="E312" s="364"/>
      <c r="F312" s="364"/>
      <c r="G312" s="364"/>
      <c r="H312" s="364"/>
      <c r="I312" s="364"/>
      <c r="J312" s="364"/>
      <c r="K312" s="364"/>
      <c r="L312" s="364"/>
      <c r="M312" s="364"/>
      <c r="N312" s="364"/>
      <c r="O312" s="364"/>
      <c r="P312" s="364"/>
      <c r="Q312" s="364"/>
      <c r="R312" s="364"/>
      <c r="S312" s="364"/>
      <c r="T312" s="364"/>
      <c r="U312" s="364"/>
      <c r="V312" s="364"/>
      <c r="W312" s="364"/>
      <c r="X312" s="364"/>
      <c r="Y312" s="364"/>
      <c r="Z312" s="364"/>
    </row>
    <row r="313" spans="1:26" ht="15.75" customHeight="1" x14ac:dyDescent="0.25">
      <c r="A313" s="364"/>
      <c r="B313" s="364"/>
      <c r="C313" s="364"/>
      <c r="D313" s="364"/>
      <c r="E313" s="364"/>
      <c r="F313" s="364"/>
      <c r="G313" s="364"/>
      <c r="H313" s="364"/>
      <c r="I313" s="364"/>
      <c r="J313" s="364"/>
      <c r="K313" s="364"/>
      <c r="L313" s="364"/>
      <c r="M313" s="364"/>
      <c r="N313" s="364"/>
      <c r="O313" s="364"/>
      <c r="P313" s="364"/>
      <c r="Q313" s="364"/>
      <c r="R313" s="364"/>
      <c r="S313" s="364"/>
      <c r="T313" s="364"/>
      <c r="U313" s="364"/>
      <c r="V313" s="364"/>
      <c r="W313" s="364"/>
      <c r="X313" s="364"/>
      <c r="Y313" s="364"/>
      <c r="Z313" s="364"/>
    </row>
    <row r="314" spans="1:26" ht="15.75" customHeight="1" x14ac:dyDescent="0.25">
      <c r="A314" s="364"/>
      <c r="B314" s="364"/>
      <c r="C314" s="364"/>
      <c r="D314" s="364"/>
      <c r="E314" s="364"/>
      <c r="F314" s="364"/>
      <c r="G314" s="364"/>
      <c r="H314" s="364"/>
      <c r="I314" s="364"/>
      <c r="J314" s="364"/>
      <c r="K314" s="364"/>
      <c r="L314" s="364"/>
      <c r="M314" s="364"/>
      <c r="N314" s="364"/>
      <c r="O314" s="364"/>
      <c r="P314" s="364"/>
      <c r="Q314" s="364"/>
      <c r="R314" s="364"/>
      <c r="S314" s="364"/>
      <c r="T314" s="364"/>
      <c r="U314" s="364"/>
      <c r="V314" s="364"/>
      <c r="W314" s="364"/>
      <c r="X314" s="364"/>
      <c r="Y314" s="364"/>
      <c r="Z314" s="364"/>
    </row>
    <row r="315" spans="1:26" ht="15.75" customHeight="1" x14ac:dyDescent="0.25">
      <c r="A315" s="364"/>
      <c r="B315" s="364"/>
      <c r="C315" s="364"/>
      <c r="D315" s="364"/>
      <c r="E315" s="364"/>
      <c r="F315" s="364"/>
      <c r="G315" s="364"/>
      <c r="H315" s="364"/>
      <c r="I315" s="364"/>
      <c r="J315" s="364"/>
      <c r="K315" s="364"/>
      <c r="L315" s="364"/>
      <c r="M315" s="364"/>
      <c r="N315" s="364"/>
      <c r="O315" s="364"/>
      <c r="P315" s="364"/>
      <c r="Q315" s="364"/>
      <c r="R315" s="364"/>
      <c r="S315" s="364"/>
      <c r="T315" s="364"/>
      <c r="U315" s="364"/>
      <c r="V315" s="364"/>
      <c r="W315" s="364"/>
      <c r="X315" s="364"/>
      <c r="Y315" s="364"/>
      <c r="Z315" s="364"/>
    </row>
    <row r="316" spans="1:26" ht="15.75" customHeight="1" x14ac:dyDescent="0.25">
      <c r="A316" s="364"/>
      <c r="B316" s="364"/>
      <c r="C316" s="364"/>
      <c r="D316" s="364"/>
      <c r="E316" s="364"/>
      <c r="F316" s="364"/>
      <c r="G316" s="364"/>
      <c r="H316" s="364"/>
      <c r="I316" s="364"/>
      <c r="J316" s="364"/>
      <c r="K316" s="364"/>
      <c r="L316" s="364"/>
      <c r="M316" s="364"/>
      <c r="N316" s="364"/>
      <c r="O316" s="364"/>
      <c r="P316" s="364"/>
      <c r="Q316" s="364"/>
      <c r="R316" s="364"/>
      <c r="S316" s="364"/>
      <c r="T316" s="364"/>
      <c r="U316" s="364"/>
      <c r="V316" s="364"/>
      <c r="W316" s="364"/>
      <c r="X316" s="364"/>
      <c r="Y316" s="364"/>
      <c r="Z316" s="364"/>
    </row>
    <row r="317" spans="1:26" ht="15.75" customHeight="1" x14ac:dyDescent="0.25">
      <c r="A317" s="364"/>
      <c r="B317" s="364"/>
      <c r="C317" s="364"/>
      <c r="D317" s="364"/>
      <c r="E317" s="364"/>
      <c r="F317" s="364"/>
      <c r="G317" s="364"/>
      <c r="H317" s="364"/>
      <c r="I317" s="364"/>
      <c r="J317" s="364"/>
      <c r="K317" s="364"/>
      <c r="L317" s="364"/>
      <c r="M317" s="364"/>
      <c r="N317" s="364"/>
      <c r="O317" s="364"/>
      <c r="P317" s="364"/>
      <c r="Q317" s="364"/>
      <c r="R317" s="364"/>
      <c r="S317" s="364"/>
      <c r="T317" s="364"/>
      <c r="U317" s="364"/>
      <c r="V317" s="364"/>
      <c r="W317" s="364"/>
      <c r="X317" s="364"/>
      <c r="Y317" s="364"/>
      <c r="Z317" s="364"/>
    </row>
    <row r="318" spans="1:26" ht="15.75" customHeight="1" x14ac:dyDescent="0.25">
      <c r="A318" s="364"/>
      <c r="B318" s="364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64"/>
      <c r="R318" s="364"/>
      <c r="S318" s="364"/>
      <c r="T318" s="364"/>
      <c r="U318" s="364"/>
      <c r="V318" s="364"/>
      <c r="W318" s="364"/>
      <c r="X318" s="364"/>
      <c r="Y318" s="364"/>
      <c r="Z318" s="364"/>
    </row>
    <row r="319" spans="1:26" ht="15.75" customHeight="1" x14ac:dyDescent="0.25">
      <c r="A319" s="364"/>
      <c r="B319" s="364"/>
      <c r="C319" s="364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64"/>
      <c r="R319" s="364"/>
      <c r="S319" s="364"/>
      <c r="T319" s="364"/>
      <c r="U319" s="364"/>
      <c r="V319" s="364"/>
      <c r="W319" s="364"/>
      <c r="X319" s="364"/>
      <c r="Y319" s="364"/>
      <c r="Z319" s="364"/>
    </row>
    <row r="320" spans="1:26" ht="15.75" customHeight="1" x14ac:dyDescent="0.25">
      <c r="A320" s="364"/>
      <c r="B320" s="364"/>
      <c r="C320" s="364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64"/>
      <c r="R320" s="364"/>
      <c r="S320" s="364"/>
      <c r="T320" s="364"/>
      <c r="U320" s="364"/>
      <c r="V320" s="364"/>
      <c r="W320" s="364"/>
      <c r="X320" s="364"/>
      <c r="Y320" s="364"/>
      <c r="Z320" s="364"/>
    </row>
    <row r="321" spans="1:26" ht="15.75" customHeight="1" x14ac:dyDescent="0.25">
      <c r="A321" s="364"/>
      <c r="B321" s="364"/>
      <c r="C321" s="364"/>
      <c r="D321" s="364"/>
      <c r="E321" s="364"/>
      <c r="F321" s="364"/>
      <c r="G321" s="364"/>
      <c r="H321" s="364"/>
      <c r="I321" s="364"/>
      <c r="J321" s="364"/>
      <c r="K321" s="364"/>
      <c r="L321" s="364"/>
      <c r="M321" s="364"/>
      <c r="N321" s="364"/>
      <c r="O321" s="364"/>
      <c r="P321" s="364"/>
      <c r="Q321" s="364"/>
      <c r="R321" s="364"/>
      <c r="S321" s="364"/>
      <c r="T321" s="364"/>
      <c r="U321" s="364"/>
      <c r="V321" s="364"/>
      <c r="W321" s="364"/>
      <c r="X321" s="364"/>
      <c r="Y321" s="364"/>
      <c r="Z321" s="364"/>
    </row>
    <row r="322" spans="1:26" ht="15.75" customHeight="1" x14ac:dyDescent="0.25">
      <c r="A322" s="364"/>
      <c r="B322" s="364"/>
      <c r="C322" s="364"/>
      <c r="D322" s="364"/>
      <c r="E322" s="364"/>
      <c r="F322" s="364"/>
      <c r="G322" s="364"/>
      <c r="H322" s="364"/>
      <c r="I322" s="364"/>
      <c r="J322" s="364"/>
      <c r="K322" s="364"/>
      <c r="L322" s="364"/>
      <c r="M322" s="364"/>
      <c r="N322" s="364"/>
      <c r="O322" s="364"/>
      <c r="P322" s="364"/>
      <c r="Q322" s="364"/>
      <c r="R322" s="364"/>
      <c r="S322" s="364"/>
      <c r="T322" s="364"/>
      <c r="U322" s="364"/>
      <c r="V322" s="364"/>
      <c r="W322" s="364"/>
      <c r="X322" s="364"/>
      <c r="Y322" s="364"/>
      <c r="Z322" s="364"/>
    </row>
    <row r="323" spans="1:26" ht="15.75" customHeight="1" x14ac:dyDescent="0.25">
      <c r="A323" s="364"/>
      <c r="B323" s="364"/>
      <c r="C323" s="364"/>
      <c r="D323" s="364"/>
      <c r="E323" s="364"/>
      <c r="F323" s="364"/>
      <c r="G323" s="364"/>
      <c r="H323" s="364"/>
      <c r="I323" s="364"/>
      <c r="J323" s="364"/>
      <c r="K323" s="364"/>
      <c r="L323" s="364"/>
      <c r="M323" s="364"/>
      <c r="N323" s="364"/>
      <c r="O323" s="364"/>
      <c r="P323" s="364"/>
      <c r="Q323" s="364"/>
      <c r="R323" s="364"/>
      <c r="S323" s="364"/>
      <c r="T323" s="364"/>
      <c r="U323" s="364"/>
      <c r="V323" s="364"/>
      <c r="W323" s="364"/>
      <c r="X323" s="364"/>
      <c r="Y323" s="364"/>
      <c r="Z323" s="364"/>
    </row>
    <row r="324" spans="1:26" ht="15.75" customHeight="1" x14ac:dyDescent="0.25">
      <c r="A324" s="364"/>
      <c r="B324" s="364"/>
      <c r="C324" s="364"/>
      <c r="D324" s="364"/>
      <c r="E324" s="364"/>
      <c r="F324" s="364"/>
      <c r="G324" s="364"/>
      <c r="H324" s="364"/>
      <c r="I324" s="364"/>
      <c r="J324" s="364"/>
      <c r="K324" s="364"/>
      <c r="L324" s="364"/>
      <c r="M324" s="364"/>
      <c r="N324" s="364"/>
      <c r="O324" s="364"/>
      <c r="P324" s="364"/>
      <c r="Q324" s="364"/>
      <c r="R324" s="364"/>
      <c r="S324" s="364"/>
      <c r="T324" s="364"/>
      <c r="U324" s="364"/>
      <c r="V324" s="364"/>
      <c r="W324" s="364"/>
      <c r="X324" s="364"/>
      <c r="Y324" s="364"/>
      <c r="Z324" s="364"/>
    </row>
    <row r="325" spans="1:26" ht="15.75" customHeight="1" x14ac:dyDescent="0.25">
      <c r="A325" s="364"/>
      <c r="B325" s="364"/>
      <c r="C325" s="364"/>
      <c r="D325" s="364"/>
      <c r="E325" s="364"/>
      <c r="F325" s="364"/>
      <c r="G325" s="364"/>
      <c r="H325" s="364"/>
      <c r="I325" s="364"/>
      <c r="J325" s="364"/>
      <c r="K325" s="364"/>
      <c r="L325" s="364"/>
      <c r="M325" s="364"/>
      <c r="N325" s="364"/>
      <c r="O325" s="364"/>
      <c r="P325" s="364"/>
      <c r="Q325" s="364"/>
      <c r="R325" s="364"/>
      <c r="S325" s="364"/>
      <c r="T325" s="364"/>
      <c r="U325" s="364"/>
      <c r="V325" s="364"/>
      <c r="W325" s="364"/>
      <c r="X325" s="364"/>
      <c r="Y325" s="364"/>
      <c r="Z325" s="364"/>
    </row>
    <row r="326" spans="1:26" ht="15.75" customHeight="1" x14ac:dyDescent="0.25">
      <c r="A326" s="364"/>
      <c r="B326" s="364"/>
      <c r="C326" s="364"/>
      <c r="D326" s="364"/>
      <c r="E326" s="364"/>
      <c r="F326" s="364"/>
      <c r="G326" s="364"/>
      <c r="H326" s="364"/>
      <c r="I326" s="364"/>
      <c r="J326" s="364"/>
      <c r="K326" s="364"/>
      <c r="L326" s="364"/>
      <c r="M326" s="364"/>
      <c r="N326" s="364"/>
      <c r="O326" s="364"/>
      <c r="P326" s="364"/>
      <c r="Q326" s="364"/>
      <c r="R326" s="364"/>
      <c r="S326" s="364"/>
      <c r="T326" s="364"/>
      <c r="U326" s="364"/>
      <c r="V326" s="364"/>
      <c r="W326" s="364"/>
      <c r="X326" s="364"/>
      <c r="Y326" s="364"/>
      <c r="Z326" s="364"/>
    </row>
    <row r="327" spans="1:26" ht="15.75" customHeight="1" x14ac:dyDescent="0.25">
      <c r="A327" s="364"/>
      <c r="B327" s="364"/>
      <c r="C327" s="364"/>
      <c r="D327" s="364"/>
      <c r="E327" s="364"/>
      <c r="F327" s="364"/>
      <c r="G327" s="364"/>
      <c r="H327" s="364"/>
      <c r="I327" s="364"/>
      <c r="J327" s="364"/>
      <c r="K327" s="364"/>
      <c r="L327" s="364"/>
      <c r="M327" s="364"/>
      <c r="N327" s="364"/>
      <c r="O327" s="364"/>
      <c r="P327" s="364"/>
      <c r="Q327" s="364"/>
      <c r="R327" s="364"/>
      <c r="S327" s="364"/>
      <c r="T327" s="364"/>
      <c r="U327" s="364"/>
      <c r="V327" s="364"/>
      <c r="W327" s="364"/>
      <c r="X327" s="364"/>
      <c r="Y327" s="364"/>
      <c r="Z327" s="364"/>
    </row>
    <row r="328" spans="1:26" ht="15.75" customHeight="1" x14ac:dyDescent="0.25">
      <c r="A328" s="364"/>
      <c r="B328" s="364"/>
      <c r="C328" s="364"/>
      <c r="D328" s="364"/>
      <c r="E328" s="364"/>
      <c r="F328" s="364"/>
      <c r="G328" s="364"/>
      <c r="H328" s="364"/>
      <c r="I328" s="364"/>
      <c r="J328" s="364"/>
      <c r="K328" s="364"/>
      <c r="L328" s="364"/>
      <c r="M328" s="364"/>
      <c r="N328" s="364"/>
      <c r="O328" s="364"/>
      <c r="P328" s="364"/>
      <c r="Q328" s="364"/>
      <c r="R328" s="364"/>
      <c r="S328" s="364"/>
      <c r="T328" s="364"/>
      <c r="U328" s="364"/>
      <c r="V328" s="364"/>
      <c r="W328" s="364"/>
      <c r="X328" s="364"/>
      <c r="Y328" s="364"/>
      <c r="Z328" s="364"/>
    </row>
    <row r="329" spans="1:26" ht="15.75" customHeight="1" x14ac:dyDescent="0.25">
      <c r="A329" s="364"/>
      <c r="B329" s="364"/>
      <c r="C329" s="364"/>
      <c r="D329" s="364"/>
      <c r="E329" s="364"/>
      <c r="F329" s="364"/>
      <c r="G329" s="364"/>
      <c r="H329" s="364"/>
      <c r="I329" s="364"/>
      <c r="J329" s="364"/>
      <c r="K329" s="364"/>
      <c r="L329" s="364"/>
      <c r="M329" s="364"/>
      <c r="N329" s="364"/>
      <c r="O329" s="364"/>
      <c r="P329" s="364"/>
      <c r="Q329" s="364"/>
      <c r="R329" s="364"/>
      <c r="S329" s="364"/>
      <c r="T329" s="364"/>
      <c r="U329" s="364"/>
      <c r="V329" s="364"/>
      <c r="W329" s="364"/>
      <c r="X329" s="364"/>
      <c r="Y329" s="364"/>
      <c r="Z329" s="364"/>
    </row>
    <row r="330" spans="1:26" ht="15.75" customHeight="1" x14ac:dyDescent="0.25">
      <c r="A330" s="364"/>
      <c r="B330" s="364"/>
      <c r="C330" s="364"/>
      <c r="D330" s="364"/>
      <c r="E330" s="364"/>
      <c r="F330" s="364"/>
      <c r="G330" s="364"/>
      <c r="H330" s="364"/>
      <c r="I330" s="364"/>
      <c r="J330" s="364"/>
      <c r="K330" s="364"/>
      <c r="L330" s="364"/>
      <c r="M330" s="364"/>
      <c r="N330" s="364"/>
      <c r="O330" s="364"/>
      <c r="P330" s="364"/>
      <c r="Q330" s="364"/>
      <c r="R330" s="364"/>
      <c r="S330" s="364"/>
      <c r="T330" s="364"/>
      <c r="U330" s="364"/>
      <c r="V330" s="364"/>
      <c r="W330" s="364"/>
      <c r="X330" s="364"/>
      <c r="Y330" s="364"/>
      <c r="Z330" s="364"/>
    </row>
    <row r="331" spans="1:26" ht="15.75" customHeight="1" x14ac:dyDescent="0.25">
      <c r="A331" s="364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4"/>
      <c r="P331" s="364"/>
      <c r="Q331" s="364"/>
      <c r="R331" s="364"/>
      <c r="S331" s="364"/>
      <c r="T331" s="364"/>
      <c r="U331" s="364"/>
      <c r="V331" s="364"/>
      <c r="W331" s="364"/>
      <c r="X331" s="364"/>
      <c r="Y331" s="364"/>
      <c r="Z331" s="364"/>
    </row>
    <row r="332" spans="1:26" ht="15.75" customHeight="1" x14ac:dyDescent="0.25">
      <c r="A332" s="364"/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4"/>
      <c r="P332" s="364"/>
      <c r="Q332" s="364"/>
      <c r="R332" s="364"/>
      <c r="S332" s="364"/>
      <c r="T332" s="364"/>
      <c r="U332" s="364"/>
      <c r="V332" s="364"/>
      <c r="W332" s="364"/>
      <c r="X332" s="364"/>
      <c r="Y332" s="364"/>
      <c r="Z332" s="364"/>
    </row>
    <row r="333" spans="1:26" ht="15.75" customHeight="1" x14ac:dyDescent="0.25">
      <c r="A333" s="364"/>
      <c r="B333" s="364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</row>
    <row r="334" spans="1:26" ht="15.75" customHeight="1" x14ac:dyDescent="0.25">
      <c r="A334" s="364"/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</row>
    <row r="335" spans="1:26" ht="15.75" customHeight="1" x14ac:dyDescent="0.25">
      <c r="A335" s="364"/>
      <c r="B335" s="364"/>
      <c r="C335" s="364"/>
      <c r="D335" s="364"/>
      <c r="E335" s="364"/>
      <c r="F335" s="364"/>
      <c r="G335" s="364"/>
      <c r="H335" s="364"/>
      <c r="I335" s="364"/>
      <c r="J335" s="364"/>
      <c r="K335" s="364"/>
      <c r="L335" s="364"/>
      <c r="M335" s="364"/>
      <c r="N335" s="364"/>
      <c r="O335" s="364"/>
      <c r="P335" s="364"/>
      <c r="Q335" s="364"/>
      <c r="R335" s="364"/>
      <c r="S335" s="364"/>
      <c r="T335" s="364"/>
      <c r="U335" s="364"/>
      <c r="V335" s="364"/>
      <c r="W335" s="364"/>
      <c r="X335" s="364"/>
      <c r="Y335" s="364"/>
      <c r="Z335" s="364"/>
    </row>
    <row r="336" spans="1:26" ht="15.75" customHeight="1" x14ac:dyDescent="0.25">
      <c r="A336" s="364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4"/>
      <c r="P336" s="364"/>
      <c r="Q336" s="364"/>
      <c r="R336" s="364"/>
      <c r="S336" s="364"/>
      <c r="T336" s="364"/>
      <c r="U336" s="364"/>
      <c r="V336" s="364"/>
      <c r="W336" s="364"/>
      <c r="X336" s="364"/>
      <c r="Y336" s="364"/>
      <c r="Z336" s="364"/>
    </row>
    <row r="337" spans="1:26" ht="15.75" customHeight="1" x14ac:dyDescent="0.25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4"/>
      <c r="P337" s="364"/>
      <c r="Q337" s="364"/>
      <c r="R337" s="364"/>
      <c r="S337" s="364"/>
      <c r="T337" s="364"/>
      <c r="U337" s="364"/>
      <c r="V337" s="364"/>
      <c r="W337" s="364"/>
      <c r="X337" s="364"/>
      <c r="Y337" s="364"/>
      <c r="Z337" s="364"/>
    </row>
    <row r="338" spans="1:26" ht="15.75" customHeight="1" x14ac:dyDescent="0.25">
      <c r="A338" s="364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364"/>
      <c r="P338" s="364"/>
      <c r="Q338" s="364"/>
      <c r="R338" s="364"/>
      <c r="S338" s="364"/>
      <c r="T338" s="364"/>
      <c r="U338" s="364"/>
      <c r="V338" s="364"/>
      <c r="W338" s="364"/>
      <c r="X338" s="364"/>
      <c r="Y338" s="364"/>
      <c r="Z338" s="364"/>
    </row>
    <row r="339" spans="1:26" ht="15.75" customHeight="1" x14ac:dyDescent="0.25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364"/>
      <c r="P339" s="364"/>
      <c r="Q339" s="364"/>
      <c r="R339" s="364"/>
      <c r="S339" s="364"/>
      <c r="T339" s="364"/>
      <c r="U339" s="364"/>
      <c r="V339" s="364"/>
      <c r="W339" s="364"/>
      <c r="X339" s="364"/>
      <c r="Y339" s="364"/>
      <c r="Z339" s="364"/>
    </row>
    <row r="340" spans="1:26" ht="15.75" customHeight="1" x14ac:dyDescent="0.25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364"/>
      <c r="P340" s="364"/>
      <c r="Q340" s="364"/>
      <c r="R340" s="364"/>
      <c r="S340" s="364"/>
      <c r="T340" s="364"/>
      <c r="U340" s="364"/>
      <c r="V340" s="364"/>
      <c r="W340" s="364"/>
      <c r="X340" s="364"/>
      <c r="Y340" s="364"/>
      <c r="Z340" s="364"/>
    </row>
    <row r="341" spans="1:26" ht="15.75" customHeight="1" x14ac:dyDescent="0.25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364"/>
      <c r="P341" s="364"/>
      <c r="Q341" s="364"/>
      <c r="R341" s="364"/>
      <c r="S341" s="364"/>
      <c r="T341" s="364"/>
      <c r="U341" s="364"/>
      <c r="V341" s="364"/>
      <c r="W341" s="364"/>
      <c r="X341" s="364"/>
      <c r="Y341" s="364"/>
      <c r="Z341" s="364"/>
    </row>
    <row r="342" spans="1:26" ht="15.75" customHeight="1" x14ac:dyDescent="0.25">
      <c r="A342" s="364"/>
      <c r="B342" s="364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364"/>
      <c r="P342" s="364"/>
      <c r="Q342" s="364"/>
      <c r="R342" s="364"/>
      <c r="S342" s="364"/>
      <c r="T342" s="364"/>
      <c r="U342" s="364"/>
      <c r="V342" s="364"/>
      <c r="W342" s="364"/>
      <c r="X342" s="364"/>
      <c r="Y342" s="364"/>
      <c r="Z342" s="364"/>
    </row>
    <row r="343" spans="1:26" ht="15.75" customHeight="1" x14ac:dyDescent="0.25">
      <c r="A343" s="364"/>
      <c r="B343" s="364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364"/>
      <c r="P343" s="364"/>
      <c r="Q343" s="364"/>
      <c r="R343" s="364"/>
      <c r="S343" s="364"/>
      <c r="T343" s="364"/>
      <c r="U343" s="364"/>
      <c r="V343" s="364"/>
      <c r="W343" s="364"/>
      <c r="X343" s="364"/>
      <c r="Y343" s="364"/>
      <c r="Z343" s="364"/>
    </row>
    <row r="344" spans="1:26" ht="15.75" customHeight="1" x14ac:dyDescent="0.25">
      <c r="A344" s="364"/>
      <c r="B344" s="364"/>
      <c r="C344" s="364"/>
      <c r="D344" s="364"/>
      <c r="E344" s="364"/>
      <c r="F344" s="364"/>
      <c r="G344" s="364"/>
      <c r="H344" s="364"/>
      <c r="I344" s="364"/>
      <c r="J344" s="364"/>
      <c r="K344" s="364"/>
      <c r="L344" s="364"/>
      <c r="M344" s="364"/>
      <c r="N344" s="364"/>
      <c r="O344" s="364"/>
      <c r="P344" s="364"/>
      <c r="Q344" s="364"/>
      <c r="R344" s="364"/>
      <c r="S344" s="364"/>
      <c r="T344" s="364"/>
      <c r="U344" s="364"/>
      <c r="V344" s="364"/>
      <c r="W344" s="364"/>
      <c r="X344" s="364"/>
      <c r="Y344" s="364"/>
      <c r="Z344" s="364"/>
    </row>
    <row r="345" spans="1:26" ht="15.75" customHeight="1" x14ac:dyDescent="0.25">
      <c r="A345" s="364"/>
      <c r="B345" s="364"/>
      <c r="C345" s="364"/>
      <c r="D345" s="364"/>
      <c r="E345" s="364"/>
      <c r="F345" s="364"/>
      <c r="G345" s="364"/>
      <c r="H345" s="364"/>
      <c r="I345" s="364"/>
      <c r="J345" s="364"/>
      <c r="K345" s="364"/>
      <c r="L345" s="364"/>
      <c r="M345" s="364"/>
      <c r="N345" s="364"/>
      <c r="O345" s="364"/>
      <c r="P345" s="364"/>
      <c r="Q345" s="364"/>
      <c r="R345" s="364"/>
      <c r="S345" s="364"/>
      <c r="T345" s="364"/>
      <c r="U345" s="364"/>
      <c r="V345" s="364"/>
      <c r="W345" s="364"/>
      <c r="X345" s="364"/>
      <c r="Y345" s="364"/>
      <c r="Z345" s="364"/>
    </row>
    <row r="346" spans="1:26" ht="15.75" customHeight="1" x14ac:dyDescent="0.25">
      <c r="A346" s="364"/>
      <c r="B346" s="364"/>
      <c r="C346" s="364"/>
      <c r="D346" s="364"/>
      <c r="E346" s="364"/>
      <c r="F346" s="364"/>
      <c r="G346" s="364"/>
      <c r="H346" s="364"/>
      <c r="I346" s="364"/>
      <c r="J346" s="364"/>
      <c r="K346" s="364"/>
      <c r="L346" s="364"/>
      <c r="M346" s="364"/>
      <c r="N346" s="364"/>
      <c r="O346" s="364"/>
      <c r="P346" s="364"/>
      <c r="Q346" s="364"/>
      <c r="R346" s="364"/>
      <c r="S346" s="364"/>
      <c r="T346" s="364"/>
      <c r="U346" s="364"/>
      <c r="V346" s="364"/>
      <c r="W346" s="364"/>
      <c r="X346" s="364"/>
      <c r="Y346" s="364"/>
      <c r="Z346" s="364"/>
    </row>
    <row r="347" spans="1:26" ht="15.75" customHeight="1" x14ac:dyDescent="0.25">
      <c r="A347" s="364"/>
      <c r="B347" s="364"/>
      <c r="C347" s="364"/>
      <c r="D347" s="364"/>
      <c r="E347" s="364"/>
      <c r="F347" s="364"/>
      <c r="G347" s="364"/>
      <c r="H347" s="364"/>
      <c r="I347" s="364"/>
      <c r="J347" s="364"/>
      <c r="K347" s="364"/>
      <c r="L347" s="364"/>
      <c r="M347" s="364"/>
      <c r="N347" s="364"/>
      <c r="O347" s="364"/>
      <c r="P347" s="364"/>
      <c r="Q347" s="364"/>
      <c r="R347" s="364"/>
      <c r="S347" s="364"/>
      <c r="T347" s="364"/>
      <c r="U347" s="364"/>
      <c r="V347" s="364"/>
      <c r="W347" s="364"/>
      <c r="X347" s="364"/>
      <c r="Y347" s="364"/>
      <c r="Z347" s="364"/>
    </row>
    <row r="348" spans="1:26" ht="15.75" customHeight="1" x14ac:dyDescent="0.25">
      <c r="A348" s="364"/>
      <c r="B348" s="364"/>
      <c r="C348" s="364"/>
      <c r="D348" s="364"/>
      <c r="E348" s="364"/>
      <c r="F348" s="364"/>
      <c r="G348" s="364"/>
      <c r="H348" s="364"/>
      <c r="I348" s="364"/>
      <c r="J348" s="364"/>
      <c r="K348" s="364"/>
      <c r="L348" s="364"/>
      <c r="M348" s="364"/>
      <c r="N348" s="364"/>
      <c r="O348" s="364"/>
      <c r="P348" s="364"/>
      <c r="Q348" s="364"/>
      <c r="R348" s="364"/>
      <c r="S348" s="364"/>
      <c r="T348" s="364"/>
      <c r="U348" s="364"/>
      <c r="V348" s="364"/>
      <c r="W348" s="364"/>
      <c r="X348" s="364"/>
      <c r="Y348" s="364"/>
      <c r="Z348" s="364"/>
    </row>
    <row r="349" spans="1:26" ht="15.75" customHeight="1" x14ac:dyDescent="0.25">
      <c r="A349" s="364"/>
      <c r="B349" s="364"/>
      <c r="C349" s="364"/>
      <c r="D349" s="364"/>
      <c r="E349" s="364"/>
      <c r="F349" s="364"/>
      <c r="G349" s="364"/>
      <c r="H349" s="364"/>
      <c r="I349" s="364"/>
      <c r="J349" s="364"/>
      <c r="K349" s="364"/>
      <c r="L349" s="364"/>
      <c r="M349" s="364"/>
      <c r="N349" s="364"/>
      <c r="O349" s="364"/>
      <c r="P349" s="364"/>
      <c r="Q349" s="364"/>
      <c r="R349" s="364"/>
      <c r="S349" s="364"/>
      <c r="T349" s="364"/>
      <c r="U349" s="364"/>
      <c r="V349" s="364"/>
      <c r="W349" s="364"/>
      <c r="X349" s="364"/>
      <c r="Y349" s="364"/>
      <c r="Z349" s="364"/>
    </row>
    <row r="350" spans="1:26" ht="15.75" customHeight="1" x14ac:dyDescent="0.25">
      <c r="A350" s="364"/>
      <c r="B350" s="364"/>
      <c r="C350" s="364"/>
      <c r="D350" s="364"/>
      <c r="E350" s="364"/>
      <c r="F350" s="364"/>
      <c r="G350" s="364"/>
      <c r="H350" s="364"/>
      <c r="I350" s="364"/>
      <c r="J350" s="364"/>
      <c r="K350" s="364"/>
      <c r="L350" s="364"/>
      <c r="M350" s="364"/>
      <c r="N350" s="364"/>
      <c r="O350" s="364"/>
      <c r="P350" s="364"/>
      <c r="Q350" s="364"/>
      <c r="R350" s="364"/>
      <c r="S350" s="364"/>
      <c r="T350" s="364"/>
      <c r="U350" s="364"/>
      <c r="V350" s="364"/>
      <c r="W350" s="364"/>
      <c r="X350" s="364"/>
      <c r="Y350" s="364"/>
      <c r="Z350" s="364"/>
    </row>
    <row r="351" spans="1:26" ht="15.75" customHeight="1" x14ac:dyDescent="0.25">
      <c r="A351" s="364"/>
      <c r="B351" s="364"/>
      <c r="C351" s="364"/>
      <c r="D351" s="364"/>
      <c r="E351" s="364"/>
      <c r="F351" s="364"/>
      <c r="G351" s="364"/>
      <c r="H351" s="364"/>
      <c r="I351" s="364"/>
      <c r="J351" s="364"/>
      <c r="K351" s="364"/>
      <c r="L351" s="364"/>
      <c r="M351" s="364"/>
      <c r="N351" s="364"/>
      <c r="O351" s="364"/>
      <c r="P351" s="364"/>
      <c r="Q351" s="364"/>
      <c r="R351" s="364"/>
      <c r="S351" s="364"/>
      <c r="T351" s="364"/>
      <c r="U351" s="364"/>
      <c r="V351" s="364"/>
      <c r="W351" s="364"/>
      <c r="X351" s="364"/>
      <c r="Y351" s="364"/>
      <c r="Z351" s="364"/>
    </row>
    <row r="352" spans="1:26" ht="15.75" customHeight="1" x14ac:dyDescent="0.25">
      <c r="A352" s="364"/>
      <c r="B352" s="364"/>
      <c r="C352" s="364"/>
      <c r="D352" s="364"/>
      <c r="E352" s="364"/>
      <c r="F352" s="364"/>
      <c r="G352" s="364"/>
      <c r="H352" s="364"/>
      <c r="I352" s="364"/>
      <c r="J352" s="364"/>
      <c r="K352" s="364"/>
      <c r="L352" s="364"/>
      <c r="M352" s="364"/>
      <c r="N352" s="364"/>
      <c r="O352" s="364"/>
      <c r="P352" s="364"/>
      <c r="Q352" s="364"/>
      <c r="R352" s="364"/>
      <c r="S352" s="364"/>
      <c r="T352" s="364"/>
      <c r="U352" s="364"/>
      <c r="V352" s="364"/>
      <c r="W352" s="364"/>
      <c r="X352" s="364"/>
      <c r="Y352" s="364"/>
      <c r="Z352" s="364"/>
    </row>
    <row r="353" spans="1:26" ht="15.75" customHeight="1" x14ac:dyDescent="0.25">
      <c r="A353" s="364"/>
      <c r="B353" s="364"/>
      <c r="C353" s="364"/>
      <c r="D353" s="364"/>
      <c r="E353" s="364"/>
      <c r="F353" s="364"/>
      <c r="G353" s="364"/>
      <c r="H353" s="364"/>
      <c r="I353" s="364"/>
      <c r="J353" s="364"/>
      <c r="K353" s="364"/>
      <c r="L353" s="364"/>
      <c r="M353" s="364"/>
      <c r="N353" s="364"/>
      <c r="O353" s="364"/>
      <c r="P353" s="364"/>
      <c r="Q353" s="364"/>
      <c r="R353" s="364"/>
      <c r="S353" s="364"/>
      <c r="T353" s="364"/>
      <c r="U353" s="364"/>
      <c r="V353" s="364"/>
      <c r="W353" s="364"/>
      <c r="X353" s="364"/>
      <c r="Y353" s="364"/>
      <c r="Z353" s="364"/>
    </row>
    <row r="354" spans="1:26" ht="15.75" customHeight="1" x14ac:dyDescent="0.25">
      <c r="A354" s="364"/>
      <c r="B354" s="364"/>
      <c r="C354" s="364"/>
      <c r="D354" s="364"/>
      <c r="E354" s="364"/>
      <c r="F354" s="364"/>
      <c r="G354" s="364"/>
      <c r="H354" s="364"/>
      <c r="I354" s="364"/>
      <c r="J354" s="364"/>
      <c r="K354" s="364"/>
      <c r="L354" s="364"/>
      <c r="M354" s="364"/>
      <c r="N354" s="364"/>
      <c r="O354" s="364"/>
      <c r="P354" s="364"/>
      <c r="Q354" s="364"/>
      <c r="R354" s="364"/>
      <c r="S354" s="364"/>
      <c r="T354" s="364"/>
      <c r="U354" s="364"/>
      <c r="V354" s="364"/>
      <c r="W354" s="364"/>
      <c r="X354" s="364"/>
      <c r="Y354" s="364"/>
      <c r="Z354" s="364"/>
    </row>
    <row r="355" spans="1:26" ht="15.75" customHeight="1" x14ac:dyDescent="0.25">
      <c r="A355" s="364"/>
      <c r="B355" s="364"/>
      <c r="C355" s="364"/>
      <c r="D355" s="364"/>
      <c r="E355" s="364"/>
      <c r="F355" s="364"/>
      <c r="G355" s="364"/>
      <c r="H355" s="364"/>
      <c r="I355" s="364"/>
      <c r="J355" s="364"/>
      <c r="K355" s="364"/>
      <c r="L355" s="364"/>
      <c r="M355" s="364"/>
      <c r="N355" s="364"/>
      <c r="O355" s="364"/>
      <c r="P355" s="364"/>
      <c r="Q355" s="364"/>
      <c r="R355" s="364"/>
      <c r="S355" s="364"/>
      <c r="T355" s="364"/>
      <c r="U355" s="364"/>
      <c r="V355" s="364"/>
      <c r="W355" s="364"/>
      <c r="X355" s="364"/>
      <c r="Y355" s="364"/>
      <c r="Z355" s="364"/>
    </row>
    <row r="356" spans="1:26" ht="15.75" customHeight="1" x14ac:dyDescent="0.25">
      <c r="A356" s="364"/>
      <c r="B356" s="364"/>
      <c r="C356" s="364"/>
      <c r="D356" s="364"/>
      <c r="E356" s="364"/>
      <c r="F356" s="364"/>
      <c r="G356" s="364"/>
      <c r="H356" s="364"/>
      <c r="I356" s="364"/>
      <c r="J356" s="364"/>
      <c r="K356" s="364"/>
      <c r="L356" s="364"/>
      <c r="M356" s="364"/>
      <c r="N356" s="364"/>
      <c r="O356" s="364"/>
      <c r="P356" s="364"/>
      <c r="Q356" s="364"/>
      <c r="R356" s="364"/>
      <c r="S356" s="364"/>
      <c r="T356" s="364"/>
      <c r="U356" s="364"/>
      <c r="V356" s="364"/>
      <c r="W356" s="364"/>
      <c r="X356" s="364"/>
      <c r="Y356" s="364"/>
      <c r="Z356" s="364"/>
    </row>
    <row r="357" spans="1:26" ht="15.75" customHeight="1" x14ac:dyDescent="0.25">
      <c r="A357" s="364"/>
      <c r="B357" s="364"/>
      <c r="C357" s="364"/>
      <c r="D357" s="364"/>
      <c r="E357" s="364"/>
      <c r="F357" s="364"/>
      <c r="G357" s="364"/>
      <c r="H357" s="364"/>
      <c r="I357" s="364"/>
      <c r="J357" s="364"/>
      <c r="K357" s="364"/>
      <c r="L357" s="364"/>
      <c r="M357" s="364"/>
      <c r="N357" s="364"/>
      <c r="O357" s="364"/>
      <c r="P357" s="364"/>
      <c r="Q357" s="364"/>
      <c r="R357" s="364"/>
      <c r="S357" s="364"/>
      <c r="T357" s="364"/>
      <c r="U357" s="364"/>
      <c r="V357" s="364"/>
      <c r="W357" s="364"/>
      <c r="X357" s="364"/>
      <c r="Y357" s="364"/>
      <c r="Z357" s="364"/>
    </row>
    <row r="358" spans="1:26" ht="15.75" customHeight="1" x14ac:dyDescent="0.25">
      <c r="A358" s="364"/>
      <c r="B358" s="364"/>
      <c r="C358" s="364"/>
      <c r="D358" s="364"/>
      <c r="E358" s="364"/>
      <c r="F358" s="364"/>
      <c r="G358" s="364"/>
      <c r="H358" s="364"/>
      <c r="I358" s="364"/>
      <c r="J358" s="364"/>
      <c r="K358" s="364"/>
      <c r="L358" s="364"/>
      <c r="M358" s="364"/>
      <c r="N358" s="364"/>
      <c r="O358" s="364"/>
      <c r="P358" s="364"/>
      <c r="Q358" s="364"/>
      <c r="R358" s="364"/>
      <c r="S358" s="364"/>
      <c r="T358" s="364"/>
      <c r="U358" s="364"/>
      <c r="V358" s="364"/>
      <c r="W358" s="364"/>
      <c r="X358" s="364"/>
      <c r="Y358" s="364"/>
      <c r="Z358" s="364"/>
    </row>
    <row r="359" spans="1:26" ht="15.75" customHeight="1" x14ac:dyDescent="0.25">
      <c r="A359" s="364"/>
      <c r="B359" s="364"/>
      <c r="C359" s="364"/>
      <c r="D359" s="364"/>
      <c r="E359" s="364"/>
      <c r="F359" s="364"/>
      <c r="G359" s="364"/>
      <c r="H359" s="364"/>
      <c r="I359" s="364"/>
      <c r="J359" s="364"/>
      <c r="K359" s="364"/>
      <c r="L359" s="364"/>
      <c r="M359" s="364"/>
      <c r="N359" s="364"/>
      <c r="O359" s="364"/>
      <c r="P359" s="364"/>
      <c r="Q359" s="364"/>
      <c r="R359" s="364"/>
      <c r="S359" s="364"/>
      <c r="T359" s="364"/>
      <c r="U359" s="364"/>
      <c r="V359" s="364"/>
      <c r="W359" s="364"/>
      <c r="X359" s="364"/>
      <c r="Y359" s="364"/>
      <c r="Z359" s="364"/>
    </row>
    <row r="360" spans="1:26" ht="15.75" customHeight="1" x14ac:dyDescent="0.25">
      <c r="A360" s="364"/>
      <c r="B360" s="364"/>
      <c r="C360" s="364"/>
      <c r="D360" s="364"/>
      <c r="E360" s="364"/>
      <c r="F360" s="364"/>
      <c r="G360" s="364"/>
      <c r="H360" s="364"/>
      <c r="I360" s="364"/>
      <c r="J360" s="364"/>
      <c r="K360" s="364"/>
      <c r="L360" s="364"/>
      <c r="M360" s="364"/>
      <c r="N360" s="364"/>
      <c r="O360" s="364"/>
      <c r="P360" s="364"/>
      <c r="Q360" s="364"/>
      <c r="R360" s="364"/>
      <c r="S360" s="364"/>
      <c r="T360" s="364"/>
      <c r="U360" s="364"/>
      <c r="V360" s="364"/>
      <c r="W360" s="364"/>
      <c r="X360" s="364"/>
      <c r="Y360" s="364"/>
      <c r="Z360" s="364"/>
    </row>
    <row r="361" spans="1:26" ht="15.75" customHeight="1" x14ac:dyDescent="0.25">
      <c r="A361" s="364"/>
      <c r="B361" s="364"/>
      <c r="C361" s="364"/>
      <c r="D361" s="364"/>
      <c r="E361" s="364"/>
      <c r="F361" s="364"/>
      <c r="G361" s="364"/>
      <c r="H361" s="364"/>
      <c r="I361" s="364"/>
      <c r="J361" s="364"/>
      <c r="K361" s="364"/>
      <c r="L361" s="364"/>
      <c r="M361" s="364"/>
      <c r="N361" s="364"/>
      <c r="O361" s="364"/>
      <c r="P361" s="364"/>
      <c r="Q361" s="364"/>
      <c r="R361" s="364"/>
      <c r="S361" s="364"/>
      <c r="T361" s="364"/>
      <c r="U361" s="364"/>
      <c r="V361" s="364"/>
      <c r="W361" s="364"/>
      <c r="X361" s="364"/>
      <c r="Y361" s="364"/>
      <c r="Z361" s="364"/>
    </row>
    <row r="362" spans="1:26" ht="15.75" customHeight="1" x14ac:dyDescent="0.25">
      <c r="A362" s="364"/>
      <c r="B362" s="364"/>
      <c r="C362" s="364"/>
      <c r="D362" s="364"/>
      <c r="E362" s="364"/>
      <c r="F362" s="364"/>
      <c r="G362" s="364"/>
      <c r="H362" s="364"/>
      <c r="I362" s="364"/>
      <c r="J362" s="364"/>
      <c r="K362" s="364"/>
      <c r="L362" s="364"/>
      <c r="M362" s="364"/>
      <c r="N362" s="364"/>
      <c r="O362" s="364"/>
      <c r="P362" s="364"/>
      <c r="Q362" s="364"/>
      <c r="R362" s="364"/>
      <c r="S362" s="364"/>
      <c r="T362" s="364"/>
      <c r="U362" s="364"/>
      <c r="V362" s="364"/>
      <c r="W362" s="364"/>
      <c r="X362" s="364"/>
      <c r="Y362" s="364"/>
      <c r="Z362" s="364"/>
    </row>
    <row r="363" spans="1:26" ht="15.75" customHeight="1" x14ac:dyDescent="0.25">
      <c r="A363" s="364"/>
      <c r="B363" s="364"/>
      <c r="C363" s="364"/>
      <c r="D363" s="364"/>
      <c r="E363" s="364"/>
      <c r="F363" s="364"/>
      <c r="G363" s="364"/>
      <c r="H363" s="364"/>
      <c r="I363" s="364"/>
      <c r="J363" s="364"/>
      <c r="K363" s="364"/>
      <c r="L363" s="364"/>
      <c r="M363" s="364"/>
      <c r="N363" s="364"/>
      <c r="O363" s="364"/>
      <c r="P363" s="364"/>
      <c r="Q363" s="364"/>
      <c r="R363" s="364"/>
      <c r="S363" s="364"/>
      <c r="T363" s="364"/>
      <c r="U363" s="364"/>
      <c r="V363" s="364"/>
      <c r="W363" s="364"/>
      <c r="X363" s="364"/>
      <c r="Y363" s="364"/>
      <c r="Z363" s="364"/>
    </row>
    <row r="364" spans="1:26" ht="15.75" customHeight="1" x14ac:dyDescent="0.25">
      <c r="A364" s="364"/>
      <c r="B364" s="364"/>
      <c r="C364" s="364"/>
      <c r="D364" s="364"/>
      <c r="E364" s="364"/>
      <c r="F364" s="364"/>
      <c r="G364" s="364"/>
      <c r="H364" s="364"/>
      <c r="I364" s="364"/>
      <c r="J364" s="364"/>
      <c r="K364" s="364"/>
      <c r="L364" s="364"/>
      <c r="M364" s="364"/>
      <c r="N364" s="364"/>
      <c r="O364" s="364"/>
      <c r="P364" s="364"/>
      <c r="Q364" s="364"/>
      <c r="R364" s="364"/>
      <c r="S364" s="364"/>
      <c r="T364" s="364"/>
      <c r="U364" s="364"/>
      <c r="V364" s="364"/>
      <c r="W364" s="364"/>
      <c r="X364" s="364"/>
      <c r="Y364" s="364"/>
      <c r="Z364" s="364"/>
    </row>
    <row r="365" spans="1:26" ht="15.75" customHeight="1" x14ac:dyDescent="0.25">
      <c r="A365" s="364"/>
      <c r="B365" s="364"/>
      <c r="C365" s="364"/>
      <c r="D365" s="364"/>
      <c r="E365" s="364"/>
      <c r="F365" s="364"/>
      <c r="G365" s="364"/>
      <c r="H365" s="364"/>
      <c r="I365" s="364"/>
      <c r="J365" s="364"/>
      <c r="K365" s="364"/>
      <c r="L365" s="364"/>
      <c r="M365" s="364"/>
      <c r="N365" s="364"/>
      <c r="O365" s="364"/>
      <c r="P365" s="364"/>
      <c r="Q365" s="364"/>
      <c r="R365" s="364"/>
      <c r="S365" s="364"/>
      <c r="T365" s="364"/>
      <c r="U365" s="364"/>
      <c r="V365" s="364"/>
      <c r="W365" s="364"/>
      <c r="X365" s="364"/>
      <c r="Y365" s="364"/>
      <c r="Z365" s="364"/>
    </row>
    <row r="366" spans="1:26" ht="15.75" customHeight="1" x14ac:dyDescent="0.25">
      <c r="A366" s="364"/>
      <c r="B366" s="364"/>
      <c r="C366" s="364"/>
      <c r="D366" s="364"/>
      <c r="E366" s="364"/>
      <c r="F366" s="364"/>
      <c r="G366" s="364"/>
      <c r="H366" s="364"/>
      <c r="I366" s="364"/>
      <c r="J366" s="364"/>
      <c r="K366" s="364"/>
      <c r="L366" s="364"/>
      <c r="M366" s="364"/>
      <c r="N366" s="364"/>
      <c r="O366" s="364"/>
      <c r="P366" s="364"/>
      <c r="Q366" s="364"/>
      <c r="R366" s="364"/>
      <c r="S366" s="364"/>
      <c r="T366" s="364"/>
      <c r="U366" s="364"/>
      <c r="V366" s="364"/>
      <c r="W366" s="364"/>
      <c r="X366" s="364"/>
      <c r="Y366" s="364"/>
      <c r="Z366" s="364"/>
    </row>
    <row r="367" spans="1:26" ht="15.75" customHeight="1" x14ac:dyDescent="0.25">
      <c r="A367" s="364"/>
      <c r="B367" s="364"/>
      <c r="C367" s="364"/>
      <c r="D367" s="364"/>
      <c r="E367" s="364"/>
      <c r="F367" s="364"/>
      <c r="G367" s="364"/>
      <c r="H367" s="364"/>
      <c r="I367" s="364"/>
      <c r="J367" s="364"/>
      <c r="K367" s="364"/>
      <c r="L367" s="364"/>
      <c r="M367" s="364"/>
      <c r="N367" s="364"/>
      <c r="O367" s="364"/>
      <c r="P367" s="364"/>
      <c r="Q367" s="364"/>
      <c r="R367" s="364"/>
      <c r="S367" s="364"/>
      <c r="T367" s="364"/>
      <c r="U367" s="364"/>
      <c r="V367" s="364"/>
      <c r="W367" s="364"/>
      <c r="X367" s="364"/>
      <c r="Y367" s="364"/>
      <c r="Z367" s="364"/>
    </row>
    <row r="368" spans="1:26" ht="15.75" customHeight="1" x14ac:dyDescent="0.25">
      <c r="A368" s="364"/>
      <c r="B368" s="364"/>
      <c r="C368" s="364"/>
      <c r="D368" s="364"/>
      <c r="E368" s="364"/>
      <c r="F368" s="364"/>
      <c r="G368" s="364"/>
      <c r="H368" s="364"/>
      <c r="I368" s="364"/>
      <c r="J368" s="364"/>
      <c r="K368" s="364"/>
      <c r="L368" s="364"/>
      <c r="M368" s="364"/>
      <c r="N368" s="364"/>
      <c r="O368" s="364"/>
      <c r="P368" s="364"/>
      <c r="Q368" s="364"/>
      <c r="R368" s="364"/>
      <c r="S368" s="364"/>
      <c r="T368" s="364"/>
      <c r="U368" s="364"/>
      <c r="V368" s="364"/>
      <c r="W368" s="364"/>
      <c r="X368" s="364"/>
      <c r="Y368" s="364"/>
      <c r="Z368" s="364"/>
    </row>
    <row r="369" spans="1:26" ht="15.75" customHeight="1" x14ac:dyDescent="0.25">
      <c r="A369" s="364"/>
      <c r="B369" s="364"/>
      <c r="C369" s="364"/>
      <c r="D369" s="364"/>
      <c r="E369" s="364"/>
      <c r="F369" s="364"/>
      <c r="G369" s="364"/>
      <c r="H369" s="364"/>
      <c r="I369" s="364"/>
      <c r="J369" s="364"/>
      <c r="K369" s="364"/>
      <c r="L369" s="364"/>
      <c r="M369" s="364"/>
      <c r="N369" s="364"/>
      <c r="O369" s="364"/>
      <c r="P369" s="364"/>
      <c r="Q369" s="364"/>
      <c r="R369" s="364"/>
      <c r="S369" s="364"/>
      <c r="T369" s="364"/>
      <c r="U369" s="364"/>
      <c r="V369" s="364"/>
      <c r="W369" s="364"/>
      <c r="X369" s="364"/>
      <c r="Y369" s="364"/>
      <c r="Z369" s="364"/>
    </row>
    <row r="370" spans="1:26" ht="15.75" customHeight="1" x14ac:dyDescent="0.25">
      <c r="A370" s="364"/>
      <c r="B370" s="364"/>
      <c r="C370" s="364"/>
      <c r="D370" s="364"/>
      <c r="E370" s="364"/>
      <c r="F370" s="364"/>
      <c r="G370" s="364"/>
      <c r="H370" s="364"/>
      <c r="I370" s="364"/>
      <c r="J370" s="364"/>
      <c r="K370" s="364"/>
      <c r="L370" s="364"/>
      <c r="M370" s="364"/>
      <c r="N370" s="364"/>
      <c r="O370" s="364"/>
      <c r="P370" s="364"/>
      <c r="Q370" s="364"/>
      <c r="R370" s="364"/>
      <c r="S370" s="364"/>
      <c r="T370" s="364"/>
      <c r="U370" s="364"/>
      <c r="V370" s="364"/>
      <c r="W370" s="364"/>
      <c r="X370" s="364"/>
      <c r="Y370" s="364"/>
      <c r="Z370" s="364"/>
    </row>
    <row r="371" spans="1:26" ht="15.75" customHeight="1" x14ac:dyDescent="0.25">
      <c r="A371" s="364"/>
      <c r="B371" s="364"/>
      <c r="C371" s="364"/>
      <c r="D371" s="364"/>
      <c r="E371" s="364"/>
      <c r="F371" s="364"/>
      <c r="G371" s="364"/>
      <c r="H371" s="364"/>
      <c r="I371" s="364"/>
      <c r="J371" s="364"/>
      <c r="K371" s="364"/>
      <c r="L371" s="364"/>
      <c r="M371" s="364"/>
      <c r="N371" s="364"/>
      <c r="O371" s="364"/>
      <c r="P371" s="364"/>
      <c r="Q371" s="364"/>
      <c r="R371" s="364"/>
      <c r="S371" s="364"/>
      <c r="T371" s="364"/>
      <c r="U371" s="364"/>
      <c r="V371" s="364"/>
      <c r="W371" s="364"/>
      <c r="X371" s="364"/>
      <c r="Y371" s="364"/>
      <c r="Z371" s="364"/>
    </row>
    <row r="372" spans="1:26" ht="15.75" customHeight="1" x14ac:dyDescent="0.25">
      <c r="A372" s="364"/>
      <c r="B372" s="364"/>
      <c r="C372" s="364"/>
      <c r="D372" s="364"/>
      <c r="E372" s="364"/>
      <c r="F372" s="364"/>
      <c r="G372" s="364"/>
      <c r="H372" s="364"/>
      <c r="I372" s="364"/>
      <c r="J372" s="364"/>
      <c r="K372" s="364"/>
      <c r="L372" s="364"/>
      <c r="M372" s="364"/>
      <c r="N372" s="364"/>
      <c r="O372" s="364"/>
      <c r="P372" s="364"/>
      <c r="Q372" s="364"/>
      <c r="R372" s="364"/>
      <c r="S372" s="364"/>
      <c r="T372" s="364"/>
      <c r="U372" s="364"/>
      <c r="V372" s="364"/>
      <c r="W372" s="364"/>
      <c r="X372" s="364"/>
      <c r="Y372" s="364"/>
      <c r="Z372" s="364"/>
    </row>
    <row r="373" spans="1:26" ht="15.75" customHeight="1" x14ac:dyDescent="0.25">
      <c r="A373" s="364"/>
      <c r="B373" s="364"/>
      <c r="C373" s="364"/>
      <c r="D373" s="364"/>
      <c r="E373" s="364"/>
      <c r="F373" s="364"/>
      <c r="G373" s="364"/>
      <c r="H373" s="364"/>
      <c r="I373" s="364"/>
      <c r="J373" s="364"/>
      <c r="K373" s="364"/>
      <c r="L373" s="364"/>
      <c r="M373" s="364"/>
      <c r="N373" s="364"/>
      <c r="O373" s="364"/>
      <c r="P373" s="364"/>
      <c r="Q373" s="364"/>
      <c r="R373" s="364"/>
      <c r="S373" s="364"/>
      <c r="T373" s="364"/>
      <c r="U373" s="364"/>
      <c r="V373" s="364"/>
      <c r="W373" s="364"/>
      <c r="X373" s="364"/>
      <c r="Y373" s="364"/>
      <c r="Z373" s="364"/>
    </row>
    <row r="374" spans="1:26" ht="15.75" customHeight="1" x14ac:dyDescent="0.25">
      <c r="A374" s="364"/>
      <c r="B374" s="364"/>
      <c r="C374" s="364"/>
      <c r="D374" s="364"/>
      <c r="E374" s="364"/>
      <c r="F374" s="364"/>
      <c r="G374" s="364"/>
      <c r="H374" s="364"/>
      <c r="I374" s="364"/>
      <c r="J374" s="364"/>
      <c r="K374" s="364"/>
      <c r="L374" s="364"/>
      <c r="M374" s="364"/>
      <c r="N374" s="364"/>
      <c r="O374" s="364"/>
      <c r="P374" s="364"/>
      <c r="Q374" s="364"/>
      <c r="R374" s="364"/>
      <c r="S374" s="364"/>
      <c r="T374" s="364"/>
      <c r="U374" s="364"/>
      <c r="V374" s="364"/>
      <c r="W374" s="364"/>
      <c r="X374" s="364"/>
      <c r="Y374" s="364"/>
      <c r="Z374" s="364"/>
    </row>
    <row r="375" spans="1:26" ht="15.75" customHeight="1" x14ac:dyDescent="0.25">
      <c r="A375" s="364"/>
      <c r="B375" s="364"/>
      <c r="C375" s="364"/>
      <c r="D375" s="364"/>
      <c r="E375" s="364"/>
      <c r="F375" s="364"/>
      <c r="G375" s="364"/>
      <c r="H375" s="364"/>
      <c r="I375" s="364"/>
      <c r="J375" s="364"/>
      <c r="K375" s="364"/>
      <c r="L375" s="364"/>
      <c r="M375" s="364"/>
      <c r="N375" s="364"/>
      <c r="O375" s="364"/>
      <c r="P375" s="364"/>
      <c r="Q375" s="364"/>
      <c r="R375" s="364"/>
      <c r="S375" s="364"/>
      <c r="T375" s="364"/>
      <c r="U375" s="364"/>
      <c r="V375" s="364"/>
      <c r="W375" s="364"/>
      <c r="X375" s="364"/>
      <c r="Y375" s="364"/>
      <c r="Z375" s="364"/>
    </row>
    <row r="376" spans="1:26" ht="15.75" customHeight="1" x14ac:dyDescent="0.25">
      <c r="A376" s="364"/>
      <c r="B376" s="364"/>
      <c r="C376" s="364"/>
      <c r="D376" s="364"/>
      <c r="E376" s="364"/>
      <c r="F376" s="364"/>
      <c r="G376" s="364"/>
      <c r="H376" s="364"/>
      <c r="I376" s="364"/>
      <c r="J376" s="364"/>
      <c r="K376" s="364"/>
      <c r="L376" s="364"/>
      <c r="M376" s="364"/>
      <c r="N376" s="364"/>
      <c r="O376" s="364"/>
      <c r="P376" s="364"/>
      <c r="Q376" s="364"/>
      <c r="R376" s="364"/>
      <c r="S376" s="364"/>
      <c r="T376" s="364"/>
      <c r="U376" s="364"/>
      <c r="V376" s="364"/>
      <c r="W376" s="364"/>
      <c r="X376" s="364"/>
      <c r="Y376" s="364"/>
      <c r="Z376" s="364"/>
    </row>
    <row r="377" spans="1:26" ht="15.75" customHeight="1" x14ac:dyDescent="0.25">
      <c r="A377" s="364"/>
      <c r="B377" s="364"/>
      <c r="C377" s="364"/>
      <c r="D377" s="364"/>
      <c r="E377" s="364"/>
      <c r="F377" s="364"/>
      <c r="G377" s="364"/>
      <c r="H377" s="364"/>
      <c r="I377" s="364"/>
      <c r="J377" s="364"/>
      <c r="K377" s="364"/>
      <c r="L377" s="364"/>
      <c r="M377" s="364"/>
      <c r="N377" s="364"/>
      <c r="O377" s="364"/>
      <c r="P377" s="364"/>
      <c r="Q377" s="364"/>
      <c r="R377" s="364"/>
      <c r="S377" s="364"/>
      <c r="T377" s="364"/>
      <c r="U377" s="364"/>
      <c r="V377" s="364"/>
      <c r="W377" s="364"/>
      <c r="X377" s="364"/>
      <c r="Y377" s="364"/>
      <c r="Z377" s="364"/>
    </row>
    <row r="378" spans="1:26" ht="15.75" customHeight="1" x14ac:dyDescent="0.25">
      <c r="A378" s="364"/>
      <c r="B378" s="364"/>
      <c r="C378" s="364"/>
      <c r="D378" s="364"/>
      <c r="E378" s="364"/>
      <c r="F378" s="364"/>
      <c r="G378" s="364"/>
      <c r="H378" s="364"/>
      <c r="I378" s="364"/>
      <c r="J378" s="364"/>
      <c r="K378" s="364"/>
      <c r="L378" s="364"/>
      <c r="M378" s="364"/>
      <c r="N378" s="364"/>
      <c r="O378" s="364"/>
      <c r="P378" s="364"/>
      <c r="Q378" s="364"/>
      <c r="R378" s="364"/>
      <c r="S378" s="364"/>
      <c r="T378" s="364"/>
      <c r="U378" s="364"/>
      <c r="V378" s="364"/>
      <c r="W378" s="364"/>
      <c r="X378" s="364"/>
      <c r="Y378" s="364"/>
      <c r="Z378" s="364"/>
    </row>
    <row r="379" spans="1:26" ht="15.75" customHeight="1" x14ac:dyDescent="0.25">
      <c r="A379" s="364"/>
      <c r="B379" s="364"/>
      <c r="C379" s="364"/>
      <c r="D379" s="364"/>
      <c r="E379" s="364"/>
      <c r="F379" s="364"/>
      <c r="G379" s="364"/>
      <c r="H379" s="364"/>
      <c r="I379" s="364"/>
      <c r="J379" s="364"/>
      <c r="K379" s="364"/>
      <c r="L379" s="364"/>
      <c r="M379" s="364"/>
      <c r="N379" s="364"/>
      <c r="O379" s="364"/>
      <c r="P379" s="364"/>
      <c r="Q379" s="364"/>
      <c r="R379" s="364"/>
      <c r="S379" s="364"/>
      <c r="T379" s="364"/>
      <c r="U379" s="364"/>
      <c r="V379" s="364"/>
      <c r="W379" s="364"/>
      <c r="X379" s="364"/>
      <c r="Y379" s="364"/>
      <c r="Z379" s="364"/>
    </row>
    <row r="380" spans="1:26" ht="15.75" customHeight="1" x14ac:dyDescent="0.25">
      <c r="A380" s="364"/>
      <c r="B380" s="364"/>
      <c r="C380" s="364"/>
      <c r="D380" s="364"/>
      <c r="E380" s="364"/>
      <c r="F380" s="364"/>
      <c r="G380" s="364"/>
      <c r="H380" s="364"/>
      <c r="I380" s="364"/>
      <c r="J380" s="364"/>
      <c r="K380" s="364"/>
      <c r="L380" s="364"/>
      <c r="M380" s="364"/>
      <c r="N380" s="364"/>
      <c r="O380" s="364"/>
      <c r="P380" s="364"/>
      <c r="Q380" s="364"/>
      <c r="R380" s="364"/>
      <c r="S380" s="364"/>
      <c r="T380" s="364"/>
      <c r="U380" s="364"/>
      <c r="V380" s="364"/>
      <c r="W380" s="364"/>
      <c r="X380" s="364"/>
      <c r="Y380" s="364"/>
      <c r="Z380" s="364"/>
    </row>
    <row r="381" spans="1:26" ht="15.75" customHeight="1" x14ac:dyDescent="0.25">
      <c r="A381" s="364"/>
      <c r="B381" s="364"/>
      <c r="C381" s="364"/>
      <c r="D381" s="364"/>
      <c r="E381" s="364"/>
      <c r="F381" s="364"/>
      <c r="G381" s="364"/>
      <c r="H381" s="364"/>
      <c r="I381" s="364"/>
      <c r="J381" s="364"/>
      <c r="K381" s="364"/>
      <c r="L381" s="364"/>
      <c r="M381" s="364"/>
      <c r="N381" s="364"/>
      <c r="O381" s="364"/>
      <c r="P381" s="364"/>
      <c r="Q381" s="364"/>
      <c r="R381" s="364"/>
      <c r="S381" s="364"/>
      <c r="T381" s="364"/>
      <c r="U381" s="364"/>
      <c r="V381" s="364"/>
      <c r="W381" s="364"/>
      <c r="X381" s="364"/>
      <c r="Y381" s="364"/>
      <c r="Z381" s="364"/>
    </row>
    <row r="382" spans="1:26" ht="15.75" customHeight="1" x14ac:dyDescent="0.25">
      <c r="A382" s="364"/>
      <c r="B382" s="364"/>
      <c r="C382" s="364"/>
      <c r="D382" s="364"/>
      <c r="E382" s="364"/>
      <c r="F382" s="364"/>
      <c r="G382" s="364"/>
      <c r="H382" s="364"/>
      <c r="I382" s="364"/>
      <c r="J382" s="364"/>
      <c r="K382" s="364"/>
      <c r="L382" s="364"/>
      <c r="M382" s="364"/>
      <c r="N382" s="364"/>
      <c r="O382" s="364"/>
      <c r="P382" s="364"/>
      <c r="Q382" s="364"/>
      <c r="R382" s="364"/>
      <c r="S382" s="364"/>
      <c r="T382" s="364"/>
      <c r="U382" s="364"/>
      <c r="V382" s="364"/>
      <c r="W382" s="364"/>
      <c r="X382" s="364"/>
      <c r="Y382" s="364"/>
      <c r="Z382" s="364"/>
    </row>
    <row r="383" spans="1:26" ht="15.75" customHeight="1" x14ac:dyDescent="0.25">
      <c r="A383" s="364"/>
      <c r="B383" s="364"/>
      <c r="C383" s="364"/>
      <c r="D383" s="364"/>
      <c r="E383" s="364"/>
      <c r="F383" s="364"/>
      <c r="G383" s="364"/>
      <c r="H383" s="364"/>
      <c r="I383" s="364"/>
      <c r="J383" s="364"/>
      <c r="K383" s="364"/>
      <c r="L383" s="364"/>
      <c r="M383" s="364"/>
      <c r="N383" s="364"/>
      <c r="O383" s="364"/>
      <c r="P383" s="364"/>
      <c r="Q383" s="364"/>
      <c r="R383" s="364"/>
      <c r="S383" s="364"/>
      <c r="T383" s="364"/>
      <c r="U383" s="364"/>
      <c r="V383" s="364"/>
      <c r="W383" s="364"/>
      <c r="X383" s="364"/>
      <c r="Y383" s="364"/>
      <c r="Z383" s="364"/>
    </row>
    <row r="384" spans="1:26" ht="15.75" customHeight="1" x14ac:dyDescent="0.25">
      <c r="A384" s="364"/>
      <c r="B384" s="364"/>
      <c r="C384" s="364"/>
      <c r="D384" s="364"/>
      <c r="E384" s="364"/>
      <c r="F384" s="364"/>
      <c r="G384" s="364"/>
      <c r="H384" s="364"/>
      <c r="I384" s="364"/>
      <c r="J384" s="364"/>
      <c r="K384" s="364"/>
      <c r="L384" s="364"/>
      <c r="M384" s="364"/>
      <c r="N384" s="364"/>
      <c r="O384" s="364"/>
      <c r="P384" s="364"/>
      <c r="Q384" s="364"/>
      <c r="R384" s="364"/>
      <c r="S384" s="364"/>
      <c r="T384" s="364"/>
      <c r="U384" s="364"/>
      <c r="V384" s="364"/>
      <c r="W384" s="364"/>
      <c r="X384" s="364"/>
      <c r="Y384" s="364"/>
      <c r="Z384" s="364"/>
    </row>
    <row r="385" spans="1:26" ht="15.75" customHeight="1" x14ac:dyDescent="0.25">
      <c r="A385" s="364"/>
      <c r="B385" s="364"/>
      <c r="C385" s="364"/>
      <c r="D385" s="364"/>
      <c r="E385" s="364"/>
      <c r="F385" s="364"/>
      <c r="G385" s="364"/>
      <c r="H385" s="364"/>
      <c r="I385" s="364"/>
      <c r="J385" s="364"/>
      <c r="K385" s="364"/>
      <c r="L385" s="364"/>
      <c r="M385" s="364"/>
      <c r="N385" s="364"/>
      <c r="O385" s="364"/>
      <c r="P385" s="364"/>
      <c r="Q385" s="364"/>
      <c r="R385" s="364"/>
      <c r="S385" s="364"/>
      <c r="T385" s="364"/>
      <c r="U385" s="364"/>
      <c r="V385" s="364"/>
      <c r="W385" s="364"/>
      <c r="X385" s="364"/>
      <c r="Y385" s="364"/>
      <c r="Z385" s="364"/>
    </row>
    <row r="386" spans="1:26" ht="15.75" customHeight="1" x14ac:dyDescent="0.25">
      <c r="A386" s="364"/>
      <c r="B386" s="364"/>
      <c r="C386" s="364"/>
      <c r="D386" s="364"/>
      <c r="E386" s="364"/>
      <c r="F386" s="364"/>
      <c r="G386" s="364"/>
      <c r="H386" s="364"/>
      <c r="I386" s="364"/>
      <c r="J386" s="364"/>
      <c r="K386" s="364"/>
      <c r="L386" s="364"/>
      <c r="M386" s="364"/>
      <c r="N386" s="364"/>
      <c r="O386" s="364"/>
      <c r="P386" s="364"/>
      <c r="Q386" s="364"/>
      <c r="R386" s="364"/>
      <c r="S386" s="364"/>
      <c r="T386" s="364"/>
      <c r="U386" s="364"/>
      <c r="V386" s="364"/>
      <c r="W386" s="364"/>
      <c r="X386" s="364"/>
      <c r="Y386" s="364"/>
      <c r="Z386" s="364"/>
    </row>
    <row r="387" spans="1:26" ht="15.75" customHeight="1" x14ac:dyDescent="0.25">
      <c r="A387" s="364"/>
      <c r="B387" s="364"/>
      <c r="C387" s="364"/>
      <c r="D387" s="364"/>
      <c r="E387" s="364"/>
      <c r="F387" s="364"/>
      <c r="G387" s="364"/>
      <c r="H387" s="364"/>
      <c r="I387" s="364"/>
      <c r="J387" s="364"/>
      <c r="K387" s="364"/>
      <c r="L387" s="364"/>
      <c r="M387" s="364"/>
      <c r="N387" s="364"/>
      <c r="O387" s="364"/>
      <c r="P387" s="364"/>
      <c r="Q387" s="364"/>
      <c r="R387" s="364"/>
      <c r="S387" s="364"/>
      <c r="T387" s="364"/>
      <c r="U387" s="364"/>
      <c r="V387" s="364"/>
      <c r="W387" s="364"/>
      <c r="X387" s="364"/>
      <c r="Y387" s="364"/>
      <c r="Z387" s="364"/>
    </row>
    <row r="388" spans="1:26" ht="15.75" customHeight="1" x14ac:dyDescent="0.25">
      <c r="A388" s="364"/>
      <c r="B388" s="364"/>
      <c r="C388" s="364"/>
      <c r="D388" s="364"/>
      <c r="E388" s="364"/>
      <c r="F388" s="364"/>
      <c r="G388" s="364"/>
      <c r="H388" s="364"/>
      <c r="I388" s="364"/>
      <c r="J388" s="364"/>
      <c r="K388" s="364"/>
      <c r="L388" s="364"/>
      <c r="M388" s="364"/>
      <c r="N388" s="364"/>
      <c r="O388" s="364"/>
      <c r="P388" s="364"/>
      <c r="Q388" s="364"/>
      <c r="R388" s="364"/>
      <c r="S388" s="364"/>
      <c r="T388" s="364"/>
      <c r="U388" s="364"/>
      <c r="V388" s="364"/>
      <c r="W388" s="364"/>
      <c r="X388" s="364"/>
      <c r="Y388" s="364"/>
      <c r="Z388" s="364"/>
    </row>
    <row r="389" spans="1:26" ht="15.75" customHeight="1" x14ac:dyDescent="0.25">
      <c r="A389" s="364"/>
      <c r="B389" s="364"/>
      <c r="C389" s="364"/>
      <c r="D389" s="364"/>
      <c r="E389" s="364"/>
      <c r="F389" s="364"/>
      <c r="G389" s="364"/>
      <c r="H389" s="364"/>
      <c r="I389" s="364"/>
      <c r="J389" s="364"/>
      <c r="K389" s="364"/>
      <c r="L389" s="364"/>
      <c r="M389" s="364"/>
      <c r="N389" s="364"/>
      <c r="O389" s="364"/>
      <c r="P389" s="364"/>
      <c r="Q389" s="364"/>
      <c r="R389" s="364"/>
      <c r="S389" s="364"/>
      <c r="T389" s="364"/>
      <c r="U389" s="364"/>
      <c r="V389" s="364"/>
      <c r="W389" s="364"/>
      <c r="X389" s="364"/>
      <c r="Y389" s="364"/>
      <c r="Z389" s="364"/>
    </row>
    <row r="390" spans="1:26" ht="15.75" customHeight="1" x14ac:dyDescent="0.25">
      <c r="A390" s="364"/>
      <c r="B390" s="364"/>
      <c r="C390" s="364"/>
      <c r="D390" s="364"/>
      <c r="E390" s="364"/>
      <c r="F390" s="364"/>
      <c r="G390" s="364"/>
      <c r="H390" s="364"/>
      <c r="I390" s="364"/>
      <c r="J390" s="364"/>
      <c r="K390" s="364"/>
      <c r="L390" s="364"/>
      <c r="M390" s="364"/>
      <c r="N390" s="364"/>
      <c r="O390" s="364"/>
      <c r="P390" s="364"/>
      <c r="Q390" s="364"/>
      <c r="R390" s="364"/>
      <c r="S390" s="364"/>
      <c r="T390" s="364"/>
      <c r="U390" s="364"/>
      <c r="V390" s="364"/>
      <c r="W390" s="364"/>
      <c r="X390" s="364"/>
      <c r="Y390" s="364"/>
      <c r="Z390" s="364"/>
    </row>
    <row r="391" spans="1:26" ht="15.75" customHeight="1" x14ac:dyDescent="0.25">
      <c r="A391" s="364"/>
      <c r="B391" s="364"/>
      <c r="C391" s="364"/>
      <c r="D391" s="364"/>
      <c r="E391" s="364"/>
      <c r="F391" s="364"/>
      <c r="G391" s="364"/>
      <c r="H391" s="364"/>
      <c r="I391" s="364"/>
      <c r="J391" s="364"/>
      <c r="K391" s="364"/>
      <c r="L391" s="364"/>
      <c r="M391" s="364"/>
      <c r="N391" s="364"/>
      <c r="O391" s="364"/>
      <c r="P391" s="364"/>
      <c r="Q391" s="364"/>
      <c r="R391" s="364"/>
      <c r="S391" s="364"/>
      <c r="T391" s="364"/>
      <c r="U391" s="364"/>
      <c r="V391" s="364"/>
      <c r="W391" s="364"/>
      <c r="X391" s="364"/>
      <c r="Y391" s="364"/>
      <c r="Z391" s="364"/>
    </row>
    <row r="392" spans="1:26" ht="15.75" customHeight="1" x14ac:dyDescent="0.25">
      <c r="A392" s="364"/>
      <c r="B392" s="364"/>
      <c r="C392" s="364"/>
      <c r="D392" s="364"/>
      <c r="E392" s="364"/>
      <c r="F392" s="364"/>
      <c r="G392" s="364"/>
      <c r="H392" s="364"/>
      <c r="I392" s="364"/>
      <c r="J392" s="364"/>
      <c r="K392" s="364"/>
      <c r="L392" s="364"/>
      <c r="M392" s="364"/>
      <c r="N392" s="364"/>
      <c r="O392" s="364"/>
      <c r="P392" s="364"/>
      <c r="Q392" s="364"/>
      <c r="R392" s="364"/>
      <c r="S392" s="364"/>
      <c r="T392" s="364"/>
      <c r="U392" s="364"/>
      <c r="V392" s="364"/>
      <c r="W392" s="364"/>
      <c r="X392" s="364"/>
      <c r="Y392" s="364"/>
      <c r="Z392" s="364"/>
    </row>
    <row r="393" spans="1:26" ht="15.75" customHeight="1" x14ac:dyDescent="0.25">
      <c r="A393" s="364"/>
      <c r="B393" s="364"/>
      <c r="C393" s="364"/>
      <c r="D393" s="364"/>
      <c r="E393" s="364"/>
      <c r="F393" s="364"/>
      <c r="G393" s="364"/>
      <c r="H393" s="364"/>
      <c r="I393" s="364"/>
      <c r="J393" s="364"/>
      <c r="K393" s="364"/>
      <c r="L393" s="364"/>
      <c r="M393" s="364"/>
      <c r="N393" s="364"/>
      <c r="O393" s="364"/>
      <c r="P393" s="364"/>
      <c r="Q393" s="364"/>
      <c r="R393" s="364"/>
      <c r="S393" s="364"/>
      <c r="T393" s="364"/>
      <c r="U393" s="364"/>
      <c r="V393" s="364"/>
      <c r="W393" s="364"/>
      <c r="X393" s="364"/>
      <c r="Y393" s="364"/>
      <c r="Z393" s="364"/>
    </row>
    <row r="394" spans="1:26" ht="15.75" customHeight="1" x14ac:dyDescent="0.25">
      <c r="A394" s="364"/>
      <c r="B394" s="364"/>
      <c r="C394" s="364"/>
      <c r="D394" s="364"/>
      <c r="E394" s="364"/>
      <c r="F394" s="364"/>
      <c r="G394" s="364"/>
      <c r="H394" s="364"/>
      <c r="I394" s="364"/>
      <c r="J394" s="364"/>
      <c r="K394" s="364"/>
      <c r="L394" s="364"/>
      <c r="M394" s="364"/>
      <c r="N394" s="364"/>
      <c r="O394" s="364"/>
      <c r="P394" s="364"/>
      <c r="Q394" s="364"/>
      <c r="R394" s="364"/>
      <c r="S394" s="364"/>
      <c r="T394" s="364"/>
      <c r="U394" s="364"/>
      <c r="V394" s="364"/>
      <c r="W394" s="364"/>
      <c r="X394" s="364"/>
      <c r="Y394" s="364"/>
      <c r="Z394" s="364"/>
    </row>
    <row r="395" spans="1:26" ht="15.75" customHeight="1" x14ac:dyDescent="0.25">
      <c r="A395" s="364"/>
      <c r="B395" s="364"/>
      <c r="C395" s="364"/>
      <c r="D395" s="364"/>
      <c r="E395" s="364"/>
      <c r="F395" s="364"/>
      <c r="G395" s="364"/>
      <c r="H395" s="364"/>
      <c r="I395" s="364"/>
      <c r="J395" s="364"/>
      <c r="K395" s="364"/>
      <c r="L395" s="364"/>
      <c r="M395" s="364"/>
      <c r="N395" s="364"/>
      <c r="O395" s="364"/>
      <c r="P395" s="364"/>
      <c r="Q395" s="364"/>
      <c r="R395" s="364"/>
      <c r="S395" s="364"/>
      <c r="T395" s="364"/>
      <c r="U395" s="364"/>
      <c r="V395" s="364"/>
      <c r="W395" s="364"/>
      <c r="X395" s="364"/>
      <c r="Y395" s="364"/>
      <c r="Z395" s="364"/>
    </row>
    <row r="396" spans="1:26" ht="15.75" customHeight="1" x14ac:dyDescent="0.25">
      <c r="A396" s="364"/>
      <c r="B396" s="364"/>
      <c r="C396" s="364"/>
      <c r="D396" s="364"/>
      <c r="E396" s="364"/>
      <c r="F396" s="364"/>
      <c r="G396" s="364"/>
      <c r="H396" s="364"/>
      <c r="I396" s="364"/>
      <c r="J396" s="364"/>
      <c r="K396" s="364"/>
      <c r="L396" s="364"/>
      <c r="M396" s="364"/>
      <c r="N396" s="364"/>
      <c r="O396" s="364"/>
      <c r="P396" s="364"/>
      <c r="Q396" s="364"/>
      <c r="R396" s="364"/>
      <c r="S396" s="364"/>
      <c r="T396" s="364"/>
      <c r="U396" s="364"/>
      <c r="V396" s="364"/>
      <c r="W396" s="364"/>
      <c r="X396" s="364"/>
      <c r="Y396" s="364"/>
      <c r="Z396" s="364"/>
    </row>
    <row r="397" spans="1:26" ht="15.75" customHeight="1" x14ac:dyDescent="0.25">
      <c r="A397" s="364"/>
      <c r="B397" s="364"/>
      <c r="C397" s="364"/>
      <c r="D397" s="364"/>
      <c r="E397" s="364"/>
      <c r="F397" s="364"/>
      <c r="G397" s="364"/>
      <c r="H397" s="364"/>
      <c r="I397" s="364"/>
      <c r="J397" s="364"/>
      <c r="K397" s="364"/>
      <c r="L397" s="364"/>
      <c r="M397" s="364"/>
      <c r="N397" s="364"/>
      <c r="O397" s="364"/>
      <c r="P397" s="364"/>
      <c r="Q397" s="364"/>
      <c r="R397" s="364"/>
      <c r="S397" s="364"/>
      <c r="T397" s="364"/>
      <c r="U397" s="364"/>
      <c r="V397" s="364"/>
      <c r="W397" s="364"/>
      <c r="X397" s="364"/>
      <c r="Y397" s="364"/>
      <c r="Z397" s="364"/>
    </row>
    <row r="398" spans="1:26" ht="15.75" customHeight="1" x14ac:dyDescent="0.25">
      <c r="A398" s="364"/>
      <c r="B398" s="364"/>
      <c r="C398" s="364"/>
      <c r="D398" s="364"/>
      <c r="E398" s="364"/>
      <c r="F398" s="364"/>
      <c r="G398" s="364"/>
      <c r="H398" s="364"/>
      <c r="I398" s="364"/>
      <c r="J398" s="364"/>
      <c r="K398" s="364"/>
      <c r="L398" s="364"/>
      <c r="M398" s="364"/>
      <c r="N398" s="364"/>
      <c r="O398" s="364"/>
      <c r="P398" s="364"/>
      <c r="Q398" s="364"/>
      <c r="R398" s="364"/>
      <c r="S398" s="364"/>
      <c r="T398" s="364"/>
      <c r="U398" s="364"/>
      <c r="V398" s="364"/>
      <c r="W398" s="364"/>
      <c r="X398" s="364"/>
      <c r="Y398" s="364"/>
      <c r="Z398" s="364"/>
    </row>
    <row r="399" spans="1:26" ht="15.75" customHeight="1" x14ac:dyDescent="0.25">
      <c r="A399" s="364"/>
      <c r="B399" s="364"/>
      <c r="C399" s="364"/>
      <c r="D399" s="364"/>
      <c r="E399" s="364"/>
      <c r="F399" s="364"/>
      <c r="G399" s="364"/>
      <c r="H399" s="364"/>
      <c r="I399" s="364"/>
      <c r="J399" s="364"/>
      <c r="K399" s="364"/>
      <c r="L399" s="364"/>
      <c r="M399" s="364"/>
      <c r="N399" s="364"/>
      <c r="O399" s="364"/>
      <c r="P399" s="364"/>
      <c r="Q399" s="364"/>
      <c r="R399" s="364"/>
      <c r="S399" s="364"/>
      <c r="T399" s="364"/>
      <c r="U399" s="364"/>
      <c r="V399" s="364"/>
      <c r="W399" s="364"/>
      <c r="X399" s="364"/>
      <c r="Y399" s="364"/>
      <c r="Z399" s="364"/>
    </row>
    <row r="400" spans="1:26" ht="15.75" customHeight="1" x14ac:dyDescent="0.25">
      <c r="A400" s="364"/>
      <c r="B400" s="364"/>
      <c r="C400" s="364"/>
      <c r="D400" s="364"/>
      <c r="E400" s="364"/>
      <c r="F400" s="364"/>
      <c r="G400" s="364"/>
      <c r="H400" s="364"/>
      <c r="I400" s="364"/>
      <c r="J400" s="364"/>
      <c r="K400" s="364"/>
      <c r="L400" s="364"/>
      <c r="M400" s="364"/>
      <c r="N400" s="364"/>
      <c r="O400" s="364"/>
      <c r="P400" s="364"/>
      <c r="Q400" s="364"/>
      <c r="R400" s="364"/>
      <c r="S400" s="364"/>
      <c r="T400" s="364"/>
      <c r="U400" s="364"/>
      <c r="V400" s="364"/>
      <c r="W400" s="364"/>
      <c r="X400" s="364"/>
      <c r="Y400" s="364"/>
      <c r="Z400" s="364"/>
    </row>
    <row r="401" spans="1:26" ht="15.75" customHeight="1" x14ac:dyDescent="0.25">
      <c r="A401" s="364"/>
      <c r="B401" s="364"/>
      <c r="C401" s="364"/>
      <c r="D401" s="364"/>
      <c r="E401" s="364"/>
      <c r="F401" s="364"/>
      <c r="G401" s="364"/>
      <c r="H401" s="364"/>
      <c r="I401" s="364"/>
      <c r="J401" s="364"/>
      <c r="K401" s="364"/>
      <c r="L401" s="364"/>
      <c r="M401" s="364"/>
      <c r="N401" s="364"/>
      <c r="O401" s="364"/>
      <c r="P401" s="364"/>
      <c r="Q401" s="364"/>
      <c r="R401" s="364"/>
      <c r="S401" s="364"/>
      <c r="T401" s="364"/>
      <c r="U401" s="364"/>
      <c r="V401" s="364"/>
      <c r="W401" s="364"/>
      <c r="X401" s="364"/>
      <c r="Y401" s="364"/>
      <c r="Z401" s="364"/>
    </row>
    <row r="402" spans="1:26" ht="15.75" customHeight="1" x14ac:dyDescent="0.25">
      <c r="A402" s="364"/>
      <c r="B402" s="364"/>
      <c r="C402" s="364"/>
      <c r="D402" s="364"/>
      <c r="E402" s="364"/>
      <c r="F402" s="364"/>
      <c r="G402" s="364"/>
      <c r="H402" s="364"/>
      <c r="I402" s="364"/>
      <c r="J402" s="364"/>
      <c r="K402" s="364"/>
      <c r="L402" s="364"/>
      <c r="M402" s="364"/>
      <c r="N402" s="364"/>
      <c r="O402" s="364"/>
      <c r="P402" s="364"/>
      <c r="Q402" s="364"/>
      <c r="R402" s="364"/>
      <c r="S402" s="364"/>
      <c r="T402" s="364"/>
      <c r="U402" s="364"/>
      <c r="V402" s="364"/>
      <c r="W402" s="364"/>
      <c r="X402" s="364"/>
      <c r="Y402" s="364"/>
      <c r="Z402" s="364"/>
    </row>
    <row r="403" spans="1:26" ht="15.75" customHeight="1" x14ac:dyDescent="0.25">
      <c r="A403" s="364"/>
      <c r="B403" s="364"/>
      <c r="C403" s="364"/>
      <c r="D403" s="364"/>
      <c r="E403" s="364"/>
      <c r="F403" s="364"/>
      <c r="G403" s="364"/>
      <c r="H403" s="364"/>
      <c r="I403" s="364"/>
      <c r="J403" s="364"/>
      <c r="K403" s="364"/>
      <c r="L403" s="364"/>
      <c r="M403" s="364"/>
      <c r="N403" s="364"/>
      <c r="O403" s="364"/>
      <c r="P403" s="364"/>
      <c r="Q403" s="364"/>
      <c r="R403" s="364"/>
      <c r="S403" s="364"/>
      <c r="T403" s="364"/>
      <c r="U403" s="364"/>
      <c r="V403" s="364"/>
      <c r="W403" s="364"/>
      <c r="X403" s="364"/>
      <c r="Y403" s="364"/>
      <c r="Z403" s="364"/>
    </row>
    <row r="404" spans="1:26" ht="15.75" customHeight="1" x14ac:dyDescent="0.25">
      <c r="A404" s="364"/>
      <c r="B404" s="364"/>
      <c r="C404" s="364"/>
      <c r="D404" s="364"/>
      <c r="E404" s="364"/>
      <c r="F404" s="364"/>
      <c r="G404" s="364"/>
      <c r="H404" s="364"/>
      <c r="I404" s="364"/>
      <c r="J404" s="364"/>
      <c r="K404" s="364"/>
      <c r="L404" s="364"/>
      <c r="M404" s="364"/>
      <c r="N404" s="364"/>
      <c r="O404" s="364"/>
      <c r="P404" s="364"/>
      <c r="Q404" s="364"/>
      <c r="R404" s="364"/>
      <c r="S404" s="364"/>
      <c r="T404" s="364"/>
      <c r="U404" s="364"/>
      <c r="V404" s="364"/>
      <c r="W404" s="364"/>
      <c r="X404" s="364"/>
      <c r="Y404" s="364"/>
      <c r="Z404" s="364"/>
    </row>
    <row r="405" spans="1:26" ht="15.75" customHeight="1" x14ac:dyDescent="0.25">
      <c r="A405" s="364"/>
      <c r="B405" s="364"/>
      <c r="C405" s="364"/>
      <c r="D405" s="364"/>
      <c r="E405" s="364"/>
      <c r="F405" s="364"/>
      <c r="G405" s="364"/>
      <c r="H405" s="364"/>
      <c r="I405" s="364"/>
      <c r="J405" s="364"/>
      <c r="K405" s="364"/>
      <c r="L405" s="364"/>
      <c r="M405" s="364"/>
      <c r="N405" s="364"/>
      <c r="O405" s="364"/>
      <c r="P405" s="364"/>
      <c r="Q405" s="364"/>
      <c r="R405" s="364"/>
      <c r="S405" s="364"/>
      <c r="T405" s="364"/>
      <c r="U405" s="364"/>
      <c r="V405" s="364"/>
      <c r="W405" s="364"/>
      <c r="X405" s="364"/>
      <c r="Y405" s="364"/>
      <c r="Z405" s="364"/>
    </row>
    <row r="406" spans="1:26" ht="15.75" customHeight="1" x14ac:dyDescent="0.25">
      <c r="A406" s="364"/>
      <c r="B406" s="364"/>
      <c r="C406" s="364"/>
      <c r="D406" s="364"/>
      <c r="E406" s="364"/>
      <c r="F406" s="364"/>
      <c r="G406" s="364"/>
      <c r="H406" s="364"/>
      <c r="I406" s="364"/>
      <c r="J406" s="364"/>
      <c r="K406" s="364"/>
      <c r="L406" s="364"/>
      <c r="M406" s="364"/>
      <c r="N406" s="364"/>
      <c r="O406" s="364"/>
      <c r="P406" s="364"/>
      <c r="Q406" s="364"/>
      <c r="R406" s="364"/>
      <c r="S406" s="364"/>
      <c r="T406" s="364"/>
      <c r="U406" s="364"/>
      <c r="V406" s="364"/>
      <c r="W406" s="364"/>
      <c r="X406" s="364"/>
      <c r="Y406" s="364"/>
      <c r="Z406" s="364"/>
    </row>
    <row r="407" spans="1:26" ht="15.75" customHeight="1" x14ac:dyDescent="0.25">
      <c r="A407" s="364"/>
      <c r="B407" s="364"/>
      <c r="C407" s="364"/>
      <c r="D407" s="364"/>
      <c r="E407" s="364"/>
      <c r="F407" s="364"/>
      <c r="G407" s="364"/>
      <c r="H407" s="364"/>
      <c r="I407" s="364"/>
      <c r="J407" s="364"/>
      <c r="K407" s="364"/>
      <c r="L407" s="364"/>
      <c r="M407" s="364"/>
      <c r="N407" s="364"/>
      <c r="O407" s="364"/>
      <c r="P407" s="364"/>
      <c r="Q407" s="364"/>
      <c r="R407" s="364"/>
      <c r="S407" s="364"/>
      <c r="T407" s="364"/>
      <c r="U407" s="364"/>
      <c r="V407" s="364"/>
      <c r="W407" s="364"/>
      <c r="X407" s="364"/>
      <c r="Y407" s="364"/>
      <c r="Z407" s="364"/>
    </row>
    <row r="408" spans="1:26" ht="15.75" customHeight="1" x14ac:dyDescent="0.25">
      <c r="A408" s="364"/>
      <c r="B408" s="364"/>
      <c r="C408" s="364"/>
      <c r="D408" s="364"/>
      <c r="E408" s="364"/>
      <c r="F408" s="364"/>
      <c r="G408" s="364"/>
      <c r="H408" s="364"/>
      <c r="I408" s="364"/>
      <c r="J408" s="364"/>
      <c r="K408" s="364"/>
      <c r="L408" s="364"/>
      <c r="M408" s="364"/>
      <c r="N408" s="364"/>
      <c r="O408" s="364"/>
      <c r="P408" s="364"/>
      <c r="Q408" s="364"/>
      <c r="R408" s="364"/>
      <c r="S408" s="364"/>
      <c r="T408" s="364"/>
      <c r="U408" s="364"/>
      <c r="V408" s="364"/>
      <c r="W408" s="364"/>
      <c r="X408" s="364"/>
      <c r="Y408" s="364"/>
      <c r="Z408" s="364"/>
    </row>
    <row r="409" spans="1:26" ht="15.75" customHeight="1" x14ac:dyDescent="0.25">
      <c r="A409" s="364"/>
      <c r="B409" s="364"/>
      <c r="C409" s="364"/>
      <c r="D409" s="364"/>
      <c r="E409" s="364"/>
      <c r="F409" s="364"/>
      <c r="G409" s="364"/>
      <c r="H409" s="364"/>
      <c r="I409" s="364"/>
      <c r="J409" s="364"/>
      <c r="K409" s="364"/>
      <c r="L409" s="364"/>
      <c r="M409" s="364"/>
      <c r="N409" s="364"/>
      <c r="O409" s="364"/>
      <c r="P409" s="364"/>
      <c r="Q409" s="364"/>
      <c r="R409" s="364"/>
      <c r="S409" s="364"/>
      <c r="T409" s="364"/>
      <c r="U409" s="364"/>
      <c r="V409" s="364"/>
      <c r="W409" s="364"/>
      <c r="X409" s="364"/>
      <c r="Y409" s="364"/>
      <c r="Z409" s="364"/>
    </row>
    <row r="410" spans="1:26" ht="15.75" customHeight="1" x14ac:dyDescent="0.25">
      <c r="A410" s="364"/>
      <c r="B410" s="364"/>
      <c r="C410" s="364"/>
      <c r="D410" s="364"/>
      <c r="E410" s="364"/>
      <c r="F410" s="364"/>
      <c r="G410" s="364"/>
      <c r="H410" s="364"/>
      <c r="I410" s="364"/>
      <c r="J410" s="364"/>
      <c r="K410" s="364"/>
      <c r="L410" s="364"/>
      <c r="M410" s="364"/>
      <c r="N410" s="364"/>
      <c r="O410" s="364"/>
      <c r="P410" s="364"/>
      <c r="Q410" s="364"/>
      <c r="R410" s="364"/>
      <c r="S410" s="364"/>
      <c r="T410" s="364"/>
      <c r="U410" s="364"/>
      <c r="V410" s="364"/>
      <c r="W410" s="364"/>
      <c r="X410" s="364"/>
      <c r="Y410" s="364"/>
      <c r="Z410" s="364"/>
    </row>
    <row r="411" spans="1:26" ht="15.75" customHeight="1" x14ac:dyDescent="0.25">
      <c r="A411" s="364"/>
      <c r="B411" s="364"/>
      <c r="C411" s="364"/>
      <c r="D411" s="364"/>
      <c r="E411" s="364"/>
      <c r="F411" s="364"/>
      <c r="G411" s="364"/>
      <c r="H411" s="364"/>
      <c r="I411" s="364"/>
      <c r="J411" s="364"/>
      <c r="K411" s="364"/>
      <c r="L411" s="364"/>
      <c r="M411" s="364"/>
      <c r="N411" s="364"/>
      <c r="O411" s="364"/>
      <c r="P411" s="364"/>
      <c r="Q411" s="364"/>
      <c r="R411" s="364"/>
      <c r="S411" s="364"/>
      <c r="T411" s="364"/>
      <c r="U411" s="364"/>
      <c r="V411" s="364"/>
      <c r="W411" s="364"/>
      <c r="X411" s="364"/>
      <c r="Y411" s="364"/>
      <c r="Z411" s="364"/>
    </row>
    <row r="412" spans="1:26" ht="15.75" customHeight="1" x14ac:dyDescent="0.25">
      <c r="A412" s="364"/>
      <c r="B412" s="364"/>
      <c r="C412" s="364"/>
      <c r="D412" s="364"/>
      <c r="E412" s="364"/>
      <c r="F412" s="364"/>
      <c r="G412" s="364"/>
      <c r="H412" s="364"/>
      <c r="I412" s="364"/>
      <c r="J412" s="364"/>
      <c r="K412" s="364"/>
      <c r="L412" s="364"/>
      <c r="M412" s="364"/>
      <c r="N412" s="364"/>
      <c r="O412" s="364"/>
      <c r="P412" s="364"/>
      <c r="Q412" s="364"/>
      <c r="R412" s="364"/>
      <c r="S412" s="364"/>
      <c r="T412" s="364"/>
      <c r="U412" s="364"/>
      <c r="V412" s="364"/>
      <c r="W412" s="364"/>
      <c r="X412" s="364"/>
      <c r="Y412" s="364"/>
      <c r="Z412" s="364"/>
    </row>
    <row r="413" spans="1:26" ht="15.75" customHeight="1" x14ac:dyDescent="0.25">
      <c r="A413" s="364"/>
      <c r="B413" s="364"/>
      <c r="C413" s="364"/>
      <c r="D413" s="364"/>
      <c r="E413" s="364"/>
      <c r="F413" s="364"/>
      <c r="G413" s="364"/>
      <c r="H413" s="364"/>
      <c r="I413" s="364"/>
      <c r="J413" s="364"/>
      <c r="K413" s="364"/>
      <c r="L413" s="364"/>
      <c r="M413" s="364"/>
      <c r="N413" s="364"/>
      <c r="O413" s="364"/>
      <c r="P413" s="364"/>
      <c r="Q413" s="364"/>
      <c r="R413" s="364"/>
      <c r="S413" s="364"/>
      <c r="T413" s="364"/>
      <c r="U413" s="364"/>
      <c r="V413" s="364"/>
      <c r="W413" s="364"/>
      <c r="X413" s="364"/>
      <c r="Y413" s="364"/>
      <c r="Z413" s="364"/>
    </row>
    <row r="414" spans="1:26" ht="15.75" customHeight="1" x14ac:dyDescent="0.25">
      <c r="A414" s="364"/>
      <c r="B414" s="364"/>
      <c r="C414" s="364"/>
      <c r="D414" s="364"/>
      <c r="E414" s="364"/>
      <c r="F414" s="364"/>
      <c r="G414" s="364"/>
      <c r="H414" s="364"/>
      <c r="I414" s="364"/>
      <c r="J414" s="364"/>
      <c r="K414" s="364"/>
      <c r="L414" s="364"/>
      <c r="M414" s="364"/>
      <c r="N414" s="364"/>
      <c r="O414" s="364"/>
      <c r="P414" s="364"/>
      <c r="Q414" s="364"/>
      <c r="R414" s="364"/>
      <c r="S414" s="364"/>
      <c r="T414" s="364"/>
      <c r="U414" s="364"/>
      <c r="V414" s="364"/>
      <c r="W414" s="364"/>
      <c r="X414" s="364"/>
      <c r="Y414" s="364"/>
      <c r="Z414" s="364"/>
    </row>
    <row r="415" spans="1:26" ht="15.75" customHeight="1" x14ac:dyDescent="0.25">
      <c r="A415" s="364"/>
      <c r="B415" s="364"/>
      <c r="C415" s="364"/>
      <c r="D415" s="364"/>
      <c r="E415" s="364"/>
      <c r="F415" s="364"/>
      <c r="G415" s="364"/>
      <c r="H415" s="364"/>
      <c r="I415" s="364"/>
      <c r="J415" s="364"/>
      <c r="K415" s="364"/>
      <c r="L415" s="364"/>
      <c r="M415" s="364"/>
      <c r="N415" s="364"/>
      <c r="O415" s="364"/>
      <c r="P415" s="364"/>
      <c r="Q415" s="364"/>
      <c r="R415" s="364"/>
      <c r="S415" s="364"/>
      <c r="T415" s="364"/>
      <c r="U415" s="364"/>
      <c r="V415" s="364"/>
      <c r="W415" s="364"/>
      <c r="X415" s="364"/>
      <c r="Y415" s="364"/>
      <c r="Z415" s="364"/>
    </row>
    <row r="416" spans="1:26" ht="15.75" customHeight="1" x14ac:dyDescent="0.25">
      <c r="A416" s="364"/>
      <c r="B416" s="364"/>
      <c r="C416" s="364"/>
      <c r="D416" s="364"/>
      <c r="E416" s="364"/>
      <c r="F416" s="364"/>
      <c r="G416" s="364"/>
      <c r="H416" s="364"/>
      <c r="I416" s="364"/>
      <c r="J416" s="364"/>
      <c r="K416" s="364"/>
      <c r="L416" s="364"/>
      <c r="M416" s="364"/>
      <c r="N416" s="364"/>
      <c r="O416" s="364"/>
      <c r="P416" s="364"/>
      <c r="Q416" s="364"/>
      <c r="R416" s="364"/>
      <c r="S416" s="364"/>
      <c r="T416" s="364"/>
      <c r="U416" s="364"/>
      <c r="V416" s="364"/>
      <c r="W416" s="364"/>
      <c r="X416" s="364"/>
      <c r="Y416" s="364"/>
      <c r="Z416" s="364"/>
    </row>
    <row r="417" spans="1:26" ht="15.75" customHeight="1" x14ac:dyDescent="0.25">
      <c r="A417" s="364"/>
      <c r="B417" s="364"/>
      <c r="C417" s="364"/>
      <c r="D417" s="364"/>
      <c r="E417" s="364"/>
      <c r="F417" s="364"/>
      <c r="G417" s="364"/>
      <c r="H417" s="364"/>
      <c r="I417" s="364"/>
      <c r="J417" s="364"/>
      <c r="K417" s="364"/>
      <c r="L417" s="364"/>
      <c r="M417" s="364"/>
      <c r="N417" s="364"/>
      <c r="O417" s="364"/>
      <c r="P417" s="364"/>
      <c r="Q417" s="364"/>
      <c r="R417" s="364"/>
      <c r="S417" s="364"/>
      <c r="T417" s="364"/>
      <c r="U417" s="364"/>
      <c r="V417" s="364"/>
      <c r="W417" s="364"/>
      <c r="X417" s="364"/>
      <c r="Y417" s="364"/>
      <c r="Z417" s="364"/>
    </row>
    <row r="418" spans="1:26" ht="15.75" customHeight="1" x14ac:dyDescent="0.25">
      <c r="A418" s="364"/>
      <c r="B418" s="364"/>
      <c r="C418" s="364"/>
      <c r="D418" s="364"/>
      <c r="E418" s="364"/>
      <c r="F418" s="364"/>
      <c r="G418" s="364"/>
      <c r="H418" s="364"/>
      <c r="I418" s="364"/>
      <c r="J418" s="364"/>
      <c r="K418" s="364"/>
      <c r="L418" s="364"/>
      <c r="M418" s="364"/>
      <c r="N418" s="364"/>
      <c r="O418" s="364"/>
      <c r="P418" s="364"/>
      <c r="Q418" s="364"/>
      <c r="R418" s="364"/>
      <c r="S418" s="364"/>
      <c r="T418" s="364"/>
      <c r="U418" s="364"/>
      <c r="V418" s="364"/>
      <c r="W418" s="364"/>
      <c r="X418" s="364"/>
      <c r="Y418" s="364"/>
      <c r="Z418" s="364"/>
    </row>
    <row r="419" spans="1:26" ht="15.75" customHeight="1" x14ac:dyDescent="0.25">
      <c r="A419" s="364"/>
      <c r="B419" s="364"/>
      <c r="C419" s="364"/>
      <c r="D419" s="364"/>
      <c r="E419" s="364"/>
      <c r="F419" s="364"/>
      <c r="G419" s="364"/>
      <c r="H419" s="364"/>
      <c r="I419" s="364"/>
      <c r="J419" s="364"/>
      <c r="K419" s="364"/>
      <c r="L419" s="364"/>
      <c r="M419" s="364"/>
      <c r="N419" s="364"/>
      <c r="O419" s="364"/>
      <c r="P419" s="364"/>
      <c r="Q419" s="364"/>
      <c r="R419" s="364"/>
      <c r="S419" s="364"/>
      <c r="T419" s="364"/>
      <c r="U419" s="364"/>
      <c r="V419" s="364"/>
      <c r="W419" s="364"/>
      <c r="X419" s="364"/>
      <c r="Y419" s="364"/>
      <c r="Z419" s="364"/>
    </row>
    <row r="420" spans="1:26" ht="15.75" customHeight="1" x14ac:dyDescent="0.25">
      <c r="A420" s="364"/>
      <c r="B420" s="364"/>
      <c r="C420" s="364"/>
      <c r="D420" s="364"/>
      <c r="E420" s="364"/>
      <c r="F420" s="364"/>
      <c r="G420" s="364"/>
      <c r="H420" s="364"/>
      <c r="I420" s="364"/>
      <c r="J420" s="364"/>
      <c r="K420" s="364"/>
      <c r="L420" s="364"/>
      <c r="M420" s="364"/>
      <c r="N420" s="364"/>
      <c r="O420" s="364"/>
      <c r="P420" s="364"/>
      <c r="Q420" s="364"/>
      <c r="R420" s="364"/>
      <c r="S420" s="364"/>
      <c r="T420" s="364"/>
      <c r="U420" s="364"/>
      <c r="V420" s="364"/>
      <c r="W420" s="364"/>
      <c r="X420" s="364"/>
      <c r="Y420" s="364"/>
      <c r="Z420" s="364"/>
    </row>
    <row r="421" spans="1:26" ht="15.75" customHeight="1" x14ac:dyDescent="0.25">
      <c r="A421" s="364"/>
      <c r="B421" s="364"/>
      <c r="C421" s="364"/>
      <c r="D421" s="364"/>
      <c r="E421" s="364"/>
      <c r="F421" s="364"/>
      <c r="G421" s="364"/>
      <c r="H421" s="364"/>
      <c r="I421" s="364"/>
      <c r="J421" s="364"/>
      <c r="K421" s="364"/>
      <c r="L421" s="364"/>
      <c r="M421" s="364"/>
      <c r="N421" s="364"/>
      <c r="O421" s="364"/>
      <c r="P421" s="364"/>
      <c r="Q421" s="364"/>
      <c r="R421" s="364"/>
      <c r="S421" s="364"/>
      <c r="T421" s="364"/>
      <c r="U421" s="364"/>
      <c r="V421" s="364"/>
      <c r="W421" s="364"/>
      <c r="X421" s="364"/>
      <c r="Y421" s="364"/>
      <c r="Z421" s="364"/>
    </row>
    <row r="422" spans="1:26" ht="15.75" customHeight="1" x14ac:dyDescent="0.25">
      <c r="A422" s="364"/>
      <c r="B422" s="364"/>
      <c r="C422" s="364"/>
      <c r="D422" s="364"/>
      <c r="E422" s="364"/>
      <c r="F422" s="364"/>
      <c r="G422" s="364"/>
      <c r="H422" s="364"/>
      <c r="I422" s="364"/>
      <c r="J422" s="364"/>
      <c r="K422" s="364"/>
      <c r="L422" s="364"/>
      <c r="M422" s="364"/>
      <c r="N422" s="364"/>
      <c r="O422" s="364"/>
      <c r="P422" s="364"/>
      <c r="Q422" s="364"/>
      <c r="R422" s="364"/>
      <c r="S422" s="364"/>
      <c r="T422" s="364"/>
      <c r="U422" s="364"/>
      <c r="V422" s="364"/>
      <c r="W422" s="364"/>
      <c r="X422" s="364"/>
      <c r="Y422" s="364"/>
      <c r="Z422" s="364"/>
    </row>
    <row r="423" spans="1:26" ht="15.75" customHeight="1" x14ac:dyDescent="0.25">
      <c r="A423" s="364"/>
      <c r="B423" s="364"/>
      <c r="C423" s="364"/>
      <c r="D423" s="364"/>
      <c r="E423" s="364"/>
      <c r="F423" s="364"/>
      <c r="G423" s="364"/>
      <c r="H423" s="364"/>
      <c r="I423" s="364"/>
      <c r="J423" s="364"/>
      <c r="K423" s="364"/>
      <c r="L423" s="364"/>
      <c r="M423" s="364"/>
      <c r="N423" s="364"/>
      <c r="O423" s="364"/>
      <c r="P423" s="364"/>
      <c r="Q423" s="364"/>
      <c r="R423" s="364"/>
      <c r="S423" s="364"/>
      <c r="T423" s="364"/>
      <c r="U423" s="364"/>
      <c r="V423" s="364"/>
      <c r="W423" s="364"/>
      <c r="X423" s="364"/>
      <c r="Y423" s="364"/>
      <c r="Z423" s="364"/>
    </row>
    <row r="424" spans="1:26" ht="15.75" customHeight="1" x14ac:dyDescent="0.25">
      <c r="A424" s="364"/>
      <c r="B424" s="364"/>
      <c r="C424" s="364"/>
      <c r="D424" s="364"/>
      <c r="E424" s="364"/>
      <c r="F424" s="364"/>
      <c r="G424" s="364"/>
      <c r="H424" s="364"/>
      <c r="I424" s="364"/>
      <c r="J424" s="364"/>
      <c r="K424" s="364"/>
      <c r="L424" s="364"/>
      <c r="M424" s="364"/>
      <c r="N424" s="364"/>
      <c r="O424" s="364"/>
      <c r="P424" s="364"/>
      <c r="Q424" s="364"/>
      <c r="R424" s="364"/>
      <c r="S424" s="364"/>
      <c r="T424" s="364"/>
      <c r="U424" s="364"/>
      <c r="V424" s="364"/>
      <c r="W424" s="364"/>
      <c r="X424" s="364"/>
      <c r="Y424" s="364"/>
      <c r="Z424" s="364"/>
    </row>
    <row r="425" spans="1:26" ht="15.75" customHeight="1" x14ac:dyDescent="0.25">
      <c r="A425" s="364"/>
      <c r="B425" s="364"/>
      <c r="C425" s="364"/>
      <c r="D425" s="364"/>
      <c r="E425" s="364"/>
      <c r="F425" s="364"/>
      <c r="G425" s="364"/>
      <c r="H425" s="364"/>
      <c r="I425" s="364"/>
      <c r="J425" s="364"/>
      <c r="K425" s="364"/>
      <c r="L425" s="364"/>
      <c r="M425" s="364"/>
      <c r="N425" s="364"/>
      <c r="O425" s="364"/>
      <c r="P425" s="364"/>
      <c r="Q425" s="364"/>
      <c r="R425" s="364"/>
      <c r="S425" s="364"/>
      <c r="T425" s="364"/>
      <c r="U425" s="364"/>
      <c r="V425" s="364"/>
      <c r="W425" s="364"/>
      <c r="X425" s="364"/>
      <c r="Y425" s="364"/>
      <c r="Z425" s="364"/>
    </row>
    <row r="426" spans="1:26" ht="15.75" customHeight="1" x14ac:dyDescent="0.25">
      <c r="A426" s="364"/>
      <c r="B426" s="364"/>
      <c r="C426" s="364"/>
      <c r="D426" s="364"/>
      <c r="E426" s="364"/>
      <c r="F426" s="364"/>
      <c r="G426" s="364"/>
      <c r="H426" s="364"/>
      <c r="I426" s="364"/>
      <c r="J426" s="364"/>
      <c r="K426" s="364"/>
      <c r="L426" s="364"/>
      <c r="M426" s="364"/>
      <c r="N426" s="364"/>
      <c r="O426" s="364"/>
      <c r="P426" s="364"/>
      <c r="Q426" s="364"/>
      <c r="R426" s="364"/>
      <c r="S426" s="364"/>
      <c r="T426" s="364"/>
      <c r="U426" s="364"/>
      <c r="V426" s="364"/>
      <c r="W426" s="364"/>
      <c r="X426" s="364"/>
      <c r="Y426" s="364"/>
      <c r="Z426" s="364"/>
    </row>
    <row r="427" spans="1:26" ht="15.75" customHeight="1" x14ac:dyDescent="0.25">
      <c r="A427" s="364"/>
      <c r="B427" s="364"/>
      <c r="C427" s="364"/>
      <c r="D427" s="364"/>
      <c r="E427" s="364"/>
      <c r="F427" s="364"/>
      <c r="G427" s="364"/>
      <c r="H427" s="364"/>
      <c r="I427" s="364"/>
      <c r="J427" s="364"/>
      <c r="K427" s="364"/>
      <c r="L427" s="364"/>
      <c r="M427" s="364"/>
      <c r="N427" s="364"/>
      <c r="O427" s="364"/>
      <c r="P427" s="364"/>
      <c r="Q427" s="364"/>
      <c r="R427" s="364"/>
      <c r="S427" s="364"/>
      <c r="T427" s="364"/>
      <c r="U427" s="364"/>
      <c r="V427" s="364"/>
      <c r="W427" s="364"/>
      <c r="X427" s="364"/>
      <c r="Y427" s="364"/>
      <c r="Z427" s="364"/>
    </row>
    <row r="428" spans="1:26" ht="15.75" customHeight="1" x14ac:dyDescent="0.25">
      <c r="A428" s="364"/>
      <c r="B428" s="364"/>
      <c r="C428" s="364"/>
      <c r="D428" s="364"/>
      <c r="E428" s="364"/>
      <c r="F428" s="364"/>
      <c r="G428" s="364"/>
      <c r="H428" s="364"/>
      <c r="I428" s="364"/>
      <c r="J428" s="364"/>
      <c r="K428" s="364"/>
      <c r="L428" s="364"/>
      <c r="M428" s="364"/>
      <c r="N428" s="364"/>
      <c r="O428" s="364"/>
      <c r="P428" s="364"/>
      <c r="Q428" s="364"/>
      <c r="R428" s="364"/>
      <c r="S428" s="364"/>
      <c r="T428" s="364"/>
      <c r="U428" s="364"/>
      <c r="V428" s="364"/>
      <c r="W428" s="364"/>
      <c r="X428" s="364"/>
      <c r="Y428" s="364"/>
      <c r="Z428" s="364"/>
    </row>
    <row r="429" spans="1:26" ht="15.75" customHeight="1" x14ac:dyDescent="0.25">
      <c r="A429" s="364"/>
      <c r="B429" s="364"/>
      <c r="C429" s="364"/>
      <c r="D429" s="364"/>
      <c r="E429" s="364"/>
      <c r="F429" s="364"/>
      <c r="G429" s="364"/>
      <c r="H429" s="364"/>
      <c r="I429" s="364"/>
      <c r="J429" s="364"/>
      <c r="K429" s="364"/>
      <c r="L429" s="364"/>
      <c r="M429" s="364"/>
      <c r="N429" s="364"/>
      <c r="O429" s="364"/>
      <c r="P429" s="364"/>
      <c r="Q429" s="364"/>
      <c r="R429" s="364"/>
      <c r="S429" s="364"/>
      <c r="T429" s="364"/>
      <c r="U429" s="364"/>
      <c r="V429" s="364"/>
      <c r="W429" s="364"/>
      <c r="X429" s="364"/>
      <c r="Y429" s="364"/>
      <c r="Z429" s="364"/>
    </row>
    <row r="430" spans="1:26" ht="15.75" customHeight="1" x14ac:dyDescent="0.25">
      <c r="A430" s="364"/>
      <c r="B430" s="364"/>
      <c r="C430" s="364"/>
      <c r="D430" s="364"/>
      <c r="E430" s="364"/>
      <c r="F430" s="364"/>
      <c r="G430" s="364"/>
      <c r="H430" s="364"/>
      <c r="I430" s="364"/>
      <c r="J430" s="364"/>
      <c r="K430" s="364"/>
      <c r="L430" s="364"/>
      <c r="M430" s="364"/>
      <c r="N430" s="364"/>
      <c r="O430" s="364"/>
      <c r="P430" s="364"/>
      <c r="Q430" s="364"/>
      <c r="R430" s="364"/>
      <c r="S430" s="364"/>
      <c r="T430" s="364"/>
      <c r="U430" s="364"/>
      <c r="V430" s="364"/>
      <c r="W430" s="364"/>
      <c r="X430" s="364"/>
      <c r="Y430" s="364"/>
      <c r="Z430" s="364"/>
    </row>
    <row r="431" spans="1:26" ht="15.75" customHeight="1" x14ac:dyDescent="0.25">
      <c r="A431" s="364"/>
      <c r="B431" s="364"/>
      <c r="C431" s="364"/>
      <c r="D431" s="364"/>
      <c r="E431" s="364"/>
      <c r="F431" s="364"/>
      <c r="G431" s="364"/>
      <c r="H431" s="364"/>
      <c r="I431" s="364"/>
      <c r="J431" s="364"/>
      <c r="K431" s="364"/>
      <c r="L431" s="364"/>
      <c r="M431" s="364"/>
      <c r="N431" s="364"/>
      <c r="O431" s="364"/>
      <c r="P431" s="364"/>
      <c r="Q431" s="364"/>
      <c r="R431" s="364"/>
      <c r="S431" s="364"/>
      <c r="T431" s="364"/>
      <c r="U431" s="364"/>
      <c r="V431" s="364"/>
      <c r="W431" s="364"/>
      <c r="X431" s="364"/>
      <c r="Y431" s="364"/>
      <c r="Z431" s="364"/>
    </row>
    <row r="432" spans="1:26" ht="15.75" customHeight="1" x14ac:dyDescent="0.25">
      <c r="A432" s="364"/>
      <c r="B432" s="364"/>
      <c r="C432" s="364"/>
      <c r="D432" s="364"/>
      <c r="E432" s="364"/>
      <c r="F432" s="364"/>
      <c r="G432" s="364"/>
      <c r="H432" s="364"/>
      <c r="I432" s="364"/>
      <c r="J432" s="364"/>
      <c r="K432" s="364"/>
      <c r="L432" s="364"/>
      <c r="M432" s="364"/>
      <c r="N432" s="364"/>
      <c r="O432" s="364"/>
      <c r="P432" s="364"/>
      <c r="Q432" s="364"/>
      <c r="R432" s="364"/>
      <c r="S432" s="364"/>
      <c r="T432" s="364"/>
      <c r="U432" s="364"/>
      <c r="V432" s="364"/>
      <c r="W432" s="364"/>
      <c r="X432" s="364"/>
      <c r="Y432" s="364"/>
      <c r="Z432" s="364"/>
    </row>
    <row r="433" spans="1:26" ht="15.75" customHeight="1" x14ac:dyDescent="0.25">
      <c r="A433" s="364"/>
      <c r="B433" s="364"/>
      <c r="C433" s="364"/>
      <c r="D433" s="364"/>
      <c r="E433" s="364"/>
      <c r="F433" s="364"/>
      <c r="G433" s="364"/>
      <c r="H433" s="364"/>
      <c r="I433" s="364"/>
      <c r="J433" s="364"/>
      <c r="K433" s="364"/>
      <c r="L433" s="364"/>
      <c r="M433" s="364"/>
      <c r="N433" s="364"/>
      <c r="O433" s="364"/>
      <c r="P433" s="364"/>
      <c r="Q433" s="364"/>
      <c r="R433" s="364"/>
      <c r="S433" s="364"/>
      <c r="T433" s="364"/>
      <c r="U433" s="364"/>
      <c r="V433" s="364"/>
      <c r="W433" s="364"/>
      <c r="X433" s="364"/>
      <c r="Y433" s="364"/>
      <c r="Z433" s="364"/>
    </row>
    <row r="434" spans="1:26" ht="15.75" customHeight="1" x14ac:dyDescent="0.25">
      <c r="A434" s="364"/>
      <c r="B434" s="364"/>
      <c r="C434" s="364"/>
      <c r="D434" s="364"/>
      <c r="E434" s="364"/>
      <c r="F434" s="364"/>
      <c r="G434" s="364"/>
      <c r="H434" s="364"/>
      <c r="I434" s="364"/>
      <c r="J434" s="364"/>
      <c r="K434" s="364"/>
      <c r="L434" s="364"/>
      <c r="M434" s="364"/>
      <c r="N434" s="364"/>
      <c r="O434" s="364"/>
      <c r="P434" s="364"/>
      <c r="Q434" s="364"/>
      <c r="R434" s="364"/>
      <c r="S434" s="364"/>
      <c r="T434" s="364"/>
      <c r="U434" s="364"/>
      <c r="V434" s="364"/>
      <c r="W434" s="364"/>
      <c r="X434" s="364"/>
      <c r="Y434" s="364"/>
      <c r="Z434" s="364"/>
    </row>
    <row r="435" spans="1:26" ht="15.75" customHeight="1" x14ac:dyDescent="0.25">
      <c r="A435" s="364"/>
      <c r="B435" s="364"/>
      <c r="C435" s="364"/>
      <c r="D435" s="364"/>
      <c r="E435" s="364"/>
      <c r="F435" s="364"/>
      <c r="G435" s="364"/>
      <c r="H435" s="364"/>
      <c r="I435" s="364"/>
      <c r="J435" s="364"/>
      <c r="K435" s="364"/>
      <c r="L435" s="364"/>
      <c r="M435" s="364"/>
      <c r="N435" s="364"/>
      <c r="O435" s="364"/>
      <c r="P435" s="364"/>
      <c r="Q435" s="364"/>
      <c r="R435" s="364"/>
      <c r="S435" s="364"/>
      <c r="T435" s="364"/>
      <c r="U435" s="364"/>
      <c r="V435" s="364"/>
      <c r="W435" s="364"/>
      <c r="X435" s="364"/>
      <c r="Y435" s="364"/>
      <c r="Z435" s="364"/>
    </row>
    <row r="436" spans="1:26" ht="15.75" customHeight="1" x14ac:dyDescent="0.25">
      <c r="A436" s="364"/>
      <c r="B436" s="364"/>
      <c r="C436" s="364"/>
      <c r="D436" s="364"/>
      <c r="E436" s="364"/>
      <c r="F436" s="364"/>
      <c r="G436" s="364"/>
      <c r="H436" s="364"/>
      <c r="I436" s="364"/>
      <c r="J436" s="364"/>
      <c r="K436" s="364"/>
      <c r="L436" s="364"/>
      <c r="M436" s="364"/>
      <c r="N436" s="364"/>
      <c r="O436" s="364"/>
      <c r="P436" s="364"/>
      <c r="Q436" s="364"/>
      <c r="R436" s="364"/>
      <c r="S436" s="364"/>
      <c r="T436" s="364"/>
      <c r="U436" s="364"/>
      <c r="V436" s="364"/>
      <c r="W436" s="364"/>
      <c r="X436" s="364"/>
      <c r="Y436" s="364"/>
      <c r="Z436" s="364"/>
    </row>
    <row r="437" spans="1:26" ht="15.75" customHeight="1" x14ac:dyDescent="0.25">
      <c r="A437" s="364"/>
      <c r="B437" s="364"/>
      <c r="C437" s="364"/>
      <c r="D437" s="364"/>
      <c r="E437" s="364"/>
      <c r="F437" s="364"/>
      <c r="G437" s="364"/>
      <c r="H437" s="364"/>
      <c r="I437" s="364"/>
      <c r="J437" s="364"/>
      <c r="K437" s="364"/>
      <c r="L437" s="364"/>
      <c r="M437" s="364"/>
      <c r="N437" s="364"/>
      <c r="O437" s="364"/>
      <c r="P437" s="364"/>
      <c r="Q437" s="364"/>
      <c r="R437" s="364"/>
      <c r="S437" s="364"/>
      <c r="T437" s="364"/>
      <c r="U437" s="364"/>
      <c r="V437" s="364"/>
      <c r="W437" s="364"/>
      <c r="X437" s="364"/>
      <c r="Y437" s="364"/>
      <c r="Z437" s="364"/>
    </row>
    <row r="438" spans="1:26" ht="15.75" customHeight="1" x14ac:dyDescent="0.25">
      <c r="A438" s="364"/>
      <c r="B438" s="364"/>
      <c r="C438" s="364"/>
      <c r="D438" s="364"/>
      <c r="E438" s="364"/>
      <c r="F438" s="364"/>
      <c r="G438" s="364"/>
      <c r="H438" s="364"/>
      <c r="I438" s="364"/>
      <c r="J438" s="364"/>
      <c r="K438" s="364"/>
      <c r="L438" s="364"/>
      <c r="M438" s="364"/>
      <c r="N438" s="364"/>
      <c r="O438" s="364"/>
      <c r="P438" s="364"/>
      <c r="Q438" s="364"/>
      <c r="R438" s="364"/>
      <c r="S438" s="364"/>
      <c r="T438" s="364"/>
      <c r="U438" s="364"/>
      <c r="V438" s="364"/>
      <c r="W438" s="364"/>
      <c r="X438" s="364"/>
      <c r="Y438" s="364"/>
      <c r="Z438" s="364"/>
    </row>
    <row r="439" spans="1:26" ht="15.75" customHeight="1" x14ac:dyDescent="0.25">
      <c r="A439" s="364"/>
      <c r="B439" s="364"/>
      <c r="C439" s="364"/>
      <c r="D439" s="364"/>
      <c r="E439" s="364"/>
      <c r="F439" s="364"/>
      <c r="G439" s="364"/>
      <c r="H439" s="364"/>
      <c r="I439" s="364"/>
      <c r="J439" s="364"/>
      <c r="K439" s="364"/>
      <c r="L439" s="364"/>
      <c r="M439" s="364"/>
      <c r="N439" s="364"/>
      <c r="O439" s="364"/>
      <c r="P439" s="364"/>
      <c r="Q439" s="364"/>
      <c r="R439" s="364"/>
      <c r="S439" s="364"/>
      <c r="T439" s="364"/>
      <c r="U439" s="364"/>
      <c r="V439" s="364"/>
      <c r="W439" s="364"/>
      <c r="X439" s="364"/>
      <c r="Y439" s="364"/>
      <c r="Z439" s="364"/>
    </row>
    <row r="440" spans="1:26" ht="15.75" customHeight="1" x14ac:dyDescent="0.25">
      <c r="A440" s="364"/>
      <c r="B440" s="364"/>
      <c r="C440" s="364"/>
      <c r="D440" s="364"/>
      <c r="E440" s="364"/>
      <c r="F440" s="364"/>
      <c r="G440" s="364"/>
      <c r="H440" s="364"/>
      <c r="I440" s="364"/>
      <c r="J440" s="364"/>
      <c r="K440" s="364"/>
      <c r="L440" s="364"/>
      <c r="M440" s="364"/>
      <c r="N440" s="364"/>
      <c r="O440" s="364"/>
      <c r="P440" s="364"/>
      <c r="Q440" s="364"/>
      <c r="R440" s="364"/>
      <c r="S440" s="364"/>
      <c r="T440" s="364"/>
      <c r="U440" s="364"/>
      <c r="V440" s="364"/>
      <c r="W440" s="364"/>
      <c r="X440" s="364"/>
      <c r="Y440" s="364"/>
      <c r="Z440" s="364"/>
    </row>
    <row r="441" spans="1:26" ht="15.75" customHeight="1" x14ac:dyDescent="0.25">
      <c r="A441" s="364"/>
      <c r="B441" s="364"/>
      <c r="C441" s="364"/>
      <c r="D441" s="364"/>
      <c r="E441" s="364"/>
      <c r="F441" s="364"/>
      <c r="G441" s="364"/>
      <c r="H441" s="364"/>
      <c r="I441" s="364"/>
      <c r="J441" s="364"/>
      <c r="K441" s="364"/>
      <c r="L441" s="364"/>
      <c r="M441" s="364"/>
      <c r="N441" s="364"/>
      <c r="O441" s="364"/>
      <c r="P441" s="364"/>
      <c r="Q441" s="364"/>
      <c r="R441" s="364"/>
      <c r="S441" s="364"/>
      <c r="T441" s="364"/>
      <c r="U441" s="364"/>
      <c r="V441" s="364"/>
      <c r="W441" s="364"/>
      <c r="X441" s="364"/>
      <c r="Y441" s="364"/>
      <c r="Z441" s="364"/>
    </row>
    <row r="442" spans="1:26" ht="15.75" customHeight="1" x14ac:dyDescent="0.25">
      <c r="A442" s="364"/>
      <c r="B442" s="364"/>
      <c r="C442" s="364"/>
      <c r="D442" s="364"/>
      <c r="E442" s="364"/>
      <c r="F442" s="364"/>
      <c r="G442" s="364"/>
      <c r="H442" s="364"/>
      <c r="I442" s="364"/>
      <c r="J442" s="364"/>
      <c r="K442" s="364"/>
      <c r="L442" s="364"/>
      <c r="M442" s="364"/>
      <c r="N442" s="364"/>
      <c r="O442" s="364"/>
      <c r="P442" s="364"/>
      <c r="Q442" s="364"/>
      <c r="R442" s="364"/>
      <c r="S442" s="364"/>
      <c r="T442" s="364"/>
      <c r="U442" s="364"/>
      <c r="V442" s="364"/>
      <c r="W442" s="364"/>
      <c r="X442" s="364"/>
      <c r="Y442" s="364"/>
      <c r="Z442" s="364"/>
    </row>
    <row r="443" spans="1:26" ht="15.75" customHeight="1" x14ac:dyDescent="0.25">
      <c r="A443" s="364"/>
      <c r="B443" s="364"/>
      <c r="C443" s="364"/>
      <c r="D443" s="364"/>
      <c r="E443" s="364"/>
      <c r="F443" s="364"/>
      <c r="G443" s="364"/>
      <c r="H443" s="364"/>
      <c r="I443" s="364"/>
      <c r="J443" s="364"/>
      <c r="K443" s="364"/>
      <c r="L443" s="364"/>
      <c r="M443" s="364"/>
      <c r="N443" s="364"/>
      <c r="O443" s="364"/>
      <c r="P443" s="364"/>
      <c r="Q443" s="364"/>
      <c r="R443" s="364"/>
      <c r="S443" s="364"/>
      <c r="T443" s="364"/>
      <c r="U443" s="364"/>
      <c r="V443" s="364"/>
      <c r="W443" s="364"/>
      <c r="X443" s="364"/>
      <c r="Y443" s="364"/>
      <c r="Z443" s="364"/>
    </row>
    <row r="444" spans="1:26" ht="15.75" customHeight="1" x14ac:dyDescent="0.25">
      <c r="A444" s="364"/>
      <c r="B444" s="364"/>
      <c r="C444" s="364"/>
      <c r="D444" s="364"/>
      <c r="E444" s="364"/>
      <c r="F444" s="364"/>
      <c r="G444" s="364"/>
      <c r="H444" s="364"/>
      <c r="I444" s="364"/>
      <c r="J444" s="364"/>
      <c r="K444" s="364"/>
      <c r="L444" s="364"/>
      <c r="M444" s="364"/>
      <c r="N444" s="364"/>
      <c r="O444" s="364"/>
      <c r="P444" s="364"/>
      <c r="Q444" s="364"/>
      <c r="R444" s="364"/>
      <c r="S444" s="364"/>
      <c r="T444" s="364"/>
      <c r="U444" s="364"/>
      <c r="V444" s="364"/>
      <c r="W444" s="364"/>
      <c r="X444" s="364"/>
      <c r="Y444" s="364"/>
      <c r="Z444" s="364"/>
    </row>
    <row r="445" spans="1:26" ht="15.75" customHeight="1" x14ac:dyDescent="0.25">
      <c r="A445" s="364"/>
      <c r="B445" s="364"/>
      <c r="C445" s="364"/>
      <c r="D445" s="364"/>
      <c r="E445" s="364"/>
      <c r="F445" s="364"/>
      <c r="G445" s="364"/>
      <c r="H445" s="364"/>
      <c r="I445" s="364"/>
      <c r="J445" s="364"/>
      <c r="K445" s="364"/>
      <c r="L445" s="364"/>
      <c r="M445" s="364"/>
      <c r="N445" s="364"/>
      <c r="O445" s="364"/>
      <c r="P445" s="364"/>
      <c r="Q445" s="364"/>
      <c r="R445" s="364"/>
      <c r="S445" s="364"/>
      <c r="T445" s="364"/>
      <c r="U445" s="364"/>
      <c r="V445" s="364"/>
      <c r="W445" s="364"/>
      <c r="X445" s="364"/>
      <c r="Y445" s="364"/>
      <c r="Z445" s="364"/>
    </row>
    <row r="446" spans="1:26" ht="15.75" customHeight="1" x14ac:dyDescent="0.25">
      <c r="A446" s="364"/>
      <c r="B446" s="364"/>
      <c r="C446" s="364"/>
      <c r="D446" s="364"/>
      <c r="E446" s="364"/>
      <c r="F446" s="364"/>
      <c r="G446" s="364"/>
      <c r="H446" s="364"/>
      <c r="I446" s="364"/>
      <c r="J446" s="364"/>
      <c r="K446" s="364"/>
      <c r="L446" s="364"/>
      <c r="M446" s="364"/>
      <c r="N446" s="364"/>
      <c r="O446" s="364"/>
      <c r="P446" s="364"/>
      <c r="Q446" s="364"/>
      <c r="R446" s="364"/>
      <c r="S446" s="364"/>
      <c r="T446" s="364"/>
      <c r="U446" s="364"/>
      <c r="V446" s="364"/>
      <c r="W446" s="364"/>
      <c r="X446" s="364"/>
      <c r="Y446" s="364"/>
      <c r="Z446" s="364"/>
    </row>
    <row r="447" spans="1:26" ht="15.75" customHeight="1" x14ac:dyDescent="0.25">
      <c r="A447" s="364"/>
      <c r="B447" s="364"/>
      <c r="C447" s="364"/>
      <c r="D447" s="364"/>
      <c r="E447" s="364"/>
      <c r="F447" s="364"/>
      <c r="G447" s="364"/>
      <c r="H447" s="364"/>
      <c r="I447" s="364"/>
      <c r="J447" s="364"/>
      <c r="K447" s="364"/>
      <c r="L447" s="364"/>
      <c r="M447" s="364"/>
      <c r="N447" s="364"/>
      <c r="O447" s="364"/>
      <c r="P447" s="364"/>
      <c r="Q447" s="364"/>
      <c r="R447" s="364"/>
      <c r="S447" s="364"/>
      <c r="T447" s="364"/>
      <c r="U447" s="364"/>
      <c r="V447" s="364"/>
      <c r="W447" s="364"/>
      <c r="X447" s="364"/>
      <c r="Y447" s="364"/>
      <c r="Z447" s="364"/>
    </row>
    <row r="448" spans="1:26" ht="15.75" customHeight="1" x14ac:dyDescent="0.25">
      <c r="A448" s="364"/>
      <c r="B448" s="364"/>
      <c r="C448" s="364"/>
      <c r="D448" s="364"/>
      <c r="E448" s="364"/>
      <c r="F448" s="364"/>
      <c r="G448" s="364"/>
      <c r="H448" s="364"/>
      <c r="I448" s="364"/>
      <c r="J448" s="364"/>
      <c r="K448" s="364"/>
      <c r="L448" s="364"/>
      <c r="M448" s="364"/>
      <c r="N448" s="364"/>
      <c r="O448" s="364"/>
      <c r="P448" s="364"/>
      <c r="Q448" s="364"/>
      <c r="R448" s="364"/>
      <c r="S448" s="364"/>
      <c r="T448" s="364"/>
      <c r="U448" s="364"/>
      <c r="V448" s="364"/>
      <c r="W448" s="364"/>
      <c r="X448" s="364"/>
      <c r="Y448" s="364"/>
      <c r="Z448" s="364"/>
    </row>
    <row r="449" spans="1:26" ht="15.75" customHeight="1" x14ac:dyDescent="0.25">
      <c r="A449" s="364"/>
      <c r="B449" s="364"/>
      <c r="C449" s="364"/>
      <c r="D449" s="364"/>
      <c r="E449" s="364"/>
      <c r="F449" s="364"/>
      <c r="G449" s="364"/>
      <c r="H449" s="364"/>
      <c r="I449" s="364"/>
      <c r="J449" s="364"/>
      <c r="K449" s="364"/>
      <c r="L449" s="364"/>
      <c r="M449" s="364"/>
      <c r="N449" s="364"/>
      <c r="O449" s="364"/>
      <c r="P449" s="364"/>
      <c r="Q449" s="364"/>
      <c r="R449" s="364"/>
      <c r="S449" s="364"/>
      <c r="T449" s="364"/>
      <c r="U449" s="364"/>
      <c r="V449" s="364"/>
      <c r="W449" s="364"/>
      <c r="X449" s="364"/>
      <c r="Y449" s="364"/>
      <c r="Z449" s="364"/>
    </row>
    <row r="450" spans="1:26" ht="15.75" customHeight="1" x14ac:dyDescent="0.25">
      <c r="A450" s="364"/>
      <c r="B450" s="364"/>
      <c r="C450" s="364"/>
      <c r="D450" s="364"/>
      <c r="E450" s="364"/>
      <c r="F450" s="364"/>
      <c r="G450" s="364"/>
      <c r="H450" s="364"/>
      <c r="I450" s="364"/>
      <c r="J450" s="364"/>
      <c r="K450" s="364"/>
      <c r="L450" s="364"/>
      <c r="M450" s="364"/>
      <c r="N450" s="364"/>
      <c r="O450" s="364"/>
      <c r="P450" s="364"/>
      <c r="Q450" s="364"/>
      <c r="R450" s="364"/>
      <c r="S450" s="364"/>
      <c r="T450" s="364"/>
      <c r="U450" s="364"/>
      <c r="V450" s="364"/>
      <c r="W450" s="364"/>
      <c r="X450" s="364"/>
      <c r="Y450" s="364"/>
      <c r="Z450" s="364"/>
    </row>
    <row r="451" spans="1:26" ht="15.75" customHeight="1" x14ac:dyDescent="0.25">
      <c r="A451" s="364"/>
      <c r="B451" s="364"/>
      <c r="C451" s="364"/>
      <c r="D451" s="364"/>
      <c r="E451" s="364"/>
      <c r="F451" s="364"/>
      <c r="G451" s="364"/>
      <c r="H451" s="364"/>
      <c r="I451" s="364"/>
      <c r="J451" s="364"/>
      <c r="K451" s="364"/>
      <c r="L451" s="364"/>
      <c r="M451" s="364"/>
      <c r="N451" s="364"/>
      <c r="O451" s="364"/>
      <c r="P451" s="364"/>
      <c r="Q451" s="364"/>
      <c r="R451" s="364"/>
      <c r="S451" s="364"/>
      <c r="T451" s="364"/>
      <c r="U451" s="364"/>
      <c r="V451" s="364"/>
      <c r="W451" s="364"/>
      <c r="X451" s="364"/>
      <c r="Y451" s="364"/>
      <c r="Z451" s="364"/>
    </row>
    <row r="452" spans="1:26" ht="15.75" customHeight="1" x14ac:dyDescent="0.25">
      <c r="A452" s="364"/>
      <c r="B452" s="364"/>
      <c r="C452" s="364"/>
      <c r="D452" s="364"/>
      <c r="E452" s="364"/>
      <c r="F452" s="364"/>
      <c r="G452" s="364"/>
      <c r="H452" s="364"/>
      <c r="I452" s="364"/>
      <c r="J452" s="364"/>
      <c r="K452" s="364"/>
      <c r="L452" s="364"/>
      <c r="M452" s="364"/>
      <c r="N452" s="364"/>
      <c r="O452" s="364"/>
      <c r="P452" s="364"/>
      <c r="Q452" s="364"/>
      <c r="R452" s="364"/>
      <c r="S452" s="364"/>
      <c r="T452" s="364"/>
      <c r="U452" s="364"/>
      <c r="V452" s="364"/>
      <c r="W452" s="364"/>
      <c r="X452" s="364"/>
      <c r="Y452" s="364"/>
      <c r="Z452" s="364"/>
    </row>
    <row r="453" spans="1:26" ht="15.75" customHeight="1" x14ac:dyDescent="0.25">
      <c r="A453" s="364"/>
      <c r="B453" s="364"/>
      <c r="C453" s="364"/>
      <c r="D453" s="364"/>
      <c r="E453" s="364"/>
      <c r="F453" s="364"/>
      <c r="G453" s="364"/>
      <c r="H453" s="364"/>
      <c r="I453" s="364"/>
      <c r="J453" s="364"/>
      <c r="K453" s="364"/>
      <c r="L453" s="364"/>
      <c r="M453" s="364"/>
      <c r="N453" s="364"/>
      <c r="O453" s="364"/>
      <c r="P453" s="364"/>
      <c r="Q453" s="364"/>
      <c r="R453" s="364"/>
      <c r="S453" s="364"/>
      <c r="T453" s="364"/>
      <c r="U453" s="364"/>
      <c r="V453" s="364"/>
      <c r="W453" s="364"/>
      <c r="X453" s="364"/>
      <c r="Y453" s="364"/>
      <c r="Z453" s="364"/>
    </row>
    <row r="454" spans="1:26" ht="15.75" customHeight="1" x14ac:dyDescent="0.25">
      <c r="A454" s="364"/>
      <c r="B454" s="364"/>
      <c r="C454" s="364"/>
      <c r="D454" s="364"/>
      <c r="E454" s="364"/>
      <c r="F454" s="364"/>
      <c r="G454" s="364"/>
      <c r="H454" s="364"/>
      <c r="I454" s="364"/>
      <c r="J454" s="364"/>
      <c r="K454" s="364"/>
      <c r="L454" s="364"/>
      <c r="M454" s="364"/>
      <c r="N454" s="364"/>
      <c r="O454" s="364"/>
      <c r="P454" s="364"/>
      <c r="Q454" s="364"/>
      <c r="R454" s="364"/>
      <c r="S454" s="364"/>
      <c r="T454" s="364"/>
      <c r="U454" s="364"/>
      <c r="V454" s="364"/>
      <c r="W454" s="364"/>
      <c r="X454" s="364"/>
      <c r="Y454" s="364"/>
      <c r="Z454" s="364"/>
    </row>
    <row r="455" spans="1:26" ht="15.75" customHeight="1" x14ac:dyDescent="0.25">
      <c r="A455" s="364"/>
      <c r="B455" s="364"/>
      <c r="C455" s="364"/>
      <c r="D455" s="364"/>
      <c r="E455" s="364"/>
      <c r="F455" s="364"/>
      <c r="G455" s="364"/>
      <c r="H455" s="364"/>
      <c r="I455" s="364"/>
      <c r="J455" s="364"/>
      <c r="K455" s="364"/>
      <c r="L455" s="364"/>
      <c r="M455" s="364"/>
      <c r="N455" s="364"/>
      <c r="O455" s="364"/>
      <c r="P455" s="364"/>
      <c r="Q455" s="364"/>
      <c r="R455" s="364"/>
      <c r="S455" s="364"/>
      <c r="T455" s="364"/>
      <c r="U455" s="364"/>
      <c r="V455" s="364"/>
      <c r="W455" s="364"/>
      <c r="X455" s="364"/>
      <c r="Y455" s="364"/>
      <c r="Z455" s="364"/>
    </row>
    <row r="456" spans="1:26" ht="15.75" customHeight="1" x14ac:dyDescent="0.25">
      <c r="A456" s="364"/>
      <c r="B456" s="364"/>
      <c r="C456" s="364"/>
      <c r="D456" s="364"/>
      <c r="E456" s="364"/>
      <c r="F456" s="364"/>
      <c r="G456" s="364"/>
      <c r="H456" s="364"/>
      <c r="I456" s="364"/>
      <c r="J456" s="364"/>
      <c r="K456" s="364"/>
      <c r="L456" s="364"/>
      <c r="M456" s="364"/>
      <c r="N456" s="364"/>
      <c r="O456" s="364"/>
      <c r="P456" s="364"/>
      <c r="Q456" s="364"/>
      <c r="R456" s="364"/>
      <c r="S456" s="364"/>
      <c r="T456" s="364"/>
      <c r="U456" s="364"/>
      <c r="V456" s="364"/>
      <c r="W456" s="364"/>
      <c r="X456" s="364"/>
      <c r="Y456" s="364"/>
      <c r="Z456" s="364"/>
    </row>
    <row r="457" spans="1:26" ht="15.75" customHeight="1" x14ac:dyDescent="0.25">
      <c r="A457" s="364"/>
      <c r="B457" s="364"/>
      <c r="C457" s="364"/>
      <c r="D457" s="364"/>
      <c r="E457" s="364"/>
      <c r="F457" s="364"/>
      <c r="G457" s="364"/>
      <c r="H457" s="364"/>
      <c r="I457" s="364"/>
      <c r="J457" s="364"/>
      <c r="K457" s="364"/>
      <c r="L457" s="364"/>
      <c r="M457" s="364"/>
      <c r="N457" s="364"/>
      <c r="O457" s="364"/>
      <c r="P457" s="364"/>
      <c r="Q457" s="364"/>
      <c r="R457" s="364"/>
      <c r="S457" s="364"/>
      <c r="T457" s="364"/>
      <c r="U457" s="364"/>
      <c r="V457" s="364"/>
      <c r="W457" s="364"/>
      <c r="X457" s="364"/>
      <c r="Y457" s="364"/>
      <c r="Z457" s="364"/>
    </row>
    <row r="458" spans="1:26" ht="15.75" customHeight="1" x14ac:dyDescent="0.25">
      <c r="A458" s="364"/>
      <c r="B458" s="364"/>
      <c r="C458" s="364"/>
      <c r="D458" s="364"/>
      <c r="E458" s="364"/>
      <c r="F458" s="364"/>
      <c r="G458" s="364"/>
      <c r="H458" s="364"/>
      <c r="I458" s="364"/>
      <c r="J458" s="364"/>
      <c r="K458" s="364"/>
      <c r="L458" s="364"/>
      <c r="M458" s="364"/>
      <c r="N458" s="364"/>
      <c r="O458" s="364"/>
      <c r="P458" s="364"/>
      <c r="Q458" s="364"/>
      <c r="R458" s="364"/>
      <c r="S458" s="364"/>
      <c r="T458" s="364"/>
      <c r="U458" s="364"/>
      <c r="V458" s="364"/>
      <c r="W458" s="364"/>
      <c r="X458" s="364"/>
      <c r="Y458" s="364"/>
      <c r="Z458" s="364"/>
    </row>
    <row r="459" spans="1:26" ht="15.75" customHeight="1" x14ac:dyDescent="0.25">
      <c r="A459" s="364"/>
      <c r="B459" s="364"/>
      <c r="C459" s="364"/>
      <c r="D459" s="364"/>
      <c r="E459" s="364"/>
      <c r="F459" s="364"/>
      <c r="G459" s="364"/>
      <c r="H459" s="364"/>
      <c r="I459" s="364"/>
      <c r="J459" s="364"/>
      <c r="K459" s="364"/>
      <c r="L459" s="364"/>
      <c r="M459" s="364"/>
      <c r="N459" s="364"/>
      <c r="O459" s="364"/>
      <c r="P459" s="364"/>
      <c r="Q459" s="364"/>
      <c r="R459" s="364"/>
      <c r="S459" s="364"/>
      <c r="T459" s="364"/>
      <c r="U459" s="364"/>
      <c r="V459" s="364"/>
      <c r="W459" s="364"/>
      <c r="X459" s="364"/>
      <c r="Y459" s="364"/>
      <c r="Z459" s="364"/>
    </row>
    <row r="460" spans="1:26" ht="15.75" customHeight="1" x14ac:dyDescent="0.25">
      <c r="A460" s="364"/>
      <c r="B460" s="364"/>
      <c r="C460" s="364"/>
      <c r="D460" s="364"/>
      <c r="E460" s="364"/>
      <c r="F460" s="364"/>
      <c r="G460" s="364"/>
      <c r="H460" s="364"/>
      <c r="I460" s="364"/>
      <c r="J460" s="364"/>
      <c r="K460" s="364"/>
      <c r="L460" s="364"/>
      <c r="M460" s="364"/>
      <c r="N460" s="364"/>
      <c r="O460" s="364"/>
      <c r="P460" s="364"/>
      <c r="Q460" s="364"/>
      <c r="R460" s="364"/>
      <c r="S460" s="364"/>
      <c r="T460" s="364"/>
      <c r="U460" s="364"/>
      <c r="V460" s="364"/>
      <c r="W460" s="364"/>
      <c r="X460" s="364"/>
      <c r="Y460" s="364"/>
      <c r="Z460" s="364"/>
    </row>
    <row r="461" spans="1:26" ht="15.75" customHeight="1" x14ac:dyDescent="0.25">
      <c r="A461" s="364"/>
      <c r="B461" s="364"/>
      <c r="C461" s="364"/>
      <c r="D461" s="364"/>
      <c r="E461" s="364"/>
      <c r="F461" s="364"/>
      <c r="G461" s="364"/>
      <c r="H461" s="364"/>
      <c r="I461" s="364"/>
      <c r="J461" s="364"/>
      <c r="K461" s="364"/>
      <c r="L461" s="364"/>
      <c r="M461" s="364"/>
      <c r="N461" s="364"/>
      <c r="O461" s="364"/>
      <c r="P461" s="364"/>
      <c r="Q461" s="364"/>
      <c r="R461" s="364"/>
      <c r="S461" s="364"/>
      <c r="T461" s="364"/>
      <c r="U461" s="364"/>
      <c r="V461" s="364"/>
      <c r="W461" s="364"/>
      <c r="X461" s="364"/>
      <c r="Y461" s="364"/>
      <c r="Z461" s="364"/>
    </row>
    <row r="462" spans="1:26" ht="15.75" customHeight="1" x14ac:dyDescent="0.25">
      <c r="A462" s="364"/>
      <c r="B462" s="364"/>
      <c r="C462" s="364"/>
      <c r="D462" s="364"/>
      <c r="E462" s="364"/>
      <c r="F462" s="364"/>
      <c r="G462" s="364"/>
      <c r="H462" s="364"/>
      <c r="I462" s="364"/>
      <c r="J462" s="364"/>
      <c r="K462" s="364"/>
      <c r="L462" s="364"/>
      <c r="M462" s="364"/>
      <c r="N462" s="364"/>
      <c r="O462" s="364"/>
      <c r="P462" s="364"/>
      <c r="Q462" s="364"/>
      <c r="R462" s="364"/>
      <c r="S462" s="364"/>
      <c r="T462" s="364"/>
      <c r="U462" s="364"/>
      <c r="V462" s="364"/>
      <c r="W462" s="364"/>
      <c r="X462" s="364"/>
      <c r="Y462" s="364"/>
      <c r="Z462" s="364"/>
    </row>
    <row r="463" spans="1:26" ht="15.75" customHeight="1" x14ac:dyDescent="0.25">
      <c r="A463" s="364"/>
      <c r="B463" s="364"/>
      <c r="C463" s="364"/>
      <c r="D463" s="364"/>
      <c r="E463" s="364"/>
      <c r="F463" s="364"/>
      <c r="G463" s="364"/>
      <c r="H463" s="364"/>
      <c r="I463" s="364"/>
      <c r="J463" s="364"/>
      <c r="K463" s="364"/>
      <c r="L463" s="364"/>
      <c r="M463" s="364"/>
      <c r="N463" s="364"/>
      <c r="O463" s="364"/>
      <c r="P463" s="364"/>
      <c r="Q463" s="364"/>
      <c r="R463" s="364"/>
      <c r="S463" s="364"/>
      <c r="T463" s="364"/>
      <c r="U463" s="364"/>
      <c r="V463" s="364"/>
      <c r="W463" s="364"/>
      <c r="X463" s="364"/>
      <c r="Y463" s="364"/>
      <c r="Z463" s="364"/>
    </row>
    <row r="464" spans="1:26" ht="15.75" customHeight="1" x14ac:dyDescent="0.25">
      <c r="A464" s="364"/>
      <c r="B464" s="364"/>
      <c r="C464" s="364"/>
      <c r="D464" s="364"/>
      <c r="E464" s="364"/>
      <c r="F464" s="364"/>
      <c r="G464" s="364"/>
      <c r="H464" s="364"/>
      <c r="I464" s="364"/>
      <c r="J464" s="364"/>
      <c r="K464" s="364"/>
      <c r="L464" s="364"/>
      <c r="M464" s="364"/>
      <c r="N464" s="364"/>
      <c r="O464" s="364"/>
      <c r="P464" s="364"/>
      <c r="Q464" s="364"/>
      <c r="R464" s="364"/>
      <c r="S464" s="364"/>
      <c r="T464" s="364"/>
      <c r="U464" s="364"/>
      <c r="V464" s="364"/>
      <c r="W464" s="364"/>
      <c r="X464" s="364"/>
      <c r="Y464" s="364"/>
      <c r="Z464" s="364"/>
    </row>
    <row r="465" spans="1:26" ht="15.75" customHeight="1" x14ac:dyDescent="0.25">
      <c r="A465" s="364"/>
      <c r="B465" s="364"/>
      <c r="C465" s="364"/>
      <c r="D465" s="364"/>
      <c r="E465" s="364"/>
      <c r="F465" s="364"/>
      <c r="G465" s="364"/>
      <c r="H465" s="364"/>
      <c r="I465" s="364"/>
      <c r="J465" s="364"/>
      <c r="K465" s="364"/>
      <c r="L465" s="364"/>
      <c r="M465" s="364"/>
      <c r="N465" s="364"/>
      <c r="O465" s="364"/>
      <c r="P465" s="364"/>
      <c r="Q465" s="364"/>
      <c r="R465" s="364"/>
      <c r="S465" s="364"/>
      <c r="T465" s="364"/>
      <c r="U465" s="364"/>
      <c r="V465" s="364"/>
      <c r="W465" s="364"/>
      <c r="X465" s="364"/>
      <c r="Y465" s="364"/>
      <c r="Z465" s="364"/>
    </row>
    <row r="466" spans="1:26" ht="15.75" customHeight="1" x14ac:dyDescent="0.25">
      <c r="A466" s="364"/>
      <c r="B466" s="364"/>
      <c r="C466" s="364"/>
      <c r="D466" s="364"/>
      <c r="E466" s="364"/>
      <c r="F466" s="364"/>
      <c r="G466" s="364"/>
      <c r="H466" s="364"/>
      <c r="I466" s="364"/>
      <c r="J466" s="364"/>
      <c r="K466" s="364"/>
      <c r="L466" s="364"/>
      <c r="M466" s="364"/>
      <c r="N466" s="364"/>
      <c r="O466" s="364"/>
      <c r="P466" s="364"/>
      <c r="Q466" s="364"/>
      <c r="R466" s="364"/>
      <c r="S466" s="364"/>
      <c r="T466" s="364"/>
      <c r="U466" s="364"/>
      <c r="V466" s="364"/>
      <c r="W466" s="364"/>
      <c r="X466" s="364"/>
      <c r="Y466" s="364"/>
      <c r="Z466" s="364"/>
    </row>
    <row r="467" spans="1:26" ht="15.75" customHeight="1" x14ac:dyDescent="0.25">
      <c r="A467" s="364"/>
      <c r="B467" s="364"/>
      <c r="C467" s="364"/>
      <c r="D467" s="364"/>
      <c r="E467" s="364"/>
      <c r="F467" s="364"/>
      <c r="G467" s="364"/>
      <c r="H467" s="364"/>
      <c r="I467" s="364"/>
      <c r="J467" s="364"/>
      <c r="K467" s="364"/>
      <c r="L467" s="364"/>
      <c r="M467" s="364"/>
      <c r="N467" s="364"/>
      <c r="O467" s="364"/>
      <c r="P467" s="364"/>
      <c r="Q467" s="364"/>
      <c r="R467" s="364"/>
      <c r="S467" s="364"/>
      <c r="T467" s="364"/>
      <c r="U467" s="364"/>
      <c r="V467" s="364"/>
      <c r="W467" s="364"/>
      <c r="X467" s="364"/>
      <c r="Y467" s="364"/>
      <c r="Z467" s="364"/>
    </row>
    <row r="468" spans="1:26" ht="15.75" customHeight="1" x14ac:dyDescent="0.25">
      <c r="A468" s="364"/>
      <c r="B468" s="364"/>
      <c r="C468" s="364"/>
      <c r="D468" s="364"/>
      <c r="E468" s="364"/>
      <c r="F468" s="364"/>
      <c r="G468" s="364"/>
      <c r="H468" s="364"/>
      <c r="I468" s="364"/>
      <c r="J468" s="364"/>
      <c r="K468" s="364"/>
      <c r="L468" s="364"/>
      <c r="M468" s="364"/>
      <c r="N468" s="364"/>
      <c r="O468" s="364"/>
      <c r="P468" s="364"/>
      <c r="Q468" s="364"/>
      <c r="R468" s="364"/>
      <c r="S468" s="364"/>
      <c r="T468" s="364"/>
      <c r="U468" s="364"/>
      <c r="V468" s="364"/>
      <c r="W468" s="364"/>
      <c r="X468" s="364"/>
      <c r="Y468" s="364"/>
      <c r="Z468" s="364"/>
    </row>
    <row r="469" spans="1:26" ht="15.75" customHeight="1" x14ac:dyDescent="0.25">
      <c r="A469" s="364"/>
      <c r="B469" s="364"/>
      <c r="C469" s="364"/>
      <c r="D469" s="364"/>
      <c r="E469" s="364"/>
      <c r="F469" s="364"/>
      <c r="G469" s="364"/>
      <c r="H469" s="364"/>
      <c r="I469" s="364"/>
      <c r="J469" s="364"/>
      <c r="K469" s="364"/>
      <c r="L469" s="364"/>
      <c r="M469" s="364"/>
      <c r="N469" s="364"/>
      <c r="O469" s="364"/>
      <c r="P469" s="364"/>
      <c r="Q469" s="364"/>
      <c r="R469" s="364"/>
      <c r="S469" s="364"/>
      <c r="T469" s="364"/>
      <c r="U469" s="364"/>
      <c r="V469" s="364"/>
      <c r="W469" s="364"/>
      <c r="X469" s="364"/>
      <c r="Y469" s="364"/>
      <c r="Z469" s="364"/>
    </row>
    <row r="470" spans="1:26" ht="15.75" customHeight="1" x14ac:dyDescent="0.25">
      <c r="A470" s="364"/>
      <c r="B470" s="364"/>
      <c r="C470" s="364"/>
      <c r="D470" s="364"/>
      <c r="E470" s="364"/>
      <c r="F470" s="364"/>
      <c r="G470" s="364"/>
      <c r="H470" s="364"/>
      <c r="I470" s="364"/>
      <c r="J470" s="364"/>
      <c r="K470" s="364"/>
      <c r="L470" s="364"/>
      <c r="M470" s="364"/>
      <c r="N470" s="364"/>
      <c r="O470" s="364"/>
      <c r="P470" s="364"/>
      <c r="Q470" s="364"/>
      <c r="R470" s="364"/>
      <c r="S470" s="364"/>
      <c r="T470" s="364"/>
      <c r="U470" s="364"/>
      <c r="V470" s="364"/>
      <c r="W470" s="364"/>
      <c r="X470" s="364"/>
      <c r="Y470" s="364"/>
      <c r="Z470" s="364"/>
    </row>
    <row r="471" spans="1:26" ht="15.75" customHeight="1" x14ac:dyDescent="0.25">
      <c r="A471" s="364"/>
      <c r="B471" s="364"/>
      <c r="C471" s="364"/>
      <c r="D471" s="364"/>
      <c r="E471" s="364"/>
      <c r="F471" s="364"/>
      <c r="G471" s="364"/>
      <c r="H471" s="364"/>
      <c r="I471" s="364"/>
      <c r="J471" s="364"/>
      <c r="K471" s="364"/>
      <c r="L471" s="364"/>
      <c r="M471" s="364"/>
      <c r="N471" s="364"/>
      <c r="O471" s="364"/>
      <c r="P471" s="364"/>
      <c r="Q471" s="364"/>
      <c r="R471" s="364"/>
      <c r="S471" s="364"/>
      <c r="T471" s="364"/>
      <c r="U471" s="364"/>
      <c r="V471" s="364"/>
      <c r="W471" s="364"/>
      <c r="X471" s="364"/>
      <c r="Y471" s="364"/>
      <c r="Z471" s="364"/>
    </row>
    <row r="472" spans="1:26" ht="15.75" customHeight="1" x14ac:dyDescent="0.25">
      <c r="A472" s="364"/>
      <c r="B472" s="364"/>
      <c r="C472" s="364"/>
      <c r="D472" s="364"/>
      <c r="E472" s="364"/>
      <c r="F472" s="364"/>
      <c r="G472" s="364"/>
      <c r="H472" s="364"/>
      <c r="I472" s="364"/>
      <c r="J472" s="364"/>
      <c r="K472" s="364"/>
      <c r="L472" s="364"/>
      <c r="M472" s="364"/>
      <c r="N472" s="364"/>
      <c r="O472" s="364"/>
      <c r="P472" s="364"/>
      <c r="Q472" s="364"/>
      <c r="R472" s="364"/>
      <c r="S472" s="364"/>
      <c r="T472" s="364"/>
      <c r="U472" s="364"/>
      <c r="V472" s="364"/>
      <c r="W472" s="364"/>
      <c r="X472" s="364"/>
      <c r="Y472" s="364"/>
      <c r="Z472" s="364"/>
    </row>
    <row r="473" spans="1:26" ht="15.75" customHeight="1" x14ac:dyDescent="0.25">
      <c r="A473" s="364"/>
      <c r="B473" s="364"/>
      <c r="C473" s="364"/>
      <c r="D473" s="364"/>
      <c r="E473" s="364"/>
      <c r="F473" s="364"/>
      <c r="G473" s="364"/>
      <c r="H473" s="364"/>
      <c r="I473" s="364"/>
      <c r="J473" s="364"/>
      <c r="K473" s="364"/>
      <c r="L473" s="364"/>
      <c r="M473" s="364"/>
      <c r="N473" s="364"/>
      <c r="O473" s="364"/>
      <c r="P473" s="364"/>
      <c r="Q473" s="364"/>
      <c r="R473" s="364"/>
      <c r="S473" s="364"/>
      <c r="T473" s="364"/>
      <c r="U473" s="364"/>
      <c r="V473" s="364"/>
      <c r="W473" s="364"/>
      <c r="X473" s="364"/>
      <c r="Y473" s="364"/>
      <c r="Z473" s="364"/>
    </row>
    <row r="474" spans="1:26" ht="15.75" customHeight="1" x14ac:dyDescent="0.25">
      <c r="A474" s="364"/>
      <c r="B474" s="364"/>
      <c r="C474" s="364"/>
      <c r="D474" s="364"/>
      <c r="E474" s="364"/>
      <c r="F474" s="364"/>
      <c r="G474" s="364"/>
      <c r="H474" s="364"/>
      <c r="I474" s="364"/>
      <c r="J474" s="364"/>
      <c r="K474" s="364"/>
      <c r="L474" s="364"/>
      <c r="M474" s="364"/>
      <c r="N474" s="364"/>
      <c r="O474" s="364"/>
      <c r="P474" s="364"/>
      <c r="Q474" s="364"/>
      <c r="R474" s="364"/>
      <c r="S474" s="364"/>
      <c r="T474" s="364"/>
      <c r="U474" s="364"/>
      <c r="V474" s="364"/>
      <c r="W474" s="364"/>
      <c r="X474" s="364"/>
      <c r="Y474" s="364"/>
      <c r="Z474" s="364"/>
    </row>
    <row r="475" spans="1:26" ht="15.75" customHeight="1" x14ac:dyDescent="0.25">
      <c r="A475" s="364"/>
      <c r="B475" s="364"/>
      <c r="C475" s="364"/>
      <c r="D475" s="364"/>
      <c r="E475" s="364"/>
      <c r="F475" s="364"/>
      <c r="G475" s="364"/>
      <c r="H475" s="364"/>
      <c r="I475" s="364"/>
      <c r="J475" s="364"/>
      <c r="K475" s="364"/>
      <c r="L475" s="364"/>
      <c r="M475" s="364"/>
      <c r="N475" s="364"/>
      <c r="O475" s="364"/>
      <c r="P475" s="364"/>
      <c r="Q475" s="364"/>
      <c r="R475" s="364"/>
      <c r="S475" s="364"/>
      <c r="T475" s="364"/>
      <c r="U475" s="364"/>
      <c r="V475" s="364"/>
      <c r="W475" s="364"/>
      <c r="X475" s="364"/>
      <c r="Y475" s="364"/>
      <c r="Z475" s="364"/>
    </row>
    <row r="476" spans="1:26" ht="15.75" customHeight="1" x14ac:dyDescent="0.25">
      <c r="A476" s="364"/>
      <c r="B476" s="364"/>
      <c r="C476" s="364"/>
      <c r="D476" s="364"/>
      <c r="E476" s="364"/>
      <c r="F476" s="364"/>
      <c r="G476" s="364"/>
      <c r="H476" s="364"/>
      <c r="I476" s="364"/>
      <c r="J476" s="364"/>
      <c r="K476" s="364"/>
      <c r="L476" s="364"/>
      <c r="M476" s="364"/>
      <c r="N476" s="364"/>
      <c r="O476" s="364"/>
      <c r="P476" s="364"/>
      <c r="Q476" s="364"/>
      <c r="R476" s="364"/>
      <c r="S476" s="364"/>
      <c r="T476" s="364"/>
      <c r="U476" s="364"/>
      <c r="V476" s="364"/>
      <c r="W476" s="364"/>
      <c r="X476" s="364"/>
      <c r="Y476" s="364"/>
      <c r="Z476" s="364"/>
    </row>
    <row r="477" spans="1:26" ht="15.75" customHeight="1" x14ac:dyDescent="0.25">
      <c r="A477" s="364"/>
      <c r="B477" s="364"/>
      <c r="C477" s="364"/>
      <c r="D477" s="364"/>
      <c r="E477" s="364"/>
      <c r="F477" s="364"/>
      <c r="G477" s="364"/>
      <c r="H477" s="364"/>
      <c r="I477" s="364"/>
      <c r="J477" s="364"/>
      <c r="K477" s="364"/>
      <c r="L477" s="364"/>
      <c r="M477" s="364"/>
      <c r="N477" s="364"/>
      <c r="O477" s="364"/>
      <c r="P477" s="364"/>
      <c r="Q477" s="364"/>
      <c r="R477" s="364"/>
      <c r="S477" s="364"/>
      <c r="T477" s="364"/>
      <c r="U477" s="364"/>
      <c r="V477" s="364"/>
      <c r="W477" s="364"/>
      <c r="X477" s="364"/>
      <c r="Y477" s="364"/>
      <c r="Z477" s="364"/>
    </row>
    <row r="478" spans="1:26" ht="15.75" customHeight="1" x14ac:dyDescent="0.25">
      <c r="A478" s="364"/>
      <c r="B478" s="364"/>
      <c r="C478" s="364"/>
      <c r="D478" s="364"/>
      <c r="E478" s="364"/>
      <c r="F478" s="364"/>
      <c r="G478" s="364"/>
      <c r="H478" s="364"/>
      <c r="I478" s="364"/>
      <c r="J478" s="364"/>
      <c r="K478" s="364"/>
      <c r="L478" s="364"/>
      <c r="M478" s="364"/>
      <c r="N478" s="364"/>
      <c r="O478" s="364"/>
      <c r="P478" s="364"/>
      <c r="Q478" s="364"/>
      <c r="R478" s="364"/>
      <c r="S478" s="364"/>
      <c r="T478" s="364"/>
      <c r="U478" s="364"/>
      <c r="V478" s="364"/>
      <c r="W478" s="364"/>
      <c r="X478" s="364"/>
      <c r="Y478" s="364"/>
      <c r="Z478" s="364"/>
    </row>
    <row r="479" spans="1:26" ht="15.75" customHeight="1" x14ac:dyDescent="0.25">
      <c r="A479" s="364"/>
      <c r="B479" s="364"/>
      <c r="C479" s="364"/>
      <c r="D479" s="364"/>
      <c r="E479" s="364"/>
      <c r="F479" s="364"/>
      <c r="G479" s="364"/>
      <c r="H479" s="364"/>
      <c r="I479" s="364"/>
      <c r="J479" s="364"/>
      <c r="K479" s="364"/>
      <c r="L479" s="364"/>
      <c r="M479" s="364"/>
      <c r="N479" s="364"/>
      <c r="O479" s="364"/>
      <c r="P479" s="364"/>
      <c r="Q479" s="364"/>
      <c r="R479" s="364"/>
      <c r="S479" s="364"/>
      <c r="T479" s="364"/>
      <c r="U479" s="364"/>
      <c r="V479" s="364"/>
      <c r="W479" s="364"/>
      <c r="X479" s="364"/>
      <c r="Y479" s="364"/>
      <c r="Z479" s="364"/>
    </row>
    <row r="480" spans="1:26" ht="15.75" customHeight="1" x14ac:dyDescent="0.25">
      <c r="A480" s="364"/>
      <c r="B480" s="364"/>
      <c r="C480" s="364"/>
      <c r="D480" s="364"/>
      <c r="E480" s="364"/>
      <c r="F480" s="364"/>
      <c r="G480" s="364"/>
      <c r="H480" s="364"/>
      <c r="I480" s="364"/>
      <c r="J480" s="364"/>
      <c r="K480" s="364"/>
      <c r="L480" s="364"/>
      <c r="M480" s="364"/>
      <c r="N480" s="364"/>
      <c r="O480" s="364"/>
      <c r="P480" s="364"/>
      <c r="Q480" s="364"/>
      <c r="R480" s="364"/>
      <c r="S480" s="364"/>
      <c r="T480" s="364"/>
      <c r="U480" s="364"/>
      <c r="V480" s="364"/>
      <c r="W480" s="364"/>
      <c r="X480" s="364"/>
      <c r="Y480" s="364"/>
      <c r="Z480" s="364"/>
    </row>
    <row r="481" spans="1:26" ht="15.75" customHeight="1" x14ac:dyDescent="0.25">
      <c r="A481" s="364"/>
      <c r="B481" s="364"/>
      <c r="C481" s="364"/>
      <c r="D481" s="364"/>
      <c r="E481" s="364"/>
      <c r="F481" s="364"/>
      <c r="G481" s="364"/>
      <c r="H481" s="364"/>
      <c r="I481" s="364"/>
      <c r="J481" s="364"/>
      <c r="K481" s="364"/>
      <c r="L481" s="364"/>
      <c r="M481" s="364"/>
      <c r="N481" s="364"/>
      <c r="O481" s="364"/>
      <c r="P481" s="364"/>
      <c r="Q481" s="364"/>
      <c r="R481" s="364"/>
      <c r="S481" s="364"/>
      <c r="T481" s="364"/>
      <c r="U481" s="364"/>
      <c r="V481" s="364"/>
      <c r="W481" s="364"/>
      <c r="X481" s="364"/>
      <c r="Y481" s="364"/>
      <c r="Z481" s="364"/>
    </row>
    <row r="482" spans="1:26" ht="15.75" customHeight="1" x14ac:dyDescent="0.25">
      <c r="A482" s="364"/>
      <c r="B482" s="364"/>
      <c r="C482" s="364"/>
      <c r="D482" s="364"/>
      <c r="E482" s="364"/>
      <c r="F482" s="364"/>
      <c r="G482" s="364"/>
      <c r="H482" s="364"/>
      <c r="I482" s="364"/>
      <c r="J482" s="364"/>
      <c r="K482" s="364"/>
      <c r="L482" s="364"/>
      <c r="M482" s="364"/>
      <c r="N482" s="364"/>
      <c r="O482" s="364"/>
      <c r="P482" s="364"/>
      <c r="Q482" s="364"/>
      <c r="R482" s="364"/>
      <c r="S482" s="364"/>
      <c r="T482" s="364"/>
      <c r="U482" s="364"/>
      <c r="V482" s="364"/>
      <c r="W482" s="364"/>
      <c r="X482" s="364"/>
      <c r="Y482" s="364"/>
      <c r="Z482" s="364"/>
    </row>
    <row r="483" spans="1:26" ht="15.75" customHeight="1" x14ac:dyDescent="0.25">
      <c r="A483" s="364"/>
      <c r="B483" s="364"/>
      <c r="C483" s="364"/>
      <c r="D483" s="364"/>
      <c r="E483" s="364"/>
      <c r="F483" s="364"/>
      <c r="G483" s="364"/>
      <c r="H483" s="364"/>
      <c r="I483" s="364"/>
      <c r="J483" s="364"/>
      <c r="K483" s="364"/>
      <c r="L483" s="364"/>
      <c r="M483" s="364"/>
      <c r="N483" s="364"/>
      <c r="O483" s="364"/>
      <c r="P483" s="364"/>
      <c r="Q483" s="364"/>
      <c r="R483" s="364"/>
      <c r="S483" s="364"/>
      <c r="T483" s="364"/>
      <c r="U483" s="364"/>
      <c r="V483" s="364"/>
      <c r="W483" s="364"/>
      <c r="X483" s="364"/>
      <c r="Y483" s="364"/>
      <c r="Z483" s="364"/>
    </row>
    <row r="484" spans="1:26" ht="15.75" customHeight="1" x14ac:dyDescent="0.25">
      <c r="A484" s="364"/>
      <c r="B484" s="364"/>
      <c r="C484" s="364"/>
      <c r="D484" s="364"/>
      <c r="E484" s="364"/>
      <c r="F484" s="364"/>
      <c r="G484" s="364"/>
      <c r="H484" s="364"/>
      <c r="I484" s="364"/>
      <c r="J484" s="364"/>
      <c r="K484" s="364"/>
      <c r="L484" s="364"/>
      <c r="M484" s="364"/>
      <c r="N484" s="364"/>
      <c r="O484" s="364"/>
      <c r="P484" s="364"/>
      <c r="Q484" s="364"/>
      <c r="R484" s="364"/>
      <c r="S484" s="364"/>
      <c r="T484" s="364"/>
      <c r="U484" s="364"/>
      <c r="V484" s="364"/>
      <c r="W484" s="364"/>
      <c r="X484" s="364"/>
      <c r="Y484" s="364"/>
      <c r="Z484" s="364"/>
    </row>
    <row r="485" spans="1:26" ht="15.75" customHeight="1" x14ac:dyDescent="0.25">
      <c r="A485" s="364"/>
      <c r="B485" s="364"/>
      <c r="C485" s="364"/>
      <c r="D485" s="364"/>
      <c r="E485" s="364"/>
      <c r="F485" s="364"/>
      <c r="G485" s="364"/>
      <c r="H485" s="364"/>
      <c r="I485" s="364"/>
      <c r="J485" s="364"/>
      <c r="K485" s="364"/>
      <c r="L485" s="364"/>
      <c r="M485" s="364"/>
      <c r="N485" s="364"/>
      <c r="O485" s="364"/>
      <c r="P485" s="364"/>
      <c r="Q485" s="364"/>
      <c r="R485" s="364"/>
      <c r="S485" s="364"/>
      <c r="T485" s="364"/>
      <c r="U485" s="364"/>
      <c r="V485" s="364"/>
      <c r="W485" s="364"/>
      <c r="X485" s="364"/>
      <c r="Y485" s="364"/>
      <c r="Z485" s="364"/>
    </row>
    <row r="486" spans="1:26" ht="15.75" customHeight="1" x14ac:dyDescent="0.25">
      <c r="A486" s="364"/>
      <c r="B486" s="364"/>
      <c r="C486" s="364"/>
      <c r="D486" s="364"/>
      <c r="E486" s="364"/>
      <c r="F486" s="364"/>
      <c r="G486" s="364"/>
      <c r="H486" s="364"/>
      <c r="I486" s="364"/>
      <c r="J486" s="364"/>
      <c r="K486" s="364"/>
      <c r="L486" s="364"/>
      <c r="M486" s="364"/>
      <c r="N486" s="364"/>
      <c r="O486" s="364"/>
      <c r="P486" s="364"/>
      <c r="Q486" s="364"/>
      <c r="R486" s="364"/>
      <c r="S486" s="364"/>
      <c r="T486" s="364"/>
      <c r="U486" s="364"/>
      <c r="V486" s="364"/>
      <c r="W486" s="364"/>
      <c r="X486" s="364"/>
      <c r="Y486" s="364"/>
      <c r="Z486" s="364"/>
    </row>
    <row r="487" spans="1:26" ht="15.75" customHeight="1" x14ac:dyDescent="0.25">
      <c r="A487" s="364"/>
      <c r="B487" s="364"/>
      <c r="C487" s="364"/>
      <c r="D487" s="364"/>
      <c r="E487" s="364"/>
      <c r="F487" s="364"/>
      <c r="G487" s="364"/>
      <c r="H487" s="364"/>
      <c r="I487" s="364"/>
      <c r="J487" s="364"/>
      <c r="K487" s="364"/>
      <c r="L487" s="364"/>
      <c r="M487" s="364"/>
      <c r="N487" s="364"/>
      <c r="O487" s="364"/>
      <c r="P487" s="364"/>
      <c r="Q487" s="364"/>
      <c r="R487" s="364"/>
      <c r="S487" s="364"/>
      <c r="T487" s="364"/>
      <c r="U487" s="364"/>
      <c r="V487" s="364"/>
      <c r="W487" s="364"/>
      <c r="X487" s="364"/>
      <c r="Y487" s="364"/>
      <c r="Z487" s="364"/>
    </row>
    <row r="488" spans="1:26" ht="15.75" customHeight="1" x14ac:dyDescent="0.25">
      <c r="A488" s="364"/>
      <c r="B488" s="364"/>
      <c r="C488" s="364"/>
      <c r="D488" s="364"/>
      <c r="E488" s="364"/>
      <c r="F488" s="364"/>
      <c r="G488" s="364"/>
      <c r="H488" s="364"/>
      <c r="I488" s="364"/>
      <c r="J488" s="364"/>
      <c r="K488" s="364"/>
      <c r="L488" s="364"/>
      <c r="M488" s="364"/>
      <c r="N488" s="364"/>
      <c r="O488" s="364"/>
      <c r="P488" s="364"/>
      <c r="Q488" s="364"/>
      <c r="R488" s="364"/>
      <c r="S488" s="364"/>
      <c r="T488" s="364"/>
      <c r="U488" s="364"/>
      <c r="V488" s="364"/>
      <c r="W488" s="364"/>
      <c r="X488" s="364"/>
      <c r="Y488" s="364"/>
      <c r="Z488" s="364"/>
    </row>
    <row r="489" spans="1:26" ht="15.75" customHeight="1" x14ac:dyDescent="0.25">
      <c r="A489" s="364"/>
      <c r="B489" s="364"/>
      <c r="C489" s="364"/>
      <c r="D489" s="364"/>
      <c r="E489" s="364"/>
      <c r="F489" s="364"/>
      <c r="G489" s="364"/>
      <c r="H489" s="364"/>
      <c r="I489" s="364"/>
      <c r="J489" s="364"/>
      <c r="K489" s="364"/>
      <c r="L489" s="364"/>
      <c r="M489" s="364"/>
      <c r="N489" s="364"/>
      <c r="O489" s="364"/>
      <c r="P489" s="364"/>
      <c r="Q489" s="364"/>
      <c r="R489" s="364"/>
      <c r="S489" s="364"/>
      <c r="T489" s="364"/>
      <c r="U489" s="364"/>
      <c r="V489" s="364"/>
      <c r="W489" s="364"/>
      <c r="X489" s="364"/>
      <c r="Y489" s="364"/>
      <c r="Z489" s="364"/>
    </row>
    <row r="490" spans="1:26" ht="15.75" customHeight="1" x14ac:dyDescent="0.25">
      <c r="A490" s="364"/>
      <c r="B490" s="364"/>
      <c r="C490" s="364"/>
      <c r="D490" s="364"/>
      <c r="E490" s="364"/>
      <c r="F490" s="364"/>
      <c r="G490" s="364"/>
      <c r="H490" s="364"/>
      <c r="I490" s="364"/>
      <c r="J490" s="364"/>
      <c r="K490" s="364"/>
      <c r="L490" s="364"/>
      <c r="M490" s="364"/>
      <c r="N490" s="364"/>
      <c r="O490" s="364"/>
      <c r="P490" s="364"/>
      <c r="Q490" s="364"/>
      <c r="R490" s="364"/>
      <c r="S490" s="364"/>
      <c r="T490" s="364"/>
      <c r="U490" s="364"/>
      <c r="V490" s="364"/>
      <c r="W490" s="364"/>
      <c r="X490" s="364"/>
      <c r="Y490" s="364"/>
      <c r="Z490" s="364"/>
    </row>
    <row r="491" spans="1:26" ht="15.75" customHeight="1" x14ac:dyDescent="0.25">
      <c r="A491" s="364"/>
      <c r="B491" s="364"/>
      <c r="C491" s="364"/>
      <c r="D491" s="364"/>
      <c r="E491" s="364"/>
      <c r="F491" s="364"/>
      <c r="G491" s="364"/>
      <c r="H491" s="364"/>
      <c r="I491" s="364"/>
      <c r="J491" s="364"/>
      <c r="K491" s="364"/>
      <c r="L491" s="364"/>
      <c r="M491" s="364"/>
      <c r="N491" s="364"/>
      <c r="O491" s="364"/>
      <c r="P491" s="364"/>
      <c r="Q491" s="364"/>
      <c r="R491" s="364"/>
      <c r="S491" s="364"/>
      <c r="T491" s="364"/>
      <c r="U491" s="364"/>
      <c r="V491" s="364"/>
      <c r="W491" s="364"/>
      <c r="X491" s="364"/>
      <c r="Y491" s="364"/>
      <c r="Z491" s="364"/>
    </row>
    <row r="492" spans="1:26" ht="15.75" customHeight="1" x14ac:dyDescent="0.25">
      <c r="A492" s="364"/>
      <c r="B492" s="364"/>
      <c r="C492" s="364"/>
      <c r="D492" s="364"/>
      <c r="E492" s="364"/>
      <c r="F492" s="364"/>
      <c r="G492" s="364"/>
      <c r="H492" s="364"/>
      <c r="I492" s="364"/>
      <c r="J492" s="364"/>
      <c r="K492" s="364"/>
      <c r="L492" s="364"/>
      <c r="M492" s="364"/>
      <c r="N492" s="364"/>
      <c r="O492" s="364"/>
      <c r="P492" s="364"/>
      <c r="Q492" s="364"/>
      <c r="R492" s="364"/>
      <c r="S492" s="364"/>
      <c r="T492" s="364"/>
      <c r="U492" s="364"/>
      <c r="V492" s="364"/>
      <c r="W492" s="364"/>
      <c r="X492" s="364"/>
      <c r="Y492" s="364"/>
      <c r="Z492" s="364"/>
    </row>
    <row r="493" spans="1:26" ht="15.75" customHeight="1" x14ac:dyDescent="0.25">
      <c r="A493" s="364"/>
      <c r="B493" s="364"/>
      <c r="C493" s="364"/>
      <c r="D493" s="364"/>
      <c r="E493" s="364"/>
      <c r="F493" s="364"/>
      <c r="G493" s="364"/>
      <c r="H493" s="364"/>
      <c r="I493" s="364"/>
      <c r="J493" s="364"/>
      <c r="K493" s="364"/>
      <c r="L493" s="364"/>
      <c r="M493" s="364"/>
      <c r="N493" s="364"/>
      <c r="O493" s="364"/>
      <c r="P493" s="364"/>
      <c r="Q493" s="364"/>
      <c r="R493" s="364"/>
      <c r="S493" s="364"/>
      <c r="T493" s="364"/>
      <c r="U493" s="364"/>
      <c r="V493" s="364"/>
      <c r="W493" s="364"/>
      <c r="X493" s="364"/>
      <c r="Y493" s="364"/>
      <c r="Z493" s="364"/>
    </row>
    <row r="494" spans="1:26" ht="15.75" customHeight="1" x14ac:dyDescent="0.25">
      <c r="A494" s="364"/>
      <c r="B494" s="364"/>
      <c r="C494" s="364"/>
      <c r="D494" s="364"/>
      <c r="E494" s="364"/>
      <c r="F494" s="364"/>
      <c r="G494" s="364"/>
      <c r="H494" s="364"/>
      <c r="I494" s="364"/>
      <c r="J494" s="364"/>
      <c r="K494" s="364"/>
      <c r="L494" s="364"/>
      <c r="M494" s="364"/>
      <c r="N494" s="364"/>
      <c r="O494" s="364"/>
      <c r="P494" s="364"/>
      <c r="Q494" s="364"/>
      <c r="R494" s="364"/>
      <c r="S494" s="364"/>
      <c r="T494" s="364"/>
      <c r="U494" s="364"/>
      <c r="V494" s="364"/>
      <c r="W494" s="364"/>
      <c r="X494" s="364"/>
      <c r="Y494" s="364"/>
      <c r="Z494" s="364"/>
    </row>
    <row r="495" spans="1:26" ht="15.75" customHeight="1" x14ac:dyDescent="0.25">
      <c r="A495" s="364"/>
      <c r="B495" s="364"/>
      <c r="C495" s="364"/>
      <c r="D495" s="364"/>
      <c r="E495" s="364"/>
      <c r="F495" s="364"/>
      <c r="G495" s="364"/>
      <c r="H495" s="364"/>
      <c r="I495" s="364"/>
      <c r="J495" s="364"/>
      <c r="K495" s="364"/>
      <c r="L495" s="364"/>
      <c r="M495" s="364"/>
      <c r="N495" s="364"/>
      <c r="O495" s="364"/>
      <c r="P495" s="364"/>
      <c r="Q495" s="364"/>
      <c r="R495" s="364"/>
      <c r="S495" s="364"/>
      <c r="T495" s="364"/>
      <c r="U495" s="364"/>
      <c r="V495" s="364"/>
      <c r="W495" s="364"/>
      <c r="X495" s="364"/>
      <c r="Y495" s="364"/>
      <c r="Z495" s="364"/>
    </row>
    <row r="496" spans="1:26" ht="15.75" customHeight="1" x14ac:dyDescent="0.25">
      <c r="A496" s="364"/>
      <c r="B496" s="364"/>
      <c r="C496" s="364"/>
      <c r="D496" s="364"/>
      <c r="E496" s="364"/>
      <c r="F496" s="364"/>
      <c r="G496" s="364"/>
      <c r="H496" s="364"/>
      <c r="I496" s="364"/>
      <c r="J496" s="364"/>
      <c r="K496" s="364"/>
      <c r="L496" s="364"/>
      <c r="M496" s="364"/>
      <c r="N496" s="364"/>
      <c r="O496" s="364"/>
      <c r="P496" s="364"/>
      <c r="Q496" s="364"/>
      <c r="R496" s="364"/>
      <c r="S496" s="364"/>
      <c r="T496" s="364"/>
      <c r="U496" s="364"/>
      <c r="V496" s="364"/>
      <c r="W496" s="364"/>
      <c r="X496" s="364"/>
      <c r="Y496" s="364"/>
      <c r="Z496" s="364"/>
    </row>
    <row r="497" spans="1:26" ht="15.75" customHeight="1" x14ac:dyDescent="0.25">
      <c r="A497" s="364"/>
      <c r="B497" s="364"/>
      <c r="C497" s="364"/>
      <c r="D497" s="364"/>
      <c r="E497" s="364"/>
      <c r="F497" s="364"/>
      <c r="G497" s="364"/>
      <c r="H497" s="364"/>
      <c r="I497" s="364"/>
      <c r="J497" s="364"/>
      <c r="K497" s="364"/>
      <c r="L497" s="364"/>
      <c r="M497" s="364"/>
      <c r="N497" s="364"/>
      <c r="O497" s="364"/>
      <c r="P497" s="364"/>
      <c r="Q497" s="364"/>
      <c r="R497" s="364"/>
      <c r="S497" s="364"/>
      <c r="T497" s="364"/>
      <c r="U497" s="364"/>
      <c r="V497" s="364"/>
      <c r="W497" s="364"/>
      <c r="X497" s="364"/>
      <c r="Y497" s="364"/>
      <c r="Z497" s="364"/>
    </row>
    <row r="498" spans="1:26" ht="15.75" customHeight="1" x14ac:dyDescent="0.25">
      <c r="A498" s="364"/>
      <c r="B498" s="364"/>
      <c r="C498" s="364"/>
      <c r="D498" s="364"/>
      <c r="E498" s="364"/>
      <c r="F498" s="364"/>
      <c r="G498" s="364"/>
      <c r="H498" s="364"/>
      <c r="I498" s="364"/>
      <c r="J498" s="364"/>
      <c r="K498" s="364"/>
      <c r="L498" s="364"/>
      <c r="M498" s="364"/>
      <c r="N498" s="364"/>
      <c r="O498" s="364"/>
      <c r="P498" s="364"/>
      <c r="Q498" s="364"/>
      <c r="R498" s="364"/>
      <c r="S498" s="364"/>
      <c r="T498" s="364"/>
      <c r="U498" s="364"/>
      <c r="V498" s="364"/>
      <c r="W498" s="364"/>
      <c r="X498" s="364"/>
      <c r="Y498" s="364"/>
      <c r="Z498" s="364"/>
    </row>
    <row r="499" spans="1:26" ht="15.75" customHeight="1" x14ac:dyDescent="0.25">
      <c r="A499" s="364"/>
      <c r="B499" s="364"/>
      <c r="C499" s="364"/>
      <c r="D499" s="364"/>
      <c r="E499" s="364"/>
      <c r="F499" s="364"/>
      <c r="G499" s="364"/>
      <c r="H499" s="364"/>
      <c r="I499" s="364"/>
      <c r="J499" s="364"/>
      <c r="K499" s="364"/>
      <c r="L499" s="364"/>
      <c r="M499" s="364"/>
      <c r="N499" s="364"/>
      <c r="O499" s="364"/>
      <c r="P499" s="364"/>
      <c r="Q499" s="364"/>
      <c r="R499" s="364"/>
      <c r="S499" s="364"/>
      <c r="T499" s="364"/>
      <c r="U499" s="364"/>
      <c r="V499" s="364"/>
      <c r="W499" s="364"/>
      <c r="X499" s="364"/>
      <c r="Y499" s="364"/>
      <c r="Z499" s="364"/>
    </row>
    <row r="500" spans="1:26" ht="15.75" customHeight="1" x14ac:dyDescent="0.25">
      <c r="A500" s="364"/>
      <c r="B500" s="364"/>
      <c r="C500" s="364"/>
      <c r="D500" s="364"/>
      <c r="E500" s="364"/>
      <c r="F500" s="364"/>
      <c r="G500" s="364"/>
      <c r="H500" s="364"/>
      <c r="I500" s="364"/>
      <c r="J500" s="364"/>
      <c r="K500" s="364"/>
      <c r="L500" s="364"/>
      <c r="M500" s="364"/>
      <c r="N500" s="364"/>
      <c r="O500" s="364"/>
      <c r="P500" s="364"/>
      <c r="Q500" s="364"/>
      <c r="R500" s="364"/>
      <c r="S500" s="364"/>
      <c r="T500" s="364"/>
      <c r="U500" s="364"/>
      <c r="V500" s="364"/>
      <c r="W500" s="364"/>
      <c r="X500" s="364"/>
      <c r="Y500" s="364"/>
      <c r="Z500" s="364"/>
    </row>
    <row r="501" spans="1:26" ht="15.75" customHeight="1" x14ac:dyDescent="0.25">
      <c r="A501" s="364"/>
      <c r="B501" s="364"/>
      <c r="C501" s="364"/>
      <c r="D501" s="364"/>
      <c r="E501" s="364"/>
      <c r="F501" s="364"/>
      <c r="G501" s="364"/>
      <c r="H501" s="364"/>
      <c r="I501" s="364"/>
      <c r="J501" s="364"/>
      <c r="K501" s="364"/>
      <c r="L501" s="364"/>
      <c r="M501" s="364"/>
      <c r="N501" s="364"/>
      <c r="O501" s="364"/>
      <c r="P501" s="364"/>
      <c r="Q501" s="364"/>
      <c r="R501" s="364"/>
      <c r="S501" s="364"/>
      <c r="T501" s="364"/>
      <c r="U501" s="364"/>
      <c r="V501" s="364"/>
      <c r="W501" s="364"/>
      <c r="X501" s="364"/>
      <c r="Y501" s="364"/>
      <c r="Z501" s="364"/>
    </row>
    <row r="502" spans="1:26" ht="15.75" customHeight="1" x14ac:dyDescent="0.25">
      <c r="A502" s="364"/>
      <c r="B502" s="364"/>
      <c r="C502" s="364"/>
      <c r="D502" s="364"/>
      <c r="E502" s="364"/>
      <c r="F502" s="364"/>
      <c r="G502" s="364"/>
      <c r="H502" s="364"/>
      <c r="I502" s="364"/>
      <c r="J502" s="364"/>
      <c r="K502" s="364"/>
      <c r="L502" s="364"/>
      <c r="M502" s="364"/>
      <c r="N502" s="364"/>
      <c r="O502" s="364"/>
      <c r="P502" s="364"/>
      <c r="Q502" s="364"/>
      <c r="R502" s="364"/>
      <c r="S502" s="364"/>
      <c r="T502" s="364"/>
      <c r="U502" s="364"/>
      <c r="V502" s="364"/>
      <c r="W502" s="364"/>
      <c r="X502" s="364"/>
      <c r="Y502" s="364"/>
      <c r="Z502" s="364"/>
    </row>
    <row r="503" spans="1:26" ht="15.75" customHeight="1" x14ac:dyDescent="0.25">
      <c r="A503" s="364"/>
      <c r="B503" s="364"/>
      <c r="C503" s="364"/>
      <c r="D503" s="364"/>
      <c r="E503" s="364"/>
      <c r="F503" s="364"/>
      <c r="G503" s="364"/>
      <c r="H503" s="364"/>
      <c r="I503" s="364"/>
      <c r="J503" s="364"/>
      <c r="K503" s="364"/>
      <c r="L503" s="364"/>
      <c r="M503" s="364"/>
      <c r="N503" s="364"/>
      <c r="O503" s="364"/>
      <c r="P503" s="364"/>
      <c r="Q503" s="364"/>
      <c r="R503" s="364"/>
      <c r="S503" s="364"/>
      <c r="T503" s="364"/>
      <c r="U503" s="364"/>
      <c r="V503" s="364"/>
      <c r="W503" s="364"/>
      <c r="X503" s="364"/>
      <c r="Y503" s="364"/>
      <c r="Z503" s="364"/>
    </row>
    <row r="504" spans="1:26" ht="15.75" customHeight="1" x14ac:dyDescent="0.25">
      <c r="A504" s="364"/>
      <c r="B504" s="364"/>
      <c r="C504" s="364"/>
      <c r="D504" s="364"/>
      <c r="E504" s="364"/>
      <c r="F504" s="364"/>
      <c r="G504" s="364"/>
      <c r="H504" s="364"/>
      <c r="I504" s="364"/>
      <c r="J504" s="364"/>
      <c r="K504" s="364"/>
      <c r="L504" s="364"/>
      <c r="M504" s="364"/>
      <c r="N504" s="364"/>
      <c r="O504" s="364"/>
      <c r="P504" s="364"/>
      <c r="Q504" s="364"/>
      <c r="R504" s="364"/>
      <c r="S504" s="364"/>
      <c r="T504" s="364"/>
      <c r="U504" s="364"/>
      <c r="V504" s="364"/>
      <c r="W504" s="364"/>
      <c r="X504" s="364"/>
      <c r="Y504" s="364"/>
      <c r="Z504" s="364"/>
    </row>
    <row r="505" spans="1:26" ht="15.75" customHeight="1" x14ac:dyDescent="0.25">
      <c r="A505" s="364"/>
      <c r="B505" s="364"/>
      <c r="C505" s="364"/>
      <c r="D505" s="364"/>
      <c r="E505" s="364"/>
      <c r="F505" s="364"/>
      <c r="G505" s="364"/>
      <c r="H505" s="364"/>
      <c r="I505" s="364"/>
      <c r="J505" s="364"/>
      <c r="K505" s="364"/>
      <c r="L505" s="364"/>
      <c r="M505" s="364"/>
      <c r="N505" s="364"/>
      <c r="O505" s="364"/>
      <c r="P505" s="364"/>
      <c r="Q505" s="364"/>
      <c r="R505" s="364"/>
      <c r="S505" s="364"/>
      <c r="T505" s="364"/>
      <c r="U505" s="364"/>
      <c r="V505" s="364"/>
      <c r="W505" s="364"/>
      <c r="X505" s="364"/>
      <c r="Y505" s="364"/>
      <c r="Z505" s="364"/>
    </row>
    <row r="506" spans="1:26" ht="15.75" customHeight="1" x14ac:dyDescent="0.25">
      <c r="A506" s="364"/>
      <c r="B506" s="364"/>
      <c r="C506" s="364"/>
      <c r="D506" s="364"/>
      <c r="E506" s="364"/>
      <c r="F506" s="364"/>
      <c r="G506" s="364"/>
      <c r="H506" s="364"/>
      <c r="I506" s="364"/>
      <c r="J506" s="364"/>
      <c r="K506" s="364"/>
      <c r="L506" s="364"/>
      <c r="M506" s="364"/>
      <c r="N506" s="364"/>
      <c r="O506" s="364"/>
      <c r="P506" s="364"/>
      <c r="Q506" s="364"/>
      <c r="R506" s="364"/>
      <c r="S506" s="364"/>
      <c r="T506" s="364"/>
      <c r="U506" s="364"/>
      <c r="V506" s="364"/>
      <c r="W506" s="364"/>
      <c r="X506" s="364"/>
      <c r="Y506" s="364"/>
      <c r="Z506" s="364"/>
    </row>
    <row r="507" spans="1:26" ht="15.75" customHeight="1" x14ac:dyDescent="0.25">
      <c r="A507" s="364"/>
      <c r="B507" s="364"/>
      <c r="C507" s="364"/>
      <c r="D507" s="364"/>
      <c r="E507" s="364"/>
      <c r="F507" s="364"/>
      <c r="G507" s="364"/>
      <c r="H507" s="364"/>
      <c r="I507" s="364"/>
      <c r="J507" s="364"/>
      <c r="K507" s="364"/>
      <c r="L507" s="364"/>
      <c r="M507" s="364"/>
      <c r="N507" s="364"/>
      <c r="O507" s="364"/>
      <c r="P507" s="364"/>
      <c r="Q507" s="364"/>
      <c r="R507" s="364"/>
      <c r="S507" s="364"/>
      <c r="T507" s="364"/>
      <c r="U507" s="364"/>
      <c r="V507" s="364"/>
      <c r="W507" s="364"/>
      <c r="X507" s="364"/>
      <c r="Y507" s="364"/>
      <c r="Z507" s="364"/>
    </row>
    <row r="508" spans="1:26" ht="15.75" customHeight="1" x14ac:dyDescent="0.25">
      <c r="A508" s="364"/>
      <c r="B508" s="364"/>
      <c r="C508" s="364"/>
      <c r="D508" s="364"/>
      <c r="E508" s="364"/>
      <c r="F508" s="364"/>
      <c r="G508" s="364"/>
      <c r="H508" s="364"/>
      <c r="I508" s="364"/>
      <c r="J508" s="364"/>
      <c r="K508" s="364"/>
      <c r="L508" s="364"/>
      <c r="M508" s="364"/>
      <c r="N508" s="364"/>
      <c r="O508" s="364"/>
      <c r="P508" s="364"/>
      <c r="Q508" s="364"/>
      <c r="R508" s="364"/>
      <c r="S508" s="364"/>
      <c r="T508" s="364"/>
      <c r="U508" s="364"/>
      <c r="V508" s="364"/>
      <c r="W508" s="364"/>
      <c r="X508" s="364"/>
      <c r="Y508" s="364"/>
      <c r="Z508" s="364"/>
    </row>
    <row r="509" spans="1:26" ht="15.75" customHeight="1" x14ac:dyDescent="0.25">
      <c r="A509" s="364"/>
      <c r="B509" s="364"/>
      <c r="C509" s="364"/>
      <c r="D509" s="364"/>
      <c r="E509" s="364"/>
      <c r="F509" s="364"/>
      <c r="G509" s="364"/>
      <c r="H509" s="364"/>
      <c r="I509" s="364"/>
      <c r="J509" s="364"/>
      <c r="K509" s="364"/>
      <c r="L509" s="364"/>
      <c r="M509" s="364"/>
      <c r="N509" s="364"/>
      <c r="O509" s="364"/>
      <c r="P509" s="364"/>
      <c r="Q509" s="364"/>
      <c r="R509" s="364"/>
      <c r="S509" s="364"/>
      <c r="T509" s="364"/>
      <c r="U509" s="364"/>
      <c r="V509" s="364"/>
      <c r="W509" s="364"/>
      <c r="X509" s="364"/>
      <c r="Y509" s="364"/>
      <c r="Z509" s="364"/>
    </row>
    <row r="510" spans="1:26" ht="15.75" customHeight="1" x14ac:dyDescent="0.25">
      <c r="A510" s="364"/>
      <c r="B510" s="364"/>
      <c r="C510" s="364"/>
      <c r="D510" s="364"/>
      <c r="E510" s="364"/>
      <c r="F510" s="364"/>
      <c r="G510" s="364"/>
      <c r="H510" s="364"/>
      <c r="I510" s="364"/>
      <c r="J510" s="364"/>
      <c r="K510" s="364"/>
      <c r="L510" s="364"/>
      <c r="M510" s="364"/>
      <c r="N510" s="364"/>
      <c r="O510" s="364"/>
      <c r="P510" s="364"/>
      <c r="Q510" s="364"/>
      <c r="R510" s="364"/>
      <c r="S510" s="364"/>
      <c r="T510" s="364"/>
      <c r="U510" s="364"/>
      <c r="V510" s="364"/>
      <c r="W510" s="364"/>
      <c r="X510" s="364"/>
      <c r="Y510" s="364"/>
      <c r="Z510" s="364"/>
    </row>
    <row r="511" spans="1:26" ht="15.75" customHeight="1" x14ac:dyDescent="0.25">
      <c r="A511" s="364"/>
      <c r="B511" s="364"/>
      <c r="C511" s="364"/>
      <c r="D511" s="364"/>
      <c r="E511" s="364"/>
      <c r="F511" s="364"/>
      <c r="G511" s="364"/>
      <c r="H511" s="364"/>
      <c r="I511" s="364"/>
      <c r="J511" s="364"/>
      <c r="K511" s="364"/>
      <c r="L511" s="364"/>
      <c r="M511" s="364"/>
      <c r="N511" s="364"/>
      <c r="O511" s="364"/>
      <c r="P511" s="364"/>
      <c r="Q511" s="364"/>
      <c r="R511" s="364"/>
      <c r="S511" s="364"/>
      <c r="T511" s="364"/>
      <c r="U511" s="364"/>
      <c r="V511" s="364"/>
      <c r="W511" s="364"/>
      <c r="X511" s="364"/>
      <c r="Y511" s="364"/>
      <c r="Z511" s="364"/>
    </row>
    <row r="512" spans="1:26" ht="15.75" customHeight="1" x14ac:dyDescent="0.25">
      <c r="A512" s="364"/>
      <c r="B512" s="364"/>
      <c r="C512" s="364"/>
      <c r="D512" s="364"/>
      <c r="E512" s="364"/>
      <c r="F512" s="364"/>
      <c r="G512" s="364"/>
      <c r="H512" s="364"/>
      <c r="I512" s="364"/>
      <c r="J512" s="364"/>
      <c r="K512" s="364"/>
      <c r="L512" s="364"/>
      <c r="M512" s="364"/>
      <c r="N512" s="364"/>
      <c r="O512" s="364"/>
      <c r="P512" s="364"/>
      <c r="Q512" s="364"/>
      <c r="R512" s="364"/>
      <c r="S512" s="364"/>
      <c r="T512" s="364"/>
      <c r="U512" s="364"/>
      <c r="V512" s="364"/>
      <c r="W512" s="364"/>
      <c r="X512" s="364"/>
      <c r="Y512" s="364"/>
      <c r="Z512" s="364"/>
    </row>
    <row r="513" spans="1:26" ht="15.75" customHeight="1" x14ac:dyDescent="0.25">
      <c r="A513" s="364"/>
      <c r="B513" s="364"/>
      <c r="C513" s="364"/>
      <c r="D513" s="364"/>
      <c r="E513" s="364"/>
      <c r="F513" s="364"/>
      <c r="G513" s="364"/>
      <c r="H513" s="364"/>
      <c r="I513" s="364"/>
      <c r="J513" s="364"/>
      <c r="K513" s="364"/>
      <c r="L513" s="364"/>
      <c r="M513" s="364"/>
      <c r="N513" s="364"/>
      <c r="O513" s="364"/>
      <c r="P513" s="364"/>
      <c r="Q513" s="364"/>
      <c r="R513" s="364"/>
      <c r="S513" s="364"/>
      <c r="T513" s="364"/>
      <c r="U513" s="364"/>
      <c r="V513" s="364"/>
      <c r="W513" s="364"/>
      <c r="X513" s="364"/>
      <c r="Y513" s="364"/>
      <c r="Z513" s="364"/>
    </row>
    <row r="514" spans="1:26" ht="15.75" customHeight="1" x14ac:dyDescent="0.25">
      <c r="A514" s="364"/>
      <c r="B514" s="364"/>
      <c r="C514" s="364"/>
      <c r="D514" s="364"/>
      <c r="E514" s="364"/>
      <c r="F514" s="364"/>
      <c r="G514" s="364"/>
      <c r="H514" s="364"/>
      <c r="I514" s="364"/>
      <c r="J514" s="364"/>
      <c r="K514" s="364"/>
      <c r="L514" s="364"/>
      <c r="M514" s="364"/>
      <c r="N514" s="364"/>
      <c r="O514" s="364"/>
      <c r="P514" s="364"/>
      <c r="Q514" s="364"/>
      <c r="R514" s="364"/>
      <c r="S514" s="364"/>
      <c r="T514" s="364"/>
      <c r="U514" s="364"/>
      <c r="V514" s="364"/>
      <c r="W514" s="364"/>
      <c r="X514" s="364"/>
      <c r="Y514" s="364"/>
      <c r="Z514" s="364"/>
    </row>
    <row r="515" spans="1:26" ht="15.75" customHeight="1" x14ac:dyDescent="0.25">
      <c r="A515" s="364"/>
      <c r="B515" s="364"/>
      <c r="C515" s="364"/>
      <c r="D515" s="364"/>
      <c r="E515" s="364"/>
      <c r="F515" s="364"/>
      <c r="G515" s="364"/>
      <c r="H515" s="364"/>
      <c r="I515" s="364"/>
      <c r="J515" s="364"/>
      <c r="K515" s="364"/>
      <c r="L515" s="364"/>
      <c r="M515" s="364"/>
      <c r="N515" s="364"/>
      <c r="O515" s="364"/>
      <c r="P515" s="364"/>
      <c r="Q515" s="364"/>
      <c r="R515" s="364"/>
      <c r="S515" s="364"/>
      <c r="T515" s="364"/>
      <c r="U515" s="364"/>
      <c r="V515" s="364"/>
      <c r="W515" s="364"/>
      <c r="X515" s="364"/>
      <c r="Y515" s="364"/>
      <c r="Z515" s="364"/>
    </row>
    <row r="516" spans="1:26" ht="15.75" customHeight="1" x14ac:dyDescent="0.25">
      <c r="A516" s="364"/>
      <c r="B516" s="364"/>
      <c r="C516" s="364"/>
      <c r="D516" s="364"/>
      <c r="E516" s="364"/>
      <c r="F516" s="364"/>
      <c r="G516" s="364"/>
      <c r="H516" s="364"/>
      <c r="I516" s="364"/>
      <c r="J516" s="364"/>
      <c r="K516" s="364"/>
      <c r="L516" s="364"/>
      <c r="M516" s="364"/>
      <c r="N516" s="364"/>
      <c r="O516" s="364"/>
      <c r="P516" s="364"/>
      <c r="Q516" s="364"/>
      <c r="R516" s="364"/>
      <c r="S516" s="364"/>
      <c r="T516" s="364"/>
      <c r="U516" s="364"/>
      <c r="V516" s="364"/>
      <c r="W516" s="364"/>
      <c r="X516" s="364"/>
      <c r="Y516" s="364"/>
      <c r="Z516" s="364"/>
    </row>
    <row r="517" spans="1:26" ht="15.75" customHeight="1" x14ac:dyDescent="0.25">
      <c r="A517" s="364"/>
      <c r="B517" s="364"/>
      <c r="C517" s="364"/>
      <c r="D517" s="364"/>
      <c r="E517" s="364"/>
      <c r="F517" s="364"/>
      <c r="G517" s="364"/>
      <c r="H517" s="364"/>
      <c r="I517" s="364"/>
      <c r="J517" s="364"/>
      <c r="K517" s="364"/>
      <c r="L517" s="364"/>
      <c r="M517" s="364"/>
      <c r="N517" s="364"/>
      <c r="O517" s="364"/>
      <c r="P517" s="364"/>
      <c r="Q517" s="364"/>
      <c r="R517" s="364"/>
      <c r="S517" s="364"/>
      <c r="T517" s="364"/>
      <c r="U517" s="364"/>
      <c r="V517" s="364"/>
      <c r="W517" s="364"/>
      <c r="X517" s="364"/>
      <c r="Y517" s="364"/>
      <c r="Z517" s="364"/>
    </row>
    <row r="518" spans="1:26" ht="15.75" customHeight="1" x14ac:dyDescent="0.25">
      <c r="A518" s="364"/>
      <c r="B518" s="364"/>
      <c r="C518" s="364"/>
      <c r="D518" s="364"/>
      <c r="E518" s="364"/>
      <c r="F518" s="364"/>
      <c r="G518" s="364"/>
      <c r="H518" s="364"/>
      <c r="I518" s="364"/>
      <c r="J518" s="364"/>
      <c r="K518" s="364"/>
      <c r="L518" s="364"/>
      <c r="M518" s="364"/>
      <c r="N518" s="364"/>
      <c r="O518" s="364"/>
      <c r="P518" s="364"/>
      <c r="Q518" s="364"/>
      <c r="R518" s="364"/>
      <c r="S518" s="364"/>
      <c r="T518" s="364"/>
      <c r="U518" s="364"/>
      <c r="V518" s="364"/>
      <c r="W518" s="364"/>
      <c r="X518" s="364"/>
      <c r="Y518" s="364"/>
      <c r="Z518" s="364"/>
    </row>
    <row r="519" spans="1:26" ht="15.75" customHeight="1" x14ac:dyDescent="0.25">
      <c r="A519" s="364"/>
      <c r="B519" s="364"/>
      <c r="C519" s="364"/>
      <c r="D519" s="364"/>
      <c r="E519" s="364"/>
      <c r="F519" s="364"/>
      <c r="G519" s="364"/>
      <c r="H519" s="364"/>
      <c r="I519" s="364"/>
      <c r="J519" s="364"/>
      <c r="K519" s="364"/>
      <c r="L519" s="364"/>
      <c r="M519" s="364"/>
      <c r="N519" s="364"/>
      <c r="O519" s="364"/>
      <c r="P519" s="364"/>
      <c r="Q519" s="364"/>
      <c r="R519" s="364"/>
      <c r="S519" s="364"/>
      <c r="T519" s="364"/>
      <c r="U519" s="364"/>
      <c r="V519" s="364"/>
      <c r="W519" s="364"/>
      <c r="X519" s="364"/>
      <c r="Y519" s="364"/>
      <c r="Z519" s="364"/>
    </row>
    <row r="520" spans="1:26" ht="15.75" customHeight="1" x14ac:dyDescent="0.25">
      <c r="A520" s="364"/>
      <c r="B520" s="364"/>
      <c r="C520" s="364"/>
      <c r="D520" s="364"/>
      <c r="E520" s="364"/>
      <c r="F520" s="364"/>
      <c r="G520" s="364"/>
      <c r="H520" s="364"/>
      <c r="I520" s="364"/>
      <c r="J520" s="364"/>
      <c r="K520" s="364"/>
      <c r="L520" s="364"/>
      <c r="M520" s="364"/>
      <c r="N520" s="364"/>
      <c r="O520" s="364"/>
      <c r="P520" s="364"/>
      <c r="Q520" s="364"/>
      <c r="R520" s="364"/>
      <c r="S520" s="364"/>
      <c r="T520" s="364"/>
      <c r="U520" s="364"/>
      <c r="V520" s="364"/>
      <c r="W520" s="364"/>
      <c r="X520" s="364"/>
      <c r="Y520" s="364"/>
      <c r="Z520" s="364"/>
    </row>
    <row r="521" spans="1:26" ht="15.75" customHeight="1" x14ac:dyDescent="0.25">
      <c r="A521" s="364"/>
      <c r="B521" s="364"/>
      <c r="C521" s="364"/>
      <c r="D521" s="364"/>
      <c r="E521" s="364"/>
      <c r="F521" s="364"/>
      <c r="G521" s="364"/>
      <c r="H521" s="364"/>
      <c r="I521" s="364"/>
      <c r="J521" s="364"/>
      <c r="K521" s="364"/>
      <c r="L521" s="364"/>
      <c r="M521" s="364"/>
      <c r="N521" s="364"/>
      <c r="O521" s="364"/>
      <c r="P521" s="364"/>
      <c r="Q521" s="364"/>
      <c r="R521" s="364"/>
      <c r="S521" s="364"/>
      <c r="T521" s="364"/>
      <c r="U521" s="364"/>
      <c r="V521" s="364"/>
      <c r="W521" s="364"/>
      <c r="X521" s="364"/>
      <c r="Y521" s="364"/>
      <c r="Z521" s="364"/>
    </row>
    <row r="522" spans="1:26" ht="15.75" customHeight="1" x14ac:dyDescent="0.25">
      <c r="A522" s="364"/>
      <c r="B522" s="364"/>
      <c r="C522" s="364"/>
      <c r="D522" s="364"/>
      <c r="E522" s="364"/>
      <c r="F522" s="364"/>
      <c r="G522" s="364"/>
      <c r="H522" s="364"/>
      <c r="I522" s="364"/>
      <c r="J522" s="364"/>
      <c r="K522" s="364"/>
      <c r="L522" s="364"/>
      <c r="M522" s="364"/>
      <c r="N522" s="364"/>
      <c r="O522" s="364"/>
      <c r="P522" s="364"/>
      <c r="Q522" s="364"/>
      <c r="R522" s="364"/>
      <c r="S522" s="364"/>
      <c r="T522" s="364"/>
      <c r="U522" s="364"/>
      <c r="V522" s="364"/>
      <c r="W522" s="364"/>
      <c r="X522" s="364"/>
      <c r="Y522" s="364"/>
      <c r="Z522" s="364"/>
    </row>
    <row r="523" spans="1:26" ht="15.75" customHeight="1" x14ac:dyDescent="0.25">
      <c r="A523" s="364"/>
      <c r="B523" s="364"/>
      <c r="C523" s="364"/>
      <c r="D523" s="364"/>
      <c r="E523" s="364"/>
      <c r="F523" s="364"/>
      <c r="G523" s="364"/>
      <c r="H523" s="364"/>
      <c r="I523" s="364"/>
      <c r="J523" s="364"/>
      <c r="K523" s="364"/>
      <c r="L523" s="364"/>
      <c r="M523" s="364"/>
      <c r="N523" s="364"/>
      <c r="O523" s="364"/>
      <c r="P523" s="364"/>
      <c r="Q523" s="364"/>
      <c r="R523" s="364"/>
      <c r="S523" s="364"/>
      <c r="T523" s="364"/>
      <c r="U523" s="364"/>
      <c r="V523" s="364"/>
      <c r="W523" s="364"/>
      <c r="X523" s="364"/>
      <c r="Y523" s="364"/>
      <c r="Z523" s="364"/>
    </row>
    <row r="524" spans="1:26" ht="15.75" customHeight="1" x14ac:dyDescent="0.25">
      <c r="A524" s="364"/>
      <c r="B524" s="364"/>
      <c r="C524" s="364"/>
      <c r="D524" s="364"/>
      <c r="E524" s="364"/>
      <c r="F524" s="364"/>
      <c r="G524" s="364"/>
      <c r="H524" s="364"/>
      <c r="I524" s="364"/>
      <c r="J524" s="364"/>
      <c r="K524" s="364"/>
      <c r="L524" s="364"/>
      <c r="M524" s="364"/>
      <c r="N524" s="364"/>
      <c r="O524" s="364"/>
      <c r="P524" s="364"/>
      <c r="Q524" s="364"/>
      <c r="R524" s="364"/>
      <c r="S524" s="364"/>
      <c r="T524" s="364"/>
      <c r="U524" s="364"/>
      <c r="V524" s="364"/>
      <c r="W524" s="364"/>
      <c r="X524" s="364"/>
      <c r="Y524" s="364"/>
      <c r="Z524" s="364"/>
    </row>
    <row r="525" spans="1:26" ht="15.75" customHeight="1" x14ac:dyDescent="0.25">
      <c r="A525" s="364"/>
      <c r="B525" s="364"/>
      <c r="C525" s="364"/>
      <c r="D525" s="364"/>
      <c r="E525" s="364"/>
      <c r="F525" s="364"/>
      <c r="G525" s="364"/>
      <c r="H525" s="364"/>
      <c r="I525" s="364"/>
      <c r="J525" s="364"/>
      <c r="K525" s="364"/>
      <c r="L525" s="364"/>
      <c r="M525" s="364"/>
      <c r="N525" s="364"/>
      <c r="O525" s="364"/>
      <c r="P525" s="364"/>
      <c r="Q525" s="364"/>
      <c r="R525" s="364"/>
      <c r="S525" s="364"/>
      <c r="T525" s="364"/>
      <c r="U525" s="364"/>
      <c r="V525" s="364"/>
      <c r="W525" s="364"/>
      <c r="X525" s="364"/>
      <c r="Y525" s="364"/>
      <c r="Z525" s="364"/>
    </row>
    <row r="526" spans="1:26" ht="15.75" customHeight="1" x14ac:dyDescent="0.25">
      <c r="A526" s="364"/>
      <c r="B526" s="364"/>
      <c r="C526" s="364"/>
      <c r="D526" s="364"/>
      <c r="E526" s="364"/>
      <c r="F526" s="364"/>
      <c r="G526" s="364"/>
      <c r="H526" s="364"/>
      <c r="I526" s="364"/>
      <c r="J526" s="364"/>
      <c r="K526" s="364"/>
      <c r="L526" s="364"/>
      <c r="M526" s="364"/>
      <c r="N526" s="364"/>
      <c r="O526" s="364"/>
      <c r="P526" s="364"/>
      <c r="Q526" s="364"/>
      <c r="R526" s="364"/>
      <c r="S526" s="364"/>
      <c r="T526" s="364"/>
      <c r="U526" s="364"/>
      <c r="V526" s="364"/>
      <c r="W526" s="364"/>
      <c r="X526" s="364"/>
      <c r="Y526" s="364"/>
      <c r="Z526" s="364"/>
    </row>
    <row r="527" spans="1:26" ht="15.75" customHeight="1" x14ac:dyDescent="0.25">
      <c r="A527" s="364"/>
      <c r="B527" s="364"/>
      <c r="C527" s="364"/>
      <c r="D527" s="364"/>
      <c r="E527" s="364"/>
      <c r="F527" s="364"/>
      <c r="G527" s="364"/>
      <c r="H527" s="364"/>
      <c r="I527" s="364"/>
      <c r="J527" s="364"/>
      <c r="K527" s="364"/>
      <c r="L527" s="364"/>
      <c r="M527" s="364"/>
      <c r="N527" s="364"/>
      <c r="O527" s="364"/>
      <c r="P527" s="364"/>
      <c r="Q527" s="364"/>
      <c r="R527" s="364"/>
      <c r="S527" s="364"/>
      <c r="T527" s="364"/>
      <c r="U527" s="364"/>
      <c r="V527" s="364"/>
      <c r="W527" s="364"/>
      <c r="X527" s="364"/>
      <c r="Y527" s="364"/>
      <c r="Z527" s="364"/>
    </row>
    <row r="528" spans="1:26" ht="15.75" customHeight="1" x14ac:dyDescent="0.25">
      <c r="A528" s="364"/>
      <c r="B528" s="364"/>
      <c r="C528" s="364"/>
      <c r="D528" s="364"/>
      <c r="E528" s="364"/>
      <c r="F528" s="364"/>
      <c r="G528" s="364"/>
      <c r="H528" s="364"/>
      <c r="I528" s="364"/>
      <c r="J528" s="364"/>
      <c r="K528" s="364"/>
      <c r="L528" s="364"/>
      <c r="M528" s="364"/>
      <c r="N528" s="364"/>
      <c r="O528" s="364"/>
      <c r="P528" s="364"/>
      <c r="Q528" s="364"/>
      <c r="R528" s="364"/>
      <c r="S528" s="364"/>
      <c r="T528" s="364"/>
      <c r="U528" s="364"/>
      <c r="V528" s="364"/>
      <c r="W528" s="364"/>
      <c r="X528" s="364"/>
      <c r="Y528" s="364"/>
      <c r="Z528" s="364"/>
    </row>
    <row r="529" spans="1:26" ht="15.75" customHeight="1" x14ac:dyDescent="0.25">
      <c r="A529" s="364"/>
      <c r="B529" s="364"/>
      <c r="C529" s="364"/>
      <c r="D529" s="364"/>
      <c r="E529" s="364"/>
      <c r="F529" s="364"/>
      <c r="G529" s="364"/>
      <c r="H529" s="364"/>
      <c r="I529" s="364"/>
      <c r="J529" s="364"/>
      <c r="K529" s="364"/>
      <c r="L529" s="364"/>
      <c r="M529" s="364"/>
      <c r="N529" s="364"/>
      <c r="O529" s="364"/>
      <c r="P529" s="364"/>
      <c r="Q529" s="364"/>
      <c r="R529" s="364"/>
      <c r="S529" s="364"/>
      <c r="T529" s="364"/>
      <c r="U529" s="364"/>
      <c r="V529" s="364"/>
      <c r="W529" s="364"/>
      <c r="X529" s="364"/>
      <c r="Y529" s="364"/>
      <c r="Z529" s="364"/>
    </row>
    <row r="530" spans="1:26" ht="15.75" customHeight="1" x14ac:dyDescent="0.25">
      <c r="A530" s="364"/>
      <c r="B530" s="364"/>
      <c r="C530" s="364"/>
      <c r="D530" s="364"/>
      <c r="E530" s="364"/>
      <c r="F530" s="364"/>
      <c r="G530" s="364"/>
      <c r="H530" s="364"/>
      <c r="I530" s="364"/>
      <c r="J530" s="364"/>
      <c r="K530" s="364"/>
      <c r="L530" s="364"/>
      <c r="M530" s="364"/>
      <c r="N530" s="364"/>
      <c r="O530" s="364"/>
      <c r="P530" s="364"/>
      <c r="Q530" s="364"/>
      <c r="R530" s="364"/>
      <c r="S530" s="364"/>
      <c r="T530" s="364"/>
      <c r="U530" s="364"/>
      <c r="V530" s="364"/>
      <c r="W530" s="364"/>
      <c r="X530" s="364"/>
      <c r="Y530" s="364"/>
      <c r="Z530" s="364"/>
    </row>
    <row r="531" spans="1:26" ht="15.75" customHeight="1" x14ac:dyDescent="0.25">
      <c r="A531" s="364"/>
      <c r="B531" s="364"/>
      <c r="C531" s="364"/>
      <c r="D531" s="364"/>
      <c r="E531" s="364"/>
      <c r="F531" s="364"/>
      <c r="G531" s="364"/>
      <c r="H531" s="364"/>
      <c r="I531" s="364"/>
      <c r="J531" s="364"/>
      <c r="K531" s="364"/>
      <c r="L531" s="364"/>
      <c r="M531" s="364"/>
      <c r="N531" s="364"/>
      <c r="O531" s="364"/>
      <c r="P531" s="364"/>
      <c r="Q531" s="364"/>
      <c r="R531" s="364"/>
      <c r="S531" s="364"/>
      <c r="T531" s="364"/>
      <c r="U531" s="364"/>
      <c r="V531" s="364"/>
      <c r="W531" s="364"/>
      <c r="X531" s="364"/>
      <c r="Y531" s="364"/>
      <c r="Z531" s="364"/>
    </row>
    <row r="532" spans="1:26" ht="15.75" customHeight="1" x14ac:dyDescent="0.25">
      <c r="A532" s="364"/>
      <c r="B532" s="364"/>
      <c r="C532" s="364"/>
      <c r="D532" s="364"/>
      <c r="E532" s="364"/>
      <c r="F532" s="364"/>
      <c r="G532" s="364"/>
      <c r="H532" s="364"/>
      <c r="I532" s="364"/>
      <c r="J532" s="364"/>
      <c r="K532" s="364"/>
      <c r="L532" s="364"/>
      <c r="M532" s="364"/>
      <c r="N532" s="364"/>
      <c r="O532" s="364"/>
      <c r="P532" s="364"/>
      <c r="Q532" s="364"/>
      <c r="R532" s="364"/>
      <c r="S532" s="364"/>
      <c r="T532" s="364"/>
      <c r="U532" s="364"/>
      <c r="V532" s="364"/>
      <c r="W532" s="364"/>
      <c r="X532" s="364"/>
      <c r="Y532" s="364"/>
      <c r="Z532" s="364"/>
    </row>
    <row r="533" spans="1:26" ht="15.75" customHeight="1" x14ac:dyDescent="0.25">
      <c r="A533" s="364"/>
      <c r="B533" s="364"/>
      <c r="C533" s="364"/>
      <c r="D533" s="364"/>
      <c r="E533" s="364"/>
      <c r="F533" s="364"/>
      <c r="G533" s="364"/>
      <c r="H533" s="364"/>
      <c r="I533" s="364"/>
      <c r="J533" s="364"/>
      <c r="K533" s="364"/>
      <c r="L533" s="364"/>
      <c r="M533" s="364"/>
      <c r="N533" s="364"/>
      <c r="O533" s="364"/>
      <c r="P533" s="364"/>
      <c r="Q533" s="364"/>
      <c r="R533" s="364"/>
      <c r="S533" s="364"/>
      <c r="T533" s="364"/>
      <c r="U533" s="364"/>
      <c r="V533" s="364"/>
      <c r="W533" s="364"/>
      <c r="X533" s="364"/>
      <c r="Y533" s="364"/>
      <c r="Z533" s="364"/>
    </row>
    <row r="534" spans="1:26" ht="15.75" customHeight="1" x14ac:dyDescent="0.25">
      <c r="A534" s="364"/>
      <c r="B534" s="364"/>
      <c r="C534" s="364"/>
      <c r="D534" s="364"/>
      <c r="E534" s="364"/>
      <c r="F534" s="364"/>
      <c r="G534" s="364"/>
      <c r="H534" s="364"/>
      <c r="I534" s="364"/>
      <c r="J534" s="364"/>
      <c r="K534" s="364"/>
      <c r="L534" s="364"/>
      <c r="M534" s="364"/>
      <c r="N534" s="364"/>
      <c r="O534" s="364"/>
      <c r="P534" s="364"/>
      <c r="Q534" s="364"/>
      <c r="R534" s="364"/>
      <c r="S534" s="364"/>
      <c r="T534" s="364"/>
      <c r="U534" s="364"/>
      <c r="V534" s="364"/>
      <c r="W534" s="364"/>
      <c r="X534" s="364"/>
      <c r="Y534" s="364"/>
      <c r="Z534" s="364"/>
    </row>
    <row r="535" spans="1:26" ht="15.75" customHeight="1" x14ac:dyDescent="0.25">
      <c r="A535" s="364"/>
      <c r="B535" s="364"/>
      <c r="C535" s="364"/>
      <c r="D535" s="364"/>
      <c r="E535" s="364"/>
      <c r="F535" s="364"/>
      <c r="G535" s="364"/>
      <c r="H535" s="364"/>
      <c r="I535" s="364"/>
      <c r="J535" s="364"/>
      <c r="K535" s="364"/>
      <c r="L535" s="364"/>
      <c r="M535" s="364"/>
      <c r="N535" s="364"/>
      <c r="O535" s="364"/>
      <c r="P535" s="364"/>
      <c r="Q535" s="364"/>
      <c r="R535" s="364"/>
      <c r="S535" s="364"/>
      <c r="T535" s="364"/>
      <c r="U535" s="364"/>
      <c r="V535" s="364"/>
      <c r="W535" s="364"/>
      <c r="X535" s="364"/>
      <c r="Y535" s="364"/>
      <c r="Z535" s="364"/>
    </row>
    <row r="536" spans="1:26" ht="15.75" customHeight="1" x14ac:dyDescent="0.25">
      <c r="A536" s="364"/>
      <c r="B536" s="364"/>
      <c r="C536" s="364"/>
      <c r="D536" s="364"/>
      <c r="E536" s="364"/>
      <c r="F536" s="364"/>
      <c r="G536" s="364"/>
      <c r="H536" s="364"/>
      <c r="I536" s="364"/>
      <c r="J536" s="364"/>
      <c r="K536" s="364"/>
      <c r="L536" s="364"/>
      <c r="M536" s="364"/>
      <c r="N536" s="364"/>
      <c r="O536" s="364"/>
      <c r="P536" s="364"/>
      <c r="Q536" s="364"/>
      <c r="R536" s="364"/>
      <c r="S536" s="364"/>
      <c r="T536" s="364"/>
      <c r="U536" s="364"/>
      <c r="V536" s="364"/>
      <c r="W536" s="364"/>
      <c r="X536" s="364"/>
      <c r="Y536" s="364"/>
      <c r="Z536" s="364"/>
    </row>
    <row r="537" spans="1:26" ht="15.75" customHeight="1" x14ac:dyDescent="0.25">
      <c r="A537" s="364"/>
      <c r="B537" s="364"/>
      <c r="C537" s="364"/>
      <c r="D537" s="364"/>
      <c r="E537" s="364"/>
      <c r="F537" s="364"/>
      <c r="G537" s="364"/>
      <c r="H537" s="364"/>
      <c r="I537" s="364"/>
      <c r="J537" s="364"/>
      <c r="K537" s="364"/>
      <c r="L537" s="364"/>
      <c r="M537" s="364"/>
      <c r="N537" s="364"/>
      <c r="O537" s="364"/>
      <c r="P537" s="364"/>
      <c r="Q537" s="364"/>
      <c r="R537" s="364"/>
      <c r="S537" s="364"/>
      <c r="T537" s="364"/>
      <c r="U537" s="364"/>
      <c r="V537" s="364"/>
      <c r="W537" s="364"/>
      <c r="X537" s="364"/>
      <c r="Y537" s="364"/>
      <c r="Z537" s="364"/>
    </row>
    <row r="538" spans="1:26" ht="15.75" customHeight="1" x14ac:dyDescent="0.25">
      <c r="A538" s="364"/>
      <c r="B538" s="364"/>
      <c r="C538" s="364"/>
      <c r="D538" s="364"/>
      <c r="E538" s="364"/>
      <c r="F538" s="364"/>
      <c r="G538" s="364"/>
      <c r="H538" s="364"/>
      <c r="I538" s="364"/>
      <c r="J538" s="364"/>
      <c r="K538" s="364"/>
      <c r="L538" s="364"/>
      <c r="M538" s="364"/>
      <c r="N538" s="364"/>
      <c r="O538" s="364"/>
      <c r="P538" s="364"/>
      <c r="Q538" s="364"/>
      <c r="R538" s="364"/>
      <c r="S538" s="364"/>
      <c r="T538" s="364"/>
      <c r="U538" s="364"/>
      <c r="V538" s="364"/>
      <c r="W538" s="364"/>
      <c r="X538" s="364"/>
      <c r="Y538" s="364"/>
      <c r="Z538" s="364"/>
    </row>
    <row r="539" spans="1:26" ht="15.75" customHeight="1" x14ac:dyDescent="0.25">
      <c r="A539" s="364"/>
      <c r="B539" s="364"/>
      <c r="C539" s="364"/>
      <c r="D539" s="364"/>
      <c r="E539" s="364"/>
      <c r="F539" s="364"/>
      <c r="G539" s="364"/>
      <c r="H539" s="364"/>
      <c r="I539" s="364"/>
      <c r="J539" s="364"/>
      <c r="K539" s="364"/>
      <c r="L539" s="364"/>
      <c r="M539" s="364"/>
      <c r="N539" s="364"/>
      <c r="O539" s="364"/>
      <c r="P539" s="364"/>
      <c r="Q539" s="364"/>
      <c r="R539" s="364"/>
      <c r="S539" s="364"/>
      <c r="T539" s="364"/>
      <c r="U539" s="364"/>
      <c r="V539" s="364"/>
      <c r="W539" s="364"/>
      <c r="X539" s="364"/>
      <c r="Y539" s="364"/>
      <c r="Z539" s="364"/>
    </row>
    <row r="540" spans="1:26" ht="15.75" customHeight="1" x14ac:dyDescent="0.25">
      <c r="A540" s="364"/>
      <c r="B540" s="364"/>
      <c r="C540" s="364"/>
      <c r="D540" s="364"/>
      <c r="E540" s="364"/>
      <c r="F540" s="364"/>
      <c r="G540" s="364"/>
      <c r="H540" s="364"/>
      <c r="I540" s="364"/>
      <c r="J540" s="364"/>
      <c r="K540" s="364"/>
      <c r="L540" s="364"/>
      <c r="M540" s="364"/>
      <c r="N540" s="364"/>
      <c r="O540" s="364"/>
      <c r="P540" s="364"/>
      <c r="Q540" s="364"/>
      <c r="R540" s="364"/>
      <c r="S540" s="364"/>
      <c r="T540" s="364"/>
      <c r="U540" s="364"/>
      <c r="V540" s="364"/>
      <c r="W540" s="364"/>
      <c r="X540" s="364"/>
      <c r="Y540" s="364"/>
      <c r="Z540" s="364"/>
    </row>
    <row r="541" spans="1:26" ht="15.75" customHeight="1" x14ac:dyDescent="0.25">
      <c r="A541" s="364"/>
      <c r="B541" s="364"/>
      <c r="C541" s="364"/>
      <c r="D541" s="364"/>
      <c r="E541" s="364"/>
      <c r="F541" s="364"/>
      <c r="G541" s="364"/>
      <c r="H541" s="364"/>
      <c r="I541" s="364"/>
      <c r="J541" s="364"/>
      <c r="K541" s="364"/>
      <c r="L541" s="364"/>
      <c r="M541" s="364"/>
      <c r="N541" s="364"/>
      <c r="O541" s="364"/>
      <c r="P541" s="364"/>
      <c r="Q541" s="364"/>
      <c r="R541" s="364"/>
      <c r="S541" s="364"/>
      <c r="T541" s="364"/>
      <c r="U541" s="364"/>
      <c r="V541" s="364"/>
      <c r="W541" s="364"/>
      <c r="X541" s="364"/>
      <c r="Y541" s="364"/>
      <c r="Z541" s="364"/>
    </row>
    <row r="542" spans="1:26" ht="15.75" customHeight="1" x14ac:dyDescent="0.25">
      <c r="A542" s="364"/>
      <c r="B542" s="364"/>
      <c r="C542" s="364"/>
      <c r="D542" s="364"/>
      <c r="E542" s="364"/>
      <c r="F542" s="364"/>
      <c r="G542" s="364"/>
      <c r="H542" s="364"/>
      <c r="I542" s="364"/>
      <c r="J542" s="364"/>
      <c r="K542" s="364"/>
      <c r="L542" s="364"/>
      <c r="M542" s="364"/>
      <c r="N542" s="364"/>
      <c r="O542" s="364"/>
      <c r="P542" s="364"/>
      <c r="Q542" s="364"/>
      <c r="R542" s="364"/>
      <c r="S542" s="364"/>
      <c r="T542" s="364"/>
      <c r="U542" s="364"/>
      <c r="V542" s="364"/>
      <c r="W542" s="364"/>
      <c r="X542" s="364"/>
      <c r="Y542" s="364"/>
      <c r="Z542" s="364"/>
    </row>
    <row r="543" spans="1:26" ht="15.75" customHeight="1" x14ac:dyDescent="0.25">
      <c r="A543" s="364"/>
      <c r="B543" s="364"/>
      <c r="C543" s="364"/>
      <c r="D543" s="364"/>
      <c r="E543" s="364"/>
      <c r="F543" s="364"/>
      <c r="G543" s="364"/>
      <c r="H543" s="364"/>
      <c r="I543" s="364"/>
      <c r="J543" s="364"/>
      <c r="K543" s="364"/>
      <c r="L543" s="364"/>
      <c r="M543" s="364"/>
      <c r="N543" s="364"/>
      <c r="O543" s="364"/>
      <c r="P543" s="364"/>
      <c r="Q543" s="364"/>
      <c r="R543" s="364"/>
      <c r="S543" s="364"/>
      <c r="T543" s="364"/>
      <c r="U543" s="364"/>
      <c r="V543" s="364"/>
      <c r="W543" s="364"/>
      <c r="X543" s="364"/>
      <c r="Y543" s="364"/>
      <c r="Z543" s="364"/>
    </row>
    <row r="544" spans="1:26" ht="15.75" customHeight="1" x14ac:dyDescent="0.25">
      <c r="A544" s="364"/>
      <c r="B544" s="364"/>
      <c r="C544" s="364"/>
      <c r="D544" s="364"/>
      <c r="E544" s="364"/>
      <c r="F544" s="364"/>
      <c r="G544" s="364"/>
      <c r="H544" s="364"/>
      <c r="I544" s="364"/>
      <c r="J544" s="364"/>
      <c r="K544" s="364"/>
      <c r="L544" s="364"/>
      <c r="M544" s="364"/>
      <c r="N544" s="364"/>
      <c r="O544" s="364"/>
      <c r="P544" s="364"/>
      <c r="Q544" s="364"/>
      <c r="R544" s="364"/>
      <c r="S544" s="364"/>
      <c r="T544" s="364"/>
      <c r="U544" s="364"/>
      <c r="V544" s="364"/>
      <c r="W544" s="364"/>
      <c r="X544" s="364"/>
      <c r="Y544" s="364"/>
      <c r="Z544" s="364"/>
    </row>
    <row r="545" spans="1:26" ht="15.75" customHeight="1" x14ac:dyDescent="0.25">
      <c r="A545" s="364"/>
      <c r="B545" s="364"/>
      <c r="C545" s="364"/>
      <c r="D545" s="364"/>
      <c r="E545" s="364"/>
      <c r="F545" s="364"/>
      <c r="G545" s="364"/>
      <c r="H545" s="364"/>
      <c r="I545" s="364"/>
      <c r="J545" s="364"/>
      <c r="K545" s="364"/>
      <c r="L545" s="364"/>
      <c r="M545" s="364"/>
      <c r="N545" s="364"/>
      <c r="O545" s="364"/>
      <c r="P545" s="364"/>
      <c r="Q545" s="364"/>
      <c r="R545" s="364"/>
      <c r="S545" s="364"/>
      <c r="T545" s="364"/>
      <c r="U545" s="364"/>
      <c r="V545" s="364"/>
      <c r="W545" s="364"/>
      <c r="X545" s="364"/>
      <c r="Y545" s="364"/>
      <c r="Z545" s="364"/>
    </row>
    <row r="546" spans="1:26" ht="15.75" customHeight="1" x14ac:dyDescent="0.25">
      <c r="A546" s="364"/>
      <c r="B546" s="364"/>
      <c r="C546" s="364"/>
      <c r="D546" s="364"/>
      <c r="E546" s="364"/>
      <c r="F546" s="364"/>
      <c r="G546" s="364"/>
      <c r="H546" s="364"/>
      <c r="I546" s="364"/>
      <c r="J546" s="364"/>
      <c r="K546" s="364"/>
      <c r="L546" s="364"/>
      <c r="M546" s="364"/>
      <c r="N546" s="364"/>
      <c r="O546" s="364"/>
      <c r="P546" s="364"/>
      <c r="Q546" s="364"/>
      <c r="R546" s="364"/>
      <c r="S546" s="364"/>
      <c r="T546" s="364"/>
      <c r="U546" s="364"/>
      <c r="V546" s="364"/>
      <c r="W546" s="364"/>
      <c r="X546" s="364"/>
      <c r="Y546" s="364"/>
      <c r="Z546" s="364"/>
    </row>
    <row r="547" spans="1:26" ht="15.75" customHeight="1" x14ac:dyDescent="0.25">
      <c r="A547" s="364"/>
      <c r="B547" s="364"/>
      <c r="C547" s="364"/>
      <c r="D547" s="364"/>
      <c r="E547" s="364"/>
      <c r="F547" s="364"/>
      <c r="G547" s="364"/>
      <c r="H547" s="364"/>
      <c r="I547" s="364"/>
      <c r="J547" s="364"/>
      <c r="K547" s="364"/>
      <c r="L547" s="364"/>
      <c r="M547" s="364"/>
      <c r="N547" s="364"/>
      <c r="O547" s="364"/>
      <c r="P547" s="364"/>
      <c r="Q547" s="364"/>
      <c r="R547" s="364"/>
      <c r="S547" s="364"/>
      <c r="T547" s="364"/>
      <c r="U547" s="364"/>
      <c r="V547" s="364"/>
      <c r="W547" s="364"/>
      <c r="X547" s="364"/>
      <c r="Y547" s="364"/>
      <c r="Z547" s="364"/>
    </row>
    <row r="548" spans="1:26" ht="15.75" customHeight="1" x14ac:dyDescent="0.25">
      <c r="A548" s="364"/>
      <c r="B548" s="364"/>
      <c r="C548" s="364"/>
      <c r="D548" s="364"/>
      <c r="E548" s="364"/>
      <c r="F548" s="364"/>
      <c r="G548" s="364"/>
      <c r="H548" s="364"/>
      <c r="I548" s="364"/>
      <c r="J548" s="364"/>
      <c r="K548" s="364"/>
      <c r="L548" s="364"/>
      <c r="M548" s="364"/>
      <c r="N548" s="364"/>
      <c r="O548" s="364"/>
      <c r="P548" s="364"/>
      <c r="Q548" s="364"/>
      <c r="R548" s="364"/>
      <c r="S548" s="364"/>
      <c r="T548" s="364"/>
      <c r="U548" s="364"/>
      <c r="V548" s="364"/>
      <c r="W548" s="364"/>
      <c r="X548" s="364"/>
      <c r="Y548" s="364"/>
      <c r="Z548" s="364"/>
    </row>
    <row r="549" spans="1:26" ht="15.75" customHeight="1" x14ac:dyDescent="0.25">
      <c r="A549" s="364"/>
      <c r="B549" s="364"/>
      <c r="C549" s="364"/>
      <c r="D549" s="364"/>
      <c r="E549" s="364"/>
      <c r="F549" s="364"/>
      <c r="G549" s="364"/>
      <c r="H549" s="364"/>
      <c r="I549" s="364"/>
      <c r="J549" s="364"/>
      <c r="K549" s="364"/>
      <c r="L549" s="364"/>
      <c r="M549" s="364"/>
      <c r="N549" s="364"/>
      <c r="O549" s="364"/>
      <c r="P549" s="364"/>
      <c r="Q549" s="364"/>
      <c r="R549" s="364"/>
      <c r="S549" s="364"/>
      <c r="T549" s="364"/>
      <c r="U549" s="364"/>
      <c r="V549" s="364"/>
      <c r="W549" s="364"/>
      <c r="X549" s="364"/>
      <c r="Y549" s="364"/>
      <c r="Z549" s="364"/>
    </row>
    <row r="550" spans="1:26" ht="15.75" customHeight="1" x14ac:dyDescent="0.25">
      <c r="A550" s="364"/>
      <c r="B550" s="364"/>
      <c r="C550" s="364"/>
      <c r="D550" s="364"/>
      <c r="E550" s="364"/>
      <c r="F550" s="364"/>
      <c r="G550" s="364"/>
      <c r="H550" s="364"/>
      <c r="I550" s="364"/>
      <c r="J550" s="364"/>
      <c r="K550" s="364"/>
      <c r="L550" s="364"/>
      <c r="M550" s="364"/>
      <c r="N550" s="364"/>
      <c r="O550" s="364"/>
      <c r="P550" s="364"/>
      <c r="Q550" s="364"/>
      <c r="R550" s="364"/>
      <c r="S550" s="364"/>
      <c r="T550" s="364"/>
      <c r="U550" s="364"/>
      <c r="V550" s="364"/>
      <c r="W550" s="364"/>
      <c r="X550" s="364"/>
      <c r="Y550" s="364"/>
      <c r="Z550" s="364"/>
    </row>
    <row r="551" spans="1:26" ht="15.75" customHeight="1" x14ac:dyDescent="0.25">
      <c r="A551" s="364"/>
      <c r="B551" s="364"/>
      <c r="C551" s="364"/>
      <c r="D551" s="364"/>
      <c r="E551" s="364"/>
      <c r="F551" s="364"/>
      <c r="G551" s="364"/>
      <c r="H551" s="364"/>
      <c r="I551" s="364"/>
      <c r="J551" s="364"/>
      <c r="K551" s="364"/>
      <c r="L551" s="364"/>
      <c r="M551" s="364"/>
      <c r="N551" s="364"/>
      <c r="O551" s="364"/>
      <c r="P551" s="364"/>
      <c r="Q551" s="364"/>
      <c r="R551" s="364"/>
      <c r="S551" s="364"/>
      <c r="T551" s="364"/>
      <c r="U551" s="364"/>
      <c r="V551" s="364"/>
      <c r="W551" s="364"/>
      <c r="X551" s="364"/>
      <c r="Y551" s="364"/>
      <c r="Z551" s="364"/>
    </row>
    <row r="552" spans="1:26" ht="15.75" customHeight="1" x14ac:dyDescent="0.25">
      <c r="A552" s="364"/>
      <c r="B552" s="364"/>
      <c r="C552" s="364"/>
      <c r="D552" s="364"/>
      <c r="E552" s="364"/>
      <c r="F552" s="364"/>
      <c r="G552" s="364"/>
      <c r="H552" s="364"/>
      <c r="I552" s="364"/>
      <c r="J552" s="364"/>
      <c r="K552" s="364"/>
      <c r="L552" s="364"/>
      <c r="M552" s="364"/>
      <c r="N552" s="364"/>
      <c r="O552" s="364"/>
      <c r="P552" s="364"/>
      <c r="Q552" s="364"/>
      <c r="R552" s="364"/>
      <c r="S552" s="364"/>
      <c r="T552" s="364"/>
      <c r="U552" s="364"/>
      <c r="V552" s="364"/>
      <c r="W552" s="364"/>
      <c r="X552" s="364"/>
      <c r="Y552" s="364"/>
      <c r="Z552" s="364"/>
    </row>
    <row r="553" spans="1:26" ht="15.75" customHeight="1" x14ac:dyDescent="0.25">
      <c r="A553" s="364"/>
      <c r="B553" s="364"/>
      <c r="C553" s="364"/>
      <c r="D553" s="364"/>
      <c r="E553" s="364"/>
      <c r="F553" s="364"/>
      <c r="G553" s="364"/>
      <c r="H553" s="364"/>
      <c r="I553" s="364"/>
      <c r="J553" s="364"/>
      <c r="K553" s="364"/>
      <c r="L553" s="364"/>
      <c r="M553" s="364"/>
      <c r="N553" s="364"/>
      <c r="O553" s="364"/>
      <c r="P553" s="364"/>
      <c r="Q553" s="364"/>
      <c r="R553" s="364"/>
      <c r="S553" s="364"/>
      <c r="T553" s="364"/>
      <c r="U553" s="364"/>
      <c r="V553" s="364"/>
      <c r="W553" s="364"/>
      <c r="X553" s="364"/>
      <c r="Y553" s="364"/>
      <c r="Z553" s="364"/>
    </row>
    <row r="554" spans="1:26" ht="15.75" customHeight="1" x14ac:dyDescent="0.25">
      <c r="A554" s="364"/>
      <c r="B554" s="364"/>
      <c r="C554" s="364"/>
      <c r="D554" s="364"/>
      <c r="E554" s="364"/>
      <c r="F554" s="364"/>
      <c r="G554" s="364"/>
      <c r="H554" s="364"/>
      <c r="I554" s="364"/>
      <c r="J554" s="364"/>
      <c r="K554" s="364"/>
      <c r="L554" s="364"/>
      <c r="M554" s="364"/>
      <c r="N554" s="364"/>
      <c r="O554" s="364"/>
      <c r="P554" s="364"/>
      <c r="Q554" s="364"/>
      <c r="R554" s="364"/>
      <c r="S554" s="364"/>
      <c r="T554" s="364"/>
      <c r="U554" s="364"/>
      <c r="V554" s="364"/>
      <c r="W554" s="364"/>
      <c r="X554" s="364"/>
      <c r="Y554" s="364"/>
      <c r="Z554" s="364"/>
    </row>
    <row r="555" spans="1:26" ht="15.75" customHeight="1" x14ac:dyDescent="0.25">
      <c r="A555" s="364"/>
      <c r="B555" s="364"/>
      <c r="C555" s="364"/>
      <c r="D555" s="364"/>
      <c r="E555" s="364"/>
      <c r="F555" s="364"/>
      <c r="G555" s="364"/>
      <c r="H555" s="364"/>
      <c r="I555" s="364"/>
      <c r="J555" s="364"/>
      <c r="K555" s="364"/>
      <c r="L555" s="364"/>
      <c r="M555" s="364"/>
      <c r="N555" s="364"/>
      <c r="O555" s="364"/>
      <c r="P555" s="364"/>
      <c r="Q555" s="364"/>
      <c r="R555" s="364"/>
      <c r="S555" s="364"/>
      <c r="T555" s="364"/>
      <c r="U555" s="364"/>
      <c r="V555" s="364"/>
      <c r="W555" s="364"/>
      <c r="X555" s="364"/>
      <c r="Y555" s="364"/>
      <c r="Z555" s="364"/>
    </row>
    <row r="556" spans="1:26" ht="15.75" customHeight="1" x14ac:dyDescent="0.25">
      <c r="A556" s="364"/>
      <c r="B556" s="364"/>
      <c r="C556" s="364"/>
      <c r="D556" s="364"/>
      <c r="E556" s="364"/>
      <c r="F556" s="364"/>
      <c r="G556" s="364"/>
      <c r="H556" s="364"/>
      <c r="I556" s="364"/>
      <c r="J556" s="364"/>
      <c r="K556" s="364"/>
      <c r="L556" s="364"/>
      <c r="M556" s="364"/>
      <c r="N556" s="364"/>
      <c r="O556" s="364"/>
      <c r="P556" s="364"/>
      <c r="Q556" s="364"/>
      <c r="R556" s="364"/>
      <c r="S556" s="364"/>
      <c r="T556" s="364"/>
      <c r="U556" s="364"/>
      <c r="V556" s="364"/>
      <c r="W556" s="364"/>
      <c r="X556" s="364"/>
      <c r="Y556" s="364"/>
      <c r="Z556" s="364"/>
    </row>
    <row r="557" spans="1:26" ht="15.75" customHeight="1" x14ac:dyDescent="0.25">
      <c r="A557" s="364"/>
      <c r="B557" s="364"/>
      <c r="C557" s="364"/>
      <c r="D557" s="364"/>
      <c r="E557" s="364"/>
      <c r="F557" s="364"/>
      <c r="G557" s="364"/>
      <c r="H557" s="364"/>
      <c r="I557" s="364"/>
      <c r="J557" s="364"/>
      <c r="K557" s="364"/>
      <c r="L557" s="364"/>
      <c r="M557" s="364"/>
      <c r="N557" s="364"/>
      <c r="O557" s="364"/>
      <c r="P557" s="364"/>
      <c r="Q557" s="364"/>
      <c r="R557" s="364"/>
      <c r="S557" s="364"/>
      <c r="T557" s="364"/>
      <c r="U557" s="364"/>
      <c r="V557" s="364"/>
      <c r="W557" s="364"/>
      <c r="X557" s="364"/>
      <c r="Y557" s="364"/>
      <c r="Z557" s="364"/>
    </row>
    <row r="558" spans="1:26" ht="15.75" customHeight="1" x14ac:dyDescent="0.25">
      <c r="A558" s="364"/>
      <c r="B558" s="364"/>
      <c r="C558" s="364"/>
      <c r="D558" s="364"/>
      <c r="E558" s="364"/>
      <c r="F558" s="364"/>
      <c r="G558" s="364"/>
      <c r="H558" s="364"/>
      <c r="I558" s="364"/>
      <c r="J558" s="364"/>
      <c r="K558" s="364"/>
      <c r="L558" s="364"/>
      <c r="M558" s="364"/>
      <c r="N558" s="364"/>
      <c r="O558" s="364"/>
      <c r="P558" s="364"/>
      <c r="Q558" s="364"/>
      <c r="R558" s="364"/>
      <c r="S558" s="364"/>
      <c r="T558" s="364"/>
      <c r="U558" s="364"/>
      <c r="V558" s="364"/>
      <c r="W558" s="364"/>
      <c r="X558" s="364"/>
      <c r="Y558" s="364"/>
      <c r="Z558" s="364"/>
    </row>
    <row r="559" spans="1:26" ht="15.75" customHeight="1" x14ac:dyDescent="0.25">
      <c r="A559" s="364"/>
      <c r="B559" s="364"/>
      <c r="C559" s="364"/>
      <c r="D559" s="364"/>
      <c r="E559" s="364"/>
      <c r="F559" s="364"/>
      <c r="G559" s="364"/>
      <c r="H559" s="364"/>
      <c r="I559" s="364"/>
      <c r="J559" s="364"/>
      <c r="K559" s="364"/>
      <c r="L559" s="364"/>
      <c r="M559" s="364"/>
      <c r="N559" s="364"/>
      <c r="O559" s="364"/>
      <c r="P559" s="364"/>
      <c r="Q559" s="364"/>
      <c r="R559" s="364"/>
      <c r="S559" s="364"/>
      <c r="T559" s="364"/>
      <c r="U559" s="364"/>
      <c r="V559" s="364"/>
      <c r="W559" s="364"/>
      <c r="X559" s="364"/>
      <c r="Y559" s="364"/>
      <c r="Z559" s="364"/>
    </row>
    <row r="560" spans="1:26" ht="15.75" customHeight="1" x14ac:dyDescent="0.25">
      <c r="A560" s="364"/>
      <c r="B560" s="364"/>
      <c r="C560" s="364"/>
      <c r="D560" s="364"/>
      <c r="E560" s="364"/>
      <c r="F560" s="364"/>
      <c r="G560" s="364"/>
      <c r="H560" s="364"/>
      <c r="I560" s="364"/>
      <c r="J560" s="364"/>
      <c r="K560" s="364"/>
      <c r="L560" s="364"/>
      <c r="M560" s="364"/>
      <c r="N560" s="364"/>
      <c r="O560" s="364"/>
      <c r="P560" s="364"/>
      <c r="Q560" s="364"/>
      <c r="R560" s="364"/>
      <c r="S560" s="364"/>
      <c r="T560" s="364"/>
      <c r="U560" s="364"/>
      <c r="V560" s="364"/>
      <c r="W560" s="364"/>
      <c r="X560" s="364"/>
      <c r="Y560" s="364"/>
      <c r="Z560" s="364"/>
    </row>
    <row r="561" spans="1:26" ht="15.75" customHeight="1" x14ac:dyDescent="0.25">
      <c r="A561" s="364"/>
      <c r="B561" s="364"/>
      <c r="C561" s="364"/>
      <c r="D561" s="364"/>
      <c r="E561" s="364"/>
      <c r="F561" s="364"/>
      <c r="G561" s="364"/>
      <c r="H561" s="364"/>
      <c r="I561" s="364"/>
      <c r="J561" s="364"/>
      <c r="K561" s="364"/>
      <c r="L561" s="364"/>
      <c r="M561" s="364"/>
      <c r="N561" s="364"/>
      <c r="O561" s="364"/>
      <c r="P561" s="364"/>
      <c r="Q561" s="364"/>
      <c r="R561" s="364"/>
      <c r="S561" s="364"/>
      <c r="T561" s="364"/>
      <c r="U561" s="364"/>
      <c r="V561" s="364"/>
      <c r="W561" s="364"/>
      <c r="X561" s="364"/>
      <c r="Y561" s="364"/>
      <c r="Z561" s="364"/>
    </row>
    <row r="562" spans="1:26" ht="15.75" customHeight="1" x14ac:dyDescent="0.25">
      <c r="A562" s="364"/>
      <c r="B562" s="364"/>
      <c r="C562" s="364"/>
      <c r="D562" s="364"/>
      <c r="E562" s="364"/>
      <c r="F562" s="364"/>
      <c r="G562" s="364"/>
      <c r="H562" s="364"/>
      <c r="I562" s="364"/>
      <c r="J562" s="364"/>
      <c r="K562" s="364"/>
      <c r="L562" s="364"/>
      <c r="M562" s="364"/>
      <c r="N562" s="364"/>
      <c r="O562" s="364"/>
      <c r="P562" s="364"/>
      <c r="Q562" s="364"/>
      <c r="R562" s="364"/>
      <c r="S562" s="364"/>
      <c r="T562" s="364"/>
      <c r="U562" s="364"/>
      <c r="V562" s="364"/>
      <c r="W562" s="364"/>
      <c r="X562" s="364"/>
      <c r="Y562" s="364"/>
      <c r="Z562" s="364"/>
    </row>
    <row r="563" spans="1:26" ht="15.75" customHeight="1" x14ac:dyDescent="0.25">
      <c r="A563" s="364"/>
      <c r="B563" s="364"/>
      <c r="C563" s="364"/>
      <c r="D563" s="364"/>
      <c r="E563" s="364"/>
      <c r="F563" s="364"/>
      <c r="G563" s="364"/>
      <c r="H563" s="364"/>
      <c r="I563" s="364"/>
      <c r="J563" s="364"/>
      <c r="K563" s="364"/>
      <c r="L563" s="364"/>
      <c r="M563" s="364"/>
      <c r="N563" s="364"/>
      <c r="O563" s="364"/>
      <c r="P563" s="364"/>
      <c r="Q563" s="364"/>
      <c r="R563" s="364"/>
      <c r="S563" s="364"/>
      <c r="T563" s="364"/>
      <c r="U563" s="364"/>
      <c r="V563" s="364"/>
      <c r="W563" s="364"/>
      <c r="X563" s="364"/>
      <c r="Y563" s="364"/>
      <c r="Z563" s="364"/>
    </row>
    <row r="564" spans="1:26" ht="15.75" customHeight="1" x14ac:dyDescent="0.25">
      <c r="A564" s="364"/>
      <c r="B564" s="364"/>
      <c r="C564" s="364"/>
      <c r="D564" s="364"/>
      <c r="E564" s="364"/>
      <c r="F564" s="364"/>
      <c r="G564" s="364"/>
      <c r="H564" s="364"/>
      <c r="I564" s="364"/>
      <c r="J564" s="364"/>
      <c r="K564" s="364"/>
      <c r="L564" s="364"/>
      <c r="M564" s="364"/>
      <c r="N564" s="364"/>
      <c r="O564" s="364"/>
      <c r="P564" s="364"/>
      <c r="Q564" s="364"/>
      <c r="R564" s="364"/>
      <c r="S564" s="364"/>
      <c r="T564" s="364"/>
      <c r="U564" s="364"/>
      <c r="V564" s="364"/>
      <c r="W564" s="364"/>
      <c r="X564" s="364"/>
      <c r="Y564" s="364"/>
      <c r="Z564" s="364"/>
    </row>
    <row r="565" spans="1:26" ht="15.75" customHeight="1" x14ac:dyDescent="0.25">
      <c r="A565" s="364"/>
      <c r="B565" s="364"/>
      <c r="C565" s="364"/>
      <c r="D565" s="364"/>
      <c r="E565" s="364"/>
      <c r="F565" s="364"/>
      <c r="G565" s="364"/>
      <c r="H565" s="364"/>
      <c r="I565" s="364"/>
      <c r="J565" s="364"/>
      <c r="K565" s="364"/>
      <c r="L565" s="364"/>
      <c r="M565" s="364"/>
      <c r="N565" s="364"/>
      <c r="O565" s="364"/>
      <c r="P565" s="364"/>
      <c r="Q565" s="364"/>
      <c r="R565" s="364"/>
      <c r="S565" s="364"/>
      <c r="T565" s="364"/>
      <c r="U565" s="364"/>
      <c r="V565" s="364"/>
      <c r="W565" s="364"/>
      <c r="X565" s="364"/>
      <c r="Y565" s="364"/>
      <c r="Z565" s="364"/>
    </row>
    <row r="566" spans="1:26" ht="15.75" customHeight="1" x14ac:dyDescent="0.25">
      <c r="A566" s="364"/>
      <c r="B566" s="364"/>
      <c r="C566" s="364"/>
      <c r="D566" s="364"/>
      <c r="E566" s="364"/>
      <c r="F566" s="364"/>
      <c r="G566" s="364"/>
      <c r="H566" s="364"/>
      <c r="I566" s="364"/>
      <c r="J566" s="364"/>
      <c r="K566" s="364"/>
      <c r="L566" s="364"/>
      <c r="M566" s="364"/>
      <c r="N566" s="364"/>
      <c r="O566" s="364"/>
      <c r="P566" s="364"/>
      <c r="Q566" s="364"/>
      <c r="R566" s="364"/>
      <c r="S566" s="364"/>
      <c r="T566" s="364"/>
      <c r="U566" s="364"/>
      <c r="V566" s="364"/>
      <c r="W566" s="364"/>
      <c r="X566" s="364"/>
      <c r="Y566" s="364"/>
      <c r="Z566" s="364"/>
    </row>
    <row r="567" spans="1:26" ht="15.75" customHeight="1" x14ac:dyDescent="0.25">
      <c r="A567" s="364"/>
      <c r="B567" s="364"/>
      <c r="C567" s="364"/>
      <c r="D567" s="364"/>
      <c r="E567" s="364"/>
      <c r="F567" s="364"/>
      <c r="G567" s="364"/>
      <c r="H567" s="364"/>
      <c r="I567" s="364"/>
      <c r="J567" s="364"/>
      <c r="K567" s="364"/>
      <c r="L567" s="364"/>
      <c r="M567" s="364"/>
      <c r="N567" s="364"/>
      <c r="O567" s="364"/>
      <c r="P567" s="364"/>
      <c r="Q567" s="364"/>
      <c r="R567" s="364"/>
      <c r="S567" s="364"/>
      <c r="T567" s="364"/>
      <c r="U567" s="364"/>
      <c r="V567" s="364"/>
      <c r="W567" s="364"/>
      <c r="X567" s="364"/>
      <c r="Y567" s="364"/>
      <c r="Z567" s="364"/>
    </row>
    <row r="568" spans="1:26" ht="15.75" customHeight="1" x14ac:dyDescent="0.25">
      <c r="A568" s="364"/>
      <c r="B568" s="364"/>
      <c r="C568" s="364"/>
      <c r="D568" s="364"/>
      <c r="E568" s="364"/>
      <c r="F568" s="364"/>
      <c r="G568" s="364"/>
      <c r="H568" s="364"/>
      <c r="I568" s="364"/>
      <c r="J568" s="364"/>
      <c r="K568" s="364"/>
      <c r="L568" s="364"/>
      <c r="M568" s="364"/>
      <c r="N568" s="364"/>
      <c r="O568" s="364"/>
      <c r="P568" s="364"/>
      <c r="Q568" s="364"/>
      <c r="R568" s="364"/>
      <c r="S568" s="364"/>
      <c r="T568" s="364"/>
      <c r="U568" s="364"/>
      <c r="V568" s="364"/>
      <c r="W568" s="364"/>
      <c r="X568" s="364"/>
      <c r="Y568" s="364"/>
      <c r="Z568" s="364"/>
    </row>
    <row r="569" spans="1:26" ht="15.75" customHeight="1" x14ac:dyDescent="0.25">
      <c r="A569" s="364"/>
      <c r="B569" s="364"/>
      <c r="C569" s="364"/>
      <c r="D569" s="364"/>
      <c r="E569" s="364"/>
      <c r="F569" s="364"/>
      <c r="G569" s="364"/>
      <c r="H569" s="364"/>
      <c r="I569" s="364"/>
      <c r="J569" s="364"/>
      <c r="K569" s="364"/>
      <c r="L569" s="364"/>
      <c r="M569" s="364"/>
      <c r="N569" s="364"/>
      <c r="O569" s="364"/>
      <c r="P569" s="364"/>
      <c r="Q569" s="364"/>
      <c r="R569" s="364"/>
      <c r="S569" s="364"/>
      <c r="T569" s="364"/>
      <c r="U569" s="364"/>
      <c r="V569" s="364"/>
      <c r="W569" s="364"/>
      <c r="X569" s="364"/>
      <c r="Y569" s="364"/>
      <c r="Z569" s="364"/>
    </row>
    <row r="570" spans="1:26" ht="15.75" customHeight="1" x14ac:dyDescent="0.25">
      <c r="A570" s="364"/>
      <c r="B570" s="364"/>
      <c r="C570" s="364"/>
      <c r="D570" s="364"/>
      <c r="E570" s="364"/>
      <c r="F570" s="364"/>
      <c r="G570" s="364"/>
      <c r="H570" s="364"/>
      <c r="I570" s="364"/>
      <c r="J570" s="364"/>
      <c r="K570" s="364"/>
      <c r="L570" s="364"/>
      <c r="M570" s="364"/>
      <c r="N570" s="364"/>
      <c r="O570" s="364"/>
      <c r="P570" s="364"/>
      <c r="Q570" s="364"/>
      <c r="R570" s="364"/>
      <c r="S570" s="364"/>
      <c r="T570" s="364"/>
      <c r="U570" s="364"/>
      <c r="V570" s="364"/>
      <c r="W570" s="364"/>
      <c r="X570" s="364"/>
      <c r="Y570" s="364"/>
      <c r="Z570" s="364"/>
    </row>
    <row r="571" spans="1:26" ht="15.75" customHeight="1" x14ac:dyDescent="0.25">
      <c r="A571" s="364"/>
      <c r="B571" s="364"/>
      <c r="C571" s="364"/>
      <c r="D571" s="364"/>
      <c r="E571" s="364"/>
      <c r="F571" s="364"/>
      <c r="G571" s="364"/>
      <c r="H571" s="364"/>
      <c r="I571" s="364"/>
      <c r="J571" s="364"/>
      <c r="K571" s="364"/>
      <c r="L571" s="364"/>
      <c r="M571" s="364"/>
      <c r="N571" s="364"/>
      <c r="O571" s="364"/>
      <c r="P571" s="364"/>
      <c r="Q571" s="364"/>
      <c r="R571" s="364"/>
      <c r="S571" s="364"/>
      <c r="T571" s="364"/>
      <c r="U571" s="364"/>
      <c r="V571" s="364"/>
      <c r="W571" s="364"/>
      <c r="X571" s="364"/>
      <c r="Y571" s="364"/>
      <c r="Z571" s="364"/>
    </row>
    <row r="572" spans="1:26" ht="15.75" customHeight="1" x14ac:dyDescent="0.25">
      <c r="A572" s="364"/>
      <c r="B572" s="364"/>
      <c r="C572" s="364"/>
      <c r="D572" s="364"/>
      <c r="E572" s="364"/>
      <c r="F572" s="364"/>
      <c r="G572" s="364"/>
      <c r="H572" s="364"/>
      <c r="I572" s="364"/>
      <c r="J572" s="364"/>
      <c r="K572" s="364"/>
      <c r="L572" s="364"/>
      <c r="M572" s="364"/>
      <c r="N572" s="364"/>
      <c r="O572" s="364"/>
      <c r="P572" s="364"/>
      <c r="Q572" s="364"/>
      <c r="R572" s="364"/>
      <c r="S572" s="364"/>
      <c r="T572" s="364"/>
      <c r="U572" s="364"/>
      <c r="V572" s="364"/>
      <c r="W572" s="364"/>
      <c r="X572" s="364"/>
      <c r="Y572" s="364"/>
      <c r="Z572" s="364"/>
    </row>
    <row r="573" spans="1:26" ht="15.75" customHeight="1" x14ac:dyDescent="0.25">
      <c r="A573" s="364"/>
      <c r="B573" s="364"/>
      <c r="C573" s="364"/>
      <c r="D573" s="364"/>
      <c r="E573" s="364"/>
      <c r="F573" s="364"/>
      <c r="G573" s="364"/>
      <c r="H573" s="364"/>
      <c r="I573" s="364"/>
      <c r="J573" s="364"/>
      <c r="K573" s="364"/>
      <c r="L573" s="364"/>
      <c r="M573" s="364"/>
      <c r="N573" s="364"/>
      <c r="O573" s="364"/>
      <c r="P573" s="364"/>
      <c r="Q573" s="364"/>
      <c r="R573" s="364"/>
      <c r="S573" s="364"/>
      <c r="T573" s="364"/>
      <c r="U573" s="364"/>
      <c r="V573" s="364"/>
      <c r="W573" s="364"/>
      <c r="X573" s="364"/>
      <c r="Y573" s="364"/>
      <c r="Z573" s="364"/>
    </row>
    <row r="574" spans="1:26" ht="15.75" customHeight="1" x14ac:dyDescent="0.25">
      <c r="A574" s="364"/>
      <c r="B574" s="364"/>
      <c r="C574" s="364"/>
      <c r="D574" s="364"/>
      <c r="E574" s="364"/>
      <c r="F574" s="364"/>
      <c r="G574" s="364"/>
      <c r="H574" s="364"/>
      <c r="I574" s="364"/>
      <c r="J574" s="364"/>
      <c r="K574" s="364"/>
      <c r="L574" s="364"/>
      <c r="M574" s="364"/>
      <c r="N574" s="364"/>
      <c r="O574" s="364"/>
      <c r="P574" s="364"/>
      <c r="Q574" s="364"/>
      <c r="R574" s="364"/>
      <c r="S574" s="364"/>
      <c r="T574" s="364"/>
      <c r="U574" s="364"/>
      <c r="V574" s="364"/>
      <c r="W574" s="364"/>
      <c r="X574" s="364"/>
      <c r="Y574" s="364"/>
      <c r="Z574" s="364"/>
    </row>
    <row r="575" spans="1:26" ht="15.75" customHeight="1" x14ac:dyDescent="0.25">
      <c r="A575" s="364"/>
      <c r="B575" s="364"/>
      <c r="C575" s="364"/>
      <c r="D575" s="364"/>
      <c r="E575" s="364"/>
      <c r="F575" s="364"/>
      <c r="G575" s="364"/>
      <c r="H575" s="364"/>
      <c r="I575" s="364"/>
      <c r="J575" s="364"/>
      <c r="K575" s="364"/>
      <c r="L575" s="364"/>
      <c r="M575" s="364"/>
      <c r="N575" s="364"/>
      <c r="O575" s="364"/>
      <c r="P575" s="364"/>
      <c r="Q575" s="364"/>
      <c r="R575" s="364"/>
      <c r="S575" s="364"/>
      <c r="T575" s="364"/>
      <c r="U575" s="364"/>
      <c r="V575" s="364"/>
      <c r="W575" s="364"/>
      <c r="X575" s="364"/>
      <c r="Y575" s="364"/>
      <c r="Z575" s="364"/>
    </row>
    <row r="576" spans="1:26" ht="15.75" customHeight="1" x14ac:dyDescent="0.25">
      <c r="A576" s="364"/>
      <c r="B576" s="364"/>
      <c r="C576" s="364"/>
      <c r="D576" s="364"/>
      <c r="E576" s="364"/>
      <c r="F576" s="364"/>
      <c r="G576" s="364"/>
      <c r="H576" s="364"/>
      <c r="I576" s="364"/>
      <c r="J576" s="364"/>
      <c r="K576" s="364"/>
      <c r="L576" s="364"/>
      <c r="M576" s="364"/>
      <c r="N576" s="364"/>
      <c r="O576" s="364"/>
      <c r="P576" s="364"/>
      <c r="Q576" s="364"/>
      <c r="R576" s="364"/>
      <c r="S576" s="364"/>
      <c r="T576" s="364"/>
      <c r="U576" s="364"/>
      <c r="V576" s="364"/>
      <c r="W576" s="364"/>
      <c r="X576" s="364"/>
      <c r="Y576" s="364"/>
      <c r="Z576" s="364"/>
    </row>
    <row r="577" spans="1:26" ht="15.75" customHeight="1" x14ac:dyDescent="0.25">
      <c r="A577" s="364"/>
      <c r="B577" s="364"/>
      <c r="C577" s="364"/>
      <c r="D577" s="364"/>
      <c r="E577" s="364"/>
      <c r="F577" s="364"/>
      <c r="G577" s="364"/>
      <c r="H577" s="364"/>
      <c r="I577" s="364"/>
      <c r="J577" s="364"/>
      <c r="K577" s="364"/>
      <c r="L577" s="364"/>
      <c r="M577" s="364"/>
      <c r="N577" s="364"/>
      <c r="O577" s="364"/>
      <c r="P577" s="364"/>
      <c r="Q577" s="364"/>
      <c r="R577" s="364"/>
      <c r="S577" s="364"/>
      <c r="T577" s="364"/>
      <c r="U577" s="364"/>
      <c r="V577" s="364"/>
      <c r="W577" s="364"/>
      <c r="X577" s="364"/>
      <c r="Y577" s="364"/>
      <c r="Z577" s="364"/>
    </row>
    <row r="578" spans="1:26" ht="15.75" customHeight="1" x14ac:dyDescent="0.25">
      <c r="A578" s="364"/>
      <c r="B578" s="364"/>
      <c r="C578" s="364"/>
      <c r="D578" s="364"/>
      <c r="E578" s="364"/>
      <c r="F578" s="364"/>
      <c r="G578" s="364"/>
      <c r="H578" s="364"/>
      <c r="I578" s="364"/>
      <c r="J578" s="364"/>
      <c r="K578" s="364"/>
      <c r="L578" s="364"/>
      <c r="M578" s="364"/>
      <c r="N578" s="364"/>
      <c r="O578" s="364"/>
      <c r="P578" s="364"/>
      <c r="Q578" s="364"/>
      <c r="R578" s="364"/>
      <c r="S578" s="364"/>
      <c r="T578" s="364"/>
      <c r="U578" s="364"/>
      <c r="V578" s="364"/>
      <c r="W578" s="364"/>
      <c r="X578" s="364"/>
      <c r="Y578" s="364"/>
      <c r="Z578" s="364"/>
    </row>
    <row r="579" spans="1:26" ht="15.75" customHeight="1" x14ac:dyDescent="0.25">
      <c r="A579" s="364"/>
      <c r="B579" s="364"/>
      <c r="C579" s="364"/>
      <c r="D579" s="364"/>
      <c r="E579" s="364"/>
      <c r="F579" s="364"/>
      <c r="G579" s="364"/>
      <c r="H579" s="364"/>
      <c r="I579" s="364"/>
      <c r="J579" s="364"/>
      <c r="K579" s="364"/>
      <c r="L579" s="364"/>
      <c r="M579" s="364"/>
      <c r="N579" s="364"/>
      <c r="O579" s="364"/>
      <c r="P579" s="364"/>
      <c r="Q579" s="364"/>
      <c r="R579" s="364"/>
      <c r="S579" s="364"/>
      <c r="T579" s="364"/>
      <c r="U579" s="364"/>
      <c r="V579" s="364"/>
      <c r="W579" s="364"/>
      <c r="X579" s="364"/>
      <c r="Y579" s="364"/>
      <c r="Z579" s="364"/>
    </row>
    <row r="580" spans="1:26" ht="15.75" customHeight="1" x14ac:dyDescent="0.25">
      <c r="A580" s="364"/>
      <c r="B580" s="364"/>
      <c r="C580" s="364"/>
      <c r="D580" s="364"/>
      <c r="E580" s="364"/>
      <c r="F580" s="364"/>
      <c r="G580" s="364"/>
      <c r="H580" s="364"/>
      <c r="I580" s="364"/>
      <c r="J580" s="364"/>
      <c r="K580" s="364"/>
      <c r="L580" s="364"/>
      <c r="M580" s="364"/>
      <c r="N580" s="364"/>
      <c r="O580" s="364"/>
      <c r="P580" s="364"/>
      <c r="Q580" s="364"/>
      <c r="R580" s="364"/>
      <c r="S580" s="364"/>
      <c r="T580" s="364"/>
      <c r="U580" s="364"/>
      <c r="V580" s="364"/>
      <c r="W580" s="364"/>
      <c r="X580" s="364"/>
      <c r="Y580" s="364"/>
      <c r="Z580" s="364"/>
    </row>
    <row r="581" spans="1:26" ht="15.75" customHeight="1" x14ac:dyDescent="0.25">
      <c r="A581" s="364"/>
      <c r="B581" s="364"/>
      <c r="C581" s="364"/>
      <c r="D581" s="364"/>
      <c r="E581" s="364"/>
      <c r="F581" s="364"/>
      <c r="G581" s="364"/>
      <c r="H581" s="364"/>
      <c r="I581" s="364"/>
      <c r="J581" s="364"/>
      <c r="K581" s="364"/>
      <c r="L581" s="364"/>
      <c r="M581" s="364"/>
      <c r="N581" s="364"/>
      <c r="O581" s="364"/>
      <c r="P581" s="364"/>
      <c r="Q581" s="364"/>
      <c r="R581" s="364"/>
      <c r="S581" s="364"/>
      <c r="T581" s="364"/>
      <c r="U581" s="364"/>
      <c r="V581" s="364"/>
      <c r="W581" s="364"/>
      <c r="X581" s="364"/>
      <c r="Y581" s="364"/>
      <c r="Z581" s="364"/>
    </row>
    <row r="582" spans="1:26" ht="15.75" customHeight="1" x14ac:dyDescent="0.25">
      <c r="A582" s="364"/>
      <c r="B582" s="364"/>
      <c r="C582" s="364"/>
      <c r="D582" s="364"/>
      <c r="E582" s="364"/>
      <c r="F582" s="364"/>
      <c r="G582" s="364"/>
      <c r="H582" s="364"/>
      <c r="I582" s="364"/>
      <c r="J582" s="364"/>
      <c r="K582" s="364"/>
      <c r="L582" s="364"/>
      <c r="M582" s="364"/>
      <c r="N582" s="364"/>
      <c r="O582" s="364"/>
      <c r="P582" s="364"/>
      <c r="Q582" s="364"/>
      <c r="R582" s="364"/>
      <c r="S582" s="364"/>
      <c r="T582" s="364"/>
      <c r="U582" s="364"/>
      <c r="V582" s="364"/>
      <c r="W582" s="364"/>
      <c r="X582" s="364"/>
      <c r="Y582" s="364"/>
      <c r="Z582" s="364"/>
    </row>
    <row r="583" spans="1:26" ht="15.75" customHeight="1" x14ac:dyDescent="0.25">
      <c r="A583" s="364"/>
      <c r="B583" s="364"/>
      <c r="C583" s="364"/>
      <c r="D583" s="364"/>
      <c r="E583" s="364"/>
      <c r="F583" s="364"/>
      <c r="G583" s="364"/>
      <c r="H583" s="364"/>
      <c r="I583" s="364"/>
      <c r="J583" s="364"/>
      <c r="K583" s="364"/>
      <c r="L583" s="364"/>
      <c r="M583" s="364"/>
      <c r="N583" s="364"/>
      <c r="O583" s="364"/>
      <c r="P583" s="364"/>
      <c r="Q583" s="364"/>
      <c r="R583" s="364"/>
      <c r="S583" s="364"/>
      <c r="T583" s="364"/>
      <c r="U583" s="364"/>
      <c r="V583" s="364"/>
      <c r="W583" s="364"/>
      <c r="X583" s="364"/>
      <c r="Y583" s="364"/>
      <c r="Z583" s="364"/>
    </row>
    <row r="584" spans="1:26" ht="15.75" customHeight="1" x14ac:dyDescent="0.25">
      <c r="A584" s="364"/>
      <c r="B584" s="364"/>
      <c r="C584" s="364"/>
      <c r="D584" s="364"/>
      <c r="E584" s="364"/>
      <c r="F584" s="364"/>
      <c r="G584" s="364"/>
      <c r="H584" s="364"/>
      <c r="I584" s="364"/>
      <c r="J584" s="364"/>
      <c r="K584" s="364"/>
      <c r="L584" s="364"/>
      <c r="M584" s="364"/>
      <c r="N584" s="364"/>
      <c r="O584" s="364"/>
      <c r="P584" s="364"/>
      <c r="Q584" s="364"/>
      <c r="R584" s="364"/>
      <c r="S584" s="364"/>
      <c r="T584" s="364"/>
      <c r="U584" s="364"/>
      <c r="V584" s="364"/>
      <c r="W584" s="364"/>
      <c r="X584" s="364"/>
      <c r="Y584" s="364"/>
      <c r="Z584" s="364"/>
    </row>
    <row r="585" spans="1:26" ht="15.75" customHeight="1" x14ac:dyDescent="0.25">
      <c r="A585" s="364"/>
      <c r="B585" s="364"/>
      <c r="C585" s="364"/>
      <c r="D585" s="364"/>
      <c r="E585" s="364"/>
      <c r="F585" s="364"/>
      <c r="G585" s="364"/>
      <c r="H585" s="364"/>
      <c r="I585" s="364"/>
      <c r="J585" s="364"/>
      <c r="K585" s="364"/>
      <c r="L585" s="364"/>
      <c r="M585" s="364"/>
      <c r="N585" s="364"/>
      <c r="O585" s="364"/>
      <c r="P585" s="364"/>
      <c r="Q585" s="364"/>
      <c r="R585" s="364"/>
      <c r="S585" s="364"/>
      <c r="T585" s="364"/>
      <c r="U585" s="364"/>
      <c r="V585" s="364"/>
      <c r="W585" s="364"/>
      <c r="X585" s="364"/>
      <c r="Y585" s="364"/>
      <c r="Z585" s="364"/>
    </row>
    <row r="586" spans="1:26" ht="15.75" customHeight="1" x14ac:dyDescent="0.25">
      <c r="A586" s="364"/>
      <c r="B586" s="364"/>
      <c r="C586" s="364"/>
      <c r="D586" s="364"/>
      <c r="E586" s="364"/>
      <c r="F586" s="364"/>
      <c r="G586" s="364"/>
      <c r="H586" s="364"/>
      <c r="I586" s="364"/>
      <c r="J586" s="364"/>
      <c r="K586" s="364"/>
      <c r="L586" s="364"/>
      <c r="M586" s="364"/>
      <c r="N586" s="364"/>
      <c r="O586" s="364"/>
      <c r="P586" s="364"/>
      <c r="Q586" s="364"/>
      <c r="R586" s="364"/>
      <c r="S586" s="364"/>
      <c r="T586" s="364"/>
      <c r="U586" s="364"/>
      <c r="V586" s="364"/>
      <c r="W586" s="364"/>
      <c r="X586" s="364"/>
      <c r="Y586" s="364"/>
      <c r="Z586" s="364"/>
    </row>
    <row r="587" spans="1:26" ht="15.75" customHeight="1" x14ac:dyDescent="0.25">
      <c r="A587" s="364"/>
      <c r="B587" s="364"/>
      <c r="C587" s="364"/>
      <c r="D587" s="364"/>
      <c r="E587" s="364"/>
      <c r="F587" s="364"/>
      <c r="G587" s="364"/>
      <c r="H587" s="364"/>
      <c r="I587" s="364"/>
      <c r="J587" s="364"/>
      <c r="K587" s="364"/>
      <c r="L587" s="364"/>
      <c r="M587" s="364"/>
      <c r="N587" s="364"/>
      <c r="O587" s="364"/>
      <c r="P587" s="364"/>
      <c r="Q587" s="364"/>
      <c r="R587" s="364"/>
      <c r="S587" s="364"/>
      <c r="T587" s="364"/>
      <c r="U587" s="364"/>
      <c r="V587" s="364"/>
      <c r="W587" s="364"/>
      <c r="X587" s="364"/>
      <c r="Y587" s="364"/>
      <c r="Z587" s="364"/>
    </row>
    <row r="588" spans="1:26" ht="15.75" customHeight="1" x14ac:dyDescent="0.25">
      <c r="A588" s="364"/>
      <c r="B588" s="364"/>
      <c r="C588" s="364"/>
      <c r="D588" s="364"/>
      <c r="E588" s="364"/>
      <c r="F588" s="364"/>
      <c r="G588" s="364"/>
      <c r="H588" s="364"/>
      <c r="I588" s="364"/>
      <c r="J588" s="364"/>
      <c r="K588" s="364"/>
      <c r="L588" s="364"/>
      <c r="M588" s="364"/>
      <c r="N588" s="364"/>
      <c r="O588" s="364"/>
      <c r="P588" s="364"/>
      <c r="Q588" s="364"/>
      <c r="R588" s="364"/>
      <c r="S588" s="364"/>
      <c r="T588" s="364"/>
      <c r="U588" s="364"/>
      <c r="V588" s="364"/>
      <c r="W588" s="364"/>
      <c r="X588" s="364"/>
      <c r="Y588" s="364"/>
      <c r="Z588" s="364"/>
    </row>
    <row r="589" spans="1:26" ht="15.75" customHeight="1" x14ac:dyDescent="0.25">
      <c r="A589" s="364"/>
      <c r="B589" s="364"/>
      <c r="C589" s="364"/>
      <c r="D589" s="364"/>
      <c r="E589" s="364"/>
      <c r="F589" s="364"/>
      <c r="G589" s="364"/>
      <c r="H589" s="364"/>
      <c r="I589" s="364"/>
      <c r="J589" s="364"/>
      <c r="K589" s="364"/>
      <c r="L589" s="364"/>
      <c r="M589" s="364"/>
      <c r="N589" s="364"/>
      <c r="O589" s="364"/>
      <c r="P589" s="364"/>
      <c r="Q589" s="364"/>
      <c r="R589" s="364"/>
      <c r="S589" s="364"/>
      <c r="T589" s="364"/>
      <c r="U589" s="364"/>
      <c r="V589" s="364"/>
      <c r="W589" s="364"/>
      <c r="X589" s="364"/>
      <c r="Y589" s="364"/>
      <c r="Z589" s="364"/>
    </row>
    <row r="590" spans="1:26" ht="15.75" customHeight="1" x14ac:dyDescent="0.25">
      <c r="A590" s="364"/>
      <c r="B590" s="364"/>
      <c r="C590" s="364"/>
      <c r="D590" s="364"/>
      <c r="E590" s="364"/>
      <c r="F590" s="364"/>
      <c r="G590" s="364"/>
      <c r="H590" s="364"/>
      <c r="I590" s="364"/>
      <c r="J590" s="364"/>
      <c r="K590" s="364"/>
      <c r="L590" s="364"/>
      <c r="M590" s="364"/>
      <c r="N590" s="364"/>
      <c r="O590" s="364"/>
      <c r="P590" s="364"/>
      <c r="Q590" s="364"/>
      <c r="R590" s="364"/>
      <c r="S590" s="364"/>
      <c r="T590" s="364"/>
      <c r="U590" s="364"/>
      <c r="V590" s="364"/>
      <c r="W590" s="364"/>
      <c r="X590" s="364"/>
      <c r="Y590" s="364"/>
      <c r="Z590" s="364"/>
    </row>
    <row r="591" spans="1:26" ht="15.75" customHeight="1" x14ac:dyDescent="0.25">
      <c r="A591" s="364"/>
      <c r="B591" s="364"/>
      <c r="C591" s="364"/>
      <c r="D591" s="364"/>
      <c r="E591" s="364"/>
      <c r="F591" s="364"/>
      <c r="G591" s="364"/>
      <c r="H591" s="364"/>
      <c r="I591" s="364"/>
      <c r="J591" s="364"/>
      <c r="K591" s="364"/>
      <c r="L591" s="364"/>
      <c r="M591" s="364"/>
      <c r="N591" s="364"/>
      <c r="O591" s="364"/>
      <c r="P591" s="364"/>
      <c r="Q591" s="364"/>
      <c r="R591" s="364"/>
      <c r="S591" s="364"/>
      <c r="T591" s="364"/>
      <c r="U591" s="364"/>
      <c r="V591" s="364"/>
      <c r="W591" s="364"/>
      <c r="X591" s="364"/>
      <c r="Y591" s="364"/>
      <c r="Z591" s="364"/>
    </row>
    <row r="592" spans="1:26" ht="15.75" customHeight="1" x14ac:dyDescent="0.25">
      <c r="A592" s="364"/>
      <c r="B592" s="364"/>
      <c r="C592" s="364"/>
      <c r="D592" s="364"/>
      <c r="E592" s="364"/>
      <c r="F592" s="364"/>
      <c r="G592" s="364"/>
      <c r="H592" s="364"/>
      <c r="I592" s="364"/>
      <c r="J592" s="364"/>
      <c r="K592" s="364"/>
      <c r="L592" s="364"/>
      <c r="M592" s="364"/>
      <c r="N592" s="364"/>
      <c r="O592" s="364"/>
      <c r="P592" s="364"/>
      <c r="Q592" s="364"/>
      <c r="R592" s="364"/>
      <c r="S592" s="364"/>
      <c r="T592" s="364"/>
      <c r="U592" s="364"/>
      <c r="V592" s="364"/>
      <c r="W592" s="364"/>
      <c r="X592" s="364"/>
      <c r="Y592" s="364"/>
      <c r="Z592" s="364"/>
    </row>
    <row r="593" spans="1:26" ht="15.75" customHeight="1" x14ac:dyDescent="0.25">
      <c r="A593" s="364"/>
      <c r="B593" s="364"/>
      <c r="C593" s="364"/>
      <c r="D593" s="364"/>
      <c r="E593" s="364"/>
      <c r="F593" s="364"/>
      <c r="G593" s="364"/>
      <c r="H593" s="364"/>
      <c r="I593" s="364"/>
      <c r="J593" s="364"/>
      <c r="K593" s="364"/>
      <c r="L593" s="364"/>
      <c r="M593" s="364"/>
      <c r="N593" s="364"/>
      <c r="O593" s="364"/>
      <c r="P593" s="364"/>
      <c r="Q593" s="364"/>
      <c r="R593" s="364"/>
      <c r="S593" s="364"/>
      <c r="T593" s="364"/>
      <c r="U593" s="364"/>
      <c r="V593" s="364"/>
      <c r="W593" s="364"/>
      <c r="X593" s="364"/>
      <c r="Y593" s="364"/>
      <c r="Z593" s="364"/>
    </row>
    <row r="594" spans="1:26" ht="15.75" customHeight="1" x14ac:dyDescent="0.25">
      <c r="A594" s="364"/>
      <c r="B594" s="364"/>
      <c r="C594" s="364"/>
      <c r="D594" s="364"/>
      <c r="E594" s="364"/>
      <c r="F594" s="364"/>
      <c r="G594" s="364"/>
      <c r="H594" s="364"/>
      <c r="I594" s="364"/>
      <c r="J594" s="364"/>
      <c r="K594" s="364"/>
      <c r="L594" s="364"/>
      <c r="M594" s="364"/>
      <c r="N594" s="364"/>
      <c r="O594" s="364"/>
      <c r="P594" s="364"/>
      <c r="Q594" s="364"/>
      <c r="R594" s="364"/>
      <c r="S594" s="364"/>
      <c r="T594" s="364"/>
      <c r="U594" s="364"/>
      <c r="V594" s="364"/>
      <c r="W594" s="364"/>
      <c r="X594" s="364"/>
      <c r="Y594" s="364"/>
      <c r="Z594" s="364"/>
    </row>
    <row r="595" spans="1:26" ht="15.75" customHeight="1" x14ac:dyDescent="0.25">
      <c r="A595" s="364"/>
      <c r="B595" s="364"/>
      <c r="C595" s="364"/>
      <c r="D595" s="364"/>
      <c r="E595" s="364"/>
      <c r="F595" s="364"/>
      <c r="G595" s="364"/>
      <c r="H595" s="364"/>
      <c r="I595" s="364"/>
      <c r="J595" s="364"/>
      <c r="K595" s="364"/>
      <c r="L595" s="364"/>
      <c r="M595" s="364"/>
      <c r="N595" s="364"/>
      <c r="O595" s="364"/>
      <c r="P595" s="364"/>
      <c r="Q595" s="364"/>
      <c r="R595" s="364"/>
      <c r="S595" s="364"/>
      <c r="T595" s="364"/>
      <c r="U595" s="364"/>
      <c r="V595" s="364"/>
      <c r="W595" s="364"/>
      <c r="X595" s="364"/>
      <c r="Y595" s="364"/>
      <c r="Z595" s="364"/>
    </row>
    <row r="596" spans="1:26" ht="15.75" customHeight="1" x14ac:dyDescent="0.25">
      <c r="A596" s="364"/>
      <c r="B596" s="364"/>
      <c r="C596" s="364"/>
      <c r="D596" s="364"/>
      <c r="E596" s="364"/>
      <c r="F596" s="364"/>
      <c r="G596" s="364"/>
      <c r="H596" s="364"/>
      <c r="I596" s="364"/>
      <c r="J596" s="364"/>
      <c r="K596" s="364"/>
      <c r="L596" s="364"/>
      <c r="M596" s="364"/>
      <c r="N596" s="364"/>
      <c r="O596" s="364"/>
      <c r="P596" s="364"/>
      <c r="Q596" s="364"/>
      <c r="R596" s="364"/>
      <c r="S596" s="364"/>
      <c r="T596" s="364"/>
      <c r="U596" s="364"/>
      <c r="V596" s="364"/>
      <c r="W596" s="364"/>
      <c r="X596" s="364"/>
      <c r="Y596" s="364"/>
      <c r="Z596" s="364"/>
    </row>
    <row r="597" spans="1:26" ht="15.75" customHeight="1" x14ac:dyDescent="0.25">
      <c r="A597" s="364"/>
      <c r="B597" s="364"/>
      <c r="C597" s="364"/>
      <c r="D597" s="364"/>
      <c r="E597" s="364"/>
      <c r="F597" s="364"/>
      <c r="G597" s="364"/>
      <c r="H597" s="364"/>
      <c r="I597" s="364"/>
      <c r="J597" s="364"/>
      <c r="K597" s="364"/>
      <c r="L597" s="364"/>
      <c r="M597" s="364"/>
      <c r="N597" s="364"/>
      <c r="O597" s="364"/>
      <c r="P597" s="364"/>
      <c r="Q597" s="364"/>
      <c r="R597" s="364"/>
      <c r="S597" s="364"/>
      <c r="T597" s="364"/>
      <c r="U597" s="364"/>
      <c r="V597" s="364"/>
      <c r="W597" s="364"/>
      <c r="X597" s="364"/>
      <c r="Y597" s="364"/>
      <c r="Z597" s="364"/>
    </row>
    <row r="598" spans="1:26" ht="15.75" customHeight="1" x14ac:dyDescent="0.25">
      <c r="A598" s="364"/>
      <c r="B598" s="364"/>
      <c r="C598" s="364"/>
      <c r="D598" s="364"/>
      <c r="E598" s="364"/>
      <c r="F598" s="364"/>
      <c r="G598" s="364"/>
      <c r="H598" s="364"/>
      <c r="I598" s="364"/>
      <c r="J598" s="364"/>
      <c r="K598" s="364"/>
      <c r="L598" s="364"/>
      <c r="M598" s="364"/>
      <c r="N598" s="364"/>
      <c r="O598" s="364"/>
      <c r="P598" s="364"/>
      <c r="Q598" s="364"/>
      <c r="R598" s="364"/>
      <c r="S598" s="364"/>
      <c r="T598" s="364"/>
      <c r="U598" s="364"/>
      <c r="V598" s="364"/>
      <c r="W598" s="364"/>
      <c r="X598" s="364"/>
      <c r="Y598" s="364"/>
      <c r="Z598" s="364"/>
    </row>
    <row r="599" spans="1:26" ht="15.75" customHeight="1" x14ac:dyDescent="0.25">
      <c r="A599" s="364"/>
      <c r="B599" s="364"/>
      <c r="C599" s="364"/>
      <c r="D599" s="364"/>
      <c r="E599" s="364"/>
      <c r="F599" s="364"/>
      <c r="G599" s="364"/>
      <c r="H599" s="364"/>
      <c r="I599" s="364"/>
      <c r="J599" s="364"/>
      <c r="K599" s="364"/>
      <c r="L599" s="364"/>
      <c r="M599" s="364"/>
      <c r="N599" s="364"/>
      <c r="O599" s="364"/>
      <c r="P599" s="364"/>
      <c r="Q599" s="364"/>
      <c r="R599" s="364"/>
      <c r="S599" s="364"/>
      <c r="T599" s="364"/>
      <c r="U599" s="364"/>
      <c r="V599" s="364"/>
      <c r="W599" s="364"/>
      <c r="X599" s="364"/>
      <c r="Y599" s="364"/>
      <c r="Z599" s="364"/>
    </row>
    <row r="600" spans="1:26" ht="15.75" customHeight="1" x14ac:dyDescent="0.25">
      <c r="A600" s="364"/>
      <c r="B600" s="364"/>
      <c r="C600" s="364"/>
      <c r="D600" s="364"/>
      <c r="E600" s="364"/>
      <c r="F600" s="364"/>
      <c r="G600" s="364"/>
      <c r="H600" s="364"/>
      <c r="I600" s="364"/>
      <c r="J600" s="364"/>
      <c r="K600" s="364"/>
      <c r="L600" s="364"/>
      <c r="M600" s="364"/>
      <c r="N600" s="364"/>
      <c r="O600" s="364"/>
      <c r="P600" s="364"/>
      <c r="Q600" s="364"/>
      <c r="R600" s="364"/>
      <c r="S600" s="364"/>
      <c r="T600" s="364"/>
      <c r="U600" s="364"/>
      <c r="V600" s="364"/>
      <c r="W600" s="364"/>
      <c r="X600" s="364"/>
      <c r="Y600" s="364"/>
      <c r="Z600" s="364"/>
    </row>
    <row r="601" spans="1:26" ht="15.75" customHeight="1" x14ac:dyDescent="0.25">
      <c r="A601" s="364"/>
      <c r="B601" s="364"/>
      <c r="C601" s="364"/>
      <c r="D601" s="364"/>
      <c r="E601" s="364"/>
      <c r="F601" s="364"/>
      <c r="G601" s="364"/>
      <c r="H601" s="364"/>
      <c r="I601" s="364"/>
      <c r="J601" s="364"/>
      <c r="K601" s="364"/>
      <c r="L601" s="364"/>
      <c r="M601" s="364"/>
      <c r="N601" s="364"/>
      <c r="O601" s="364"/>
      <c r="P601" s="364"/>
      <c r="Q601" s="364"/>
      <c r="R601" s="364"/>
      <c r="S601" s="364"/>
      <c r="T601" s="364"/>
      <c r="U601" s="364"/>
      <c r="V601" s="364"/>
      <c r="W601" s="364"/>
      <c r="X601" s="364"/>
      <c r="Y601" s="364"/>
      <c r="Z601" s="364"/>
    </row>
    <row r="602" spans="1:26" ht="15.75" customHeight="1" x14ac:dyDescent="0.25">
      <c r="A602" s="364"/>
      <c r="B602" s="364"/>
      <c r="C602" s="364"/>
      <c r="D602" s="364"/>
      <c r="E602" s="364"/>
      <c r="F602" s="364"/>
      <c r="G602" s="364"/>
      <c r="H602" s="364"/>
      <c r="I602" s="364"/>
      <c r="J602" s="364"/>
      <c r="K602" s="364"/>
      <c r="L602" s="364"/>
      <c r="M602" s="364"/>
      <c r="N602" s="364"/>
      <c r="O602" s="364"/>
      <c r="P602" s="364"/>
      <c r="Q602" s="364"/>
      <c r="R602" s="364"/>
      <c r="S602" s="364"/>
      <c r="T602" s="364"/>
      <c r="U602" s="364"/>
      <c r="V602" s="364"/>
      <c r="W602" s="364"/>
      <c r="X602" s="364"/>
      <c r="Y602" s="364"/>
      <c r="Z602" s="364"/>
    </row>
    <row r="603" spans="1:26" ht="15.75" customHeight="1" x14ac:dyDescent="0.25">
      <c r="A603" s="364"/>
      <c r="B603" s="364"/>
      <c r="C603" s="364"/>
      <c r="D603" s="364"/>
      <c r="E603" s="364"/>
      <c r="F603" s="364"/>
      <c r="G603" s="364"/>
      <c r="H603" s="364"/>
      <c r="I603" s="364"/>
      <c r="J603" s="364"/>
      <c r="K603" s="364"/>
      <c r="L603" s="364"/>
      <c r="M603" s="364"/>
      <c r="N603" s="364"/>
      <c r="O603" s="364"/>
      <c r="P603" s="364"/>
      <c r="Q603" s="364"/>
      <c r="R603" s="364"/>
      <c r="S603" s="364"/>
      <c r="T603" s="364"/>
      <c r="U603" s="364"/>
      <c r="V603" s="364"/>
      <c r="W603" s="364"/>
      <c r="X603" s="364"/>
      <c r="Y603" s="364"/>
      <c r="Z603" s="364"/>
    </row>
    <row r="604" spans="1:26" ht="15.75" customHeight="1" x14ac:dyDescent="0.25">
      <c r="A604" s="364"/>
      <c r="B604" s="364"/>
      <c r="C604" s="364"/>
      <c r="D604" s="364"/>
      <c r="E604" s="364"/>
      <c r="F604" s="364"/>
      <c r="G604" s="364"/>
      <c r="H604" s="364"/>
      <c r="I604" s="364"/>
      <c r="J604" s="364"/>
      <c r="K604" s="364"/>
      <c r="L604" s="364"/>
      <c r="M604" s="364"/>
      <c r="N604" s="364"/>
      <c r="O604" s="364"/>
      <c r="P604" s="364"/>
      <c r="Q604" s="364"/>
      <c r="R604" s="364"/>
      <c r="S604" s="364"/>
      <c r="T604" s="364"/>
      <c r="U604" s="364"/>
      <c r="V604" s="364"/>
      <c r="W604" s="364"/>
      <c r="X604" s="364"/>
      <c r="Y604" s="364"/>
      <c r="Z604" s="364"/>
    </row>
    <row r="605" spans="1:26" ht="15.75" customHeight="1" x14ac:dyDescent="0.25">
      <c r="A605" s="364"/>
      <c r="B605" s="364"/>
      <c r="C605" s="364"/>
      <c r="D605" s="364"/>
      <c r="E605" s="364"/>
      <c r="F605" s="364"/>
      <c r="G605" s="364"/>
      <c r="H605" s="364"/>
      <c r="I605" s="364"/>
      <c r="J605" s="364"/>
      <c r="K605" s="364"/>
      <c r="L605" s="364"/>
      <c r="M605" s="364"/>
      <c r="N605" s="364"/>
      <c r="O605" s="364"/>
      <c r="P605" s="364"/>
      <c r="Q605" s="364"/>
      <c r="R605" s="364"/>
      <c r="S605" s="364"/>
      <c r="T605" s="364"/>
      <c r="U605" s="364"/>
      <c r="V605" s="364"/>
      <c r="W605" s="364"/>
      <c r="X605" s="364"/>
      <c r="Y605" s="364"/>
      <c r="Z605" s="364"/>
    </row>
    <row r="606" spans="1:26" ht="15.75" customHeight="1" x14ac:dyDescent="0.25">
      <c r="A606" s="364"/>
      <c r="B606" s="364"/>
      <c r="C606" s="364"/>
      <c r="D606" s="364"/>
      <c r="E606" s="364"/>
      <c r="F606" s="364"/>
      <c r="G606" s="364"/>
      <c r="H606" s="364"/>
      <c r="I606" s="364"/>
      <c r="J606" s="364"/>
      <c r="K606" s="364"/>
      <c r="L606" s="364"/>
      <c r="M606" s="364"/>
      <c r="N606" s="364"/>
      <c r="O606" s="364"/>
      <c r="P606" s="364"/>
      <c r="Q606" s="364"/>
      <c r="R606" s="364"/>
      <c r="S606" s="364"/>
      <c r="T606" s="364"/>
      <c r="U606" s="364"/>
      <c r="V606" s="364"/>
      <c r="W606" s="364"/>
      <c r="X606" s="364"/>
      <c r="Y606" s="364"/>
      <c r="Z606" s="364"/>
    </row>
    <row r="607" spans="1:26" ht="15.75" customHeight="1" x14ac:dyDescent="0.25">
      <c r="A607" s="364"/>
      <c r="B607" s="364"/>
      <c r="C607" s="364"/>
      <c r="D607" s="364"/>
      <c r="E607" s="364"/>
      <c r="F607" s="364"/>
      <c r="G607" s="364"/>
      <c r="H607" s="364"/>
      <c r="I607" s="364"/>
      <c r="J607" s="364"/>
      <c r="K607" s="364"/>
      <c r="L607" s="364"/>
      <c r="M607" s="364"/>
      <c r="N607" s="364"/>
      <c r="O607" s="364"/>
      <c r="P607" s="364"/>
      <c r="Q607" s="364"/>
      <c r="R607" s="364"/>
      <c r="S607" s="364"/>
      <c r="T607" s="364"/>
      <c r="U607" s="364"/>
      <c r="V607" s="364"/>
      <c r="W607" s="364"/>
      <c r="X607" s="364"/>
      <c r="Y607" s="364"/>
      <c r="Z607" s="364"/>
    </row>
    <row r="608" spans="1:26" ht="15.75" customHeight="1" x14ac:dyDescent="0.25">
      <c r="A608" s="364"/>
      <c r="B608" s="364"/>
      <c r="C608" s="364"/>
      <c r="D608" s="364"/>
      <c r="E608" s="364"/>
      <c r="F608" s="364"/>
      <c r="G608" s="364"/>
      <c r="H608" s="364"/>
      <c r="I608" s="364"/>
      <c r="J608" s="364"/>
      <c r="K608" s="364"/>
      <c r="L608" s="364"/>
      <c r="M608" s="364"/>
      <c r="N608" s="364"/>
      <c r="O608" s="364"/>
      <c r="P608" s="364"/>
      <c r="Q608" s="364"/>
      <c r="R608" s="364"/>
      <c r="S608" s="364"/>
      <c r="T608" s="364"/>
      <c r="U608" s="364"/>
      <c r="V608" s="364"/>
      <c r="W608" s="364"/>
      <c r="X608" s="364"/>
      <c r="Y608" s="364"/>
      <c r="Z608" s="364"/>
    </row>
    <row r="609" spans="1:26" ht="15.75" customHeight="1" x14ac:dyDescent="0.25">
      <c r="A609" s="364"/>
      <c r="B609" s="364"/>
      <c r="C609" s="364"/>
      <c r="D609" s="364"/>
      <c r="E609" s="364"/>
      <c r="F609" s="364"/>
      <c r="G609" s="364"/>
      <c r="H609" s="364"/>
      <c r="I609" s="364"/>
      <c r="J609" s="364"/>
      <c r="K609" s="364"/>
      <c r="L609" s="364"/>
      <c r="M609" s="364"/>
      <c r="N609" s="364"/>
      <c r="O609" s="364"/>
      <c r="P609" s="364"/>
      <c r="Q609" s="364"/>
      <c r="R609" s="364"/>
      <c r="S609" s="364"/>
      <c r="T609" s="364"/>
      <c r="U609" s="364"/>
      <c r="V609" s="364"/>
      <c r="W609" s="364"/>
      <c r="X609" s="364"/>
      <c r="Y609" s="364"/>
      <c r="Z609" s="364"/>
    </row>
    <row r="610" spans="1:26" ht="15.75" customHeight="1" x14ac:dyDescent="0.25">
      <c r="A610" s="364"/>
      <c r="B610" s="364"/>
      <c r="C610" s="364"/>
      <c r="D610" s="364"/>
      <c r="E610" s="364"/>
      <c r="F610" s="364"/>
      <c r="G610" s="364"/>
      <c r="H610" s="364"/>
      <c r="I610" s="364"/>
      <c r="J610" s="364"/>
      <c r="K610" s="364"/>
      <c r="L610" s="364"/>
      <c r="M610" s="364"/>
      <c r="N610" s="364"/>
      <c r="O610" s="364"/>
      <c r="P610" s="364"/>
      <c r="Q610" s="364"/>
      <c r="R610" s="364"/>
      <c r="S610" s="364"/>
      <c r="T610" s="364"/>
      <c r="U610" s="364"/>
      <c r="V610" s="364"/>
      <c r="W610" s="364"/>
      <c r="X610" s="364"/>
      <c r="Y610" s="364"/>
      <c r="Z610" s="364"/>
    </row>
    <row r="611" spans="1:26" ht="15.75" customHeight="1" x14ac:dyDescent="0.25">
      <c r="A611" s="364"/>
      <c r="B611" s="364"/>
      <c r="C611" s="364"/>
      <c r="D611" s="364"/>
      <c r="E611" s="364"/>
      <c r="F611" s="364"/>
      <c r="G611" s="364"/>
      <c r="H611" s="364"/>
      <c r="I611" s="364"/>
      <c r="J611" s="364"/>
      <c r="K611" s="364"/>
      <c r="L611" s="364"/>
      <c r="M611" s="364"/>
      <c r="N611" s="364"/>
      <c r="O611" s="364"/>
      <c r="P611" s="364"/>
      <c r="Q611" s="364"/>
      <c r="R611" s="364"/>
      <c r="S611" s="364"/>
      <c r="T611" s="364"/>
      <c r="U611" s="364"/>
      <c r="V611" s="364"/>
      <c r="W611" s="364"/>
      <c r="X611" s="364"/>
      <c r="Y611" s="364"/>
      <c r="Z611" s="364"/>
    </row>
    <row r="612" spans="1:26" ht="15.75" customHeight="1" x14ac:dyDescent="0.25">
      <c r="A612" s="364"/>
      <c r="B612" s="364"/>
      <c r="C612" s="364"/>
      <c r="D612" s="364"/>
      <c r="E612" s="364"/>
      <c r="F612" s="364"/>
      <c r="G612" s="364"/>
      <c r="H612" s="364"/>
      <c r="I612" s="364"/>
      <c r="J612" s="364"/>
      <c r="K612" s="364"/>
      <c r="L612" s="364"/>
      <c r="M612" s="364"/>
      <c r="N612" s="364"/>
      <c r="O612" s="364"/>
      <c r="P612" s="364"/>
      <c r="Q612" s="364"/>
      <c r="R612" s="364"/>
      <c r="S612" s="364"/>
      <c r="T612" s="364"/>
      <c r="U612" s="364"/>
      <c r="V612" s="364"/>
      <c r="W612" s="364"/>
      <c r="X612" s="364"/>
      <c r="Y612" s="364"/>
      <c r="Z612" s="364"/>
    </row>
    <row r="613" spans="1:26" ht="15.75" customHeight="1" x14ac:dyDescent="0.25">
      <c r="A613" s="364"/>
      <c r="B613" s="364"/>
      <c r="C613" s="364"/>
      <c r="D613" s="364"/>
      <c r="E613" s="364"/>
      <c r="F613" s="364"/>
      <c r="G613" s="364"/>
      <c r="H613" s="364"/>
      <c r="I613" s="364"/>
      <c r="J613" s="364"/>
      <c r="K613" s="364"/>
      <c r="L613" s="364"/>
      <c r="M613" s="364"/>
      <c r="N613" s="364"/>
      <c r="O613" s="364"/>
      <c r="P613" s="364"/>
      <c r="Q613" s="364"/>
      <c r="R613" s="364"/>
      <c r="S613" s="364"/>
      <c r="T613" s="364"/>
      <c r="U613" s="364"/>
      <c r="V613" s="364"/>
      <c r="W613" s="364"/>
      <c r="X613" s="364"/>
      <c r="Y613" s="364"/>
      <c r="Z613" s="364"/>
    </row>
    <row r="614" spans="1:26" ht="15.75" customHeight="1" x14ac:dyDescent="0.25">
      <c r="A614" s="364"/>
      <c r="B614" s="364"/>
      <c r="C614" s="364"/>
      <c r="D614" s="364"/>
      <c r="E614" s="364"/>
      <c r="F614" s="364"/>
      <c r="G614" s="364"/>
      <c r="H614" s="364"/>
      <c r="I614" s="364"/>
      <c r="J614" s="364"/>
      <c r="K614" s="364"/>
      <c r="L614" s="364"/>
      <c r="M614" s="364"/>
      <c r="N614" s="364"/>
      <c r="O614" s="364"/>
      <c r="P614" s="364"/>
      <c r="Q614" s="364"/>
      <c r="R614" s="364"/>
      <c r="S614" s="364"/>
      <c r="T614" s="364"/>
      <c r="U614" s="364"/>
      <c r="V614" s="364"/>
      <c r="W614" s="364"/>
      <c r="X614" s="364"/>
      <c r="Y614" s="364"/>
      <c r="Z614" s="364"/>
    </row>
    <row r="615" spans="1:26" ht="15.75" customHeight="1" x14ac:dyDescent="0.25">
      <c r="A615" s="364"/>
      <c r="B615" s="364"/>
      <c r="C615" s="364"/>
      <c r="D615" s="364"/>
      <c r="E615" s="364"/>
      <c r="F615" s="364"/>
      <c r="G615" s="364"/>
      <c r="H615" s="364"/>
      <c r="I615" s="364"/>
      <c r="J615" s="364"/>
      <c r="K615" s="364"/>
      <c r="L615" s="364"/>
      <c r="M615" s="364"/>
      <c r="N615" s="364"/>
      <c r="O615" s="364"/>
      <c r="P615" s="364"/>
      <c r="Q615" s="364"/>
      <c r="R615" s="364"/>
      <c r="S615" s="364"/>
      <c r="T615" s="364"/>
      <c r="U615" s="364"/>
      <c r="V615" s="364"/>
      <c r="W615" s="364"/>
      <c r="X615" s="364"/>
      <c r="Y615" s="364"/>
      <c r="Z615" s="364"/>
    </row>
    <row r="616" spans="1:26" ht="15.75" customHeight="1" x14ac:dyDescent="0.25">
      <c r="A616" s="364"/>
      <c r="B616" s="364"/>
      <c r="C616" s="364"/>
      <c r="D616" s="364"/>
      <c r="E616" s="364"/>
      <c r="F616" s="364"/>
      <c r="G616" s="364"/>
      <c r="H616" s="364"/>
      <c r="I616" s="364"/>
      <c r="J616" s="364"/>
      <c r="K616" s="364"/>
      <c r="L616" s="364"/>
      <c r="M616" s="364"/>
      <c r="N616" s="364"/>
      <c r="O616" s="364"/>
      <c r="P616" s="364"/>
      <c r="Q616" s="364"/>
      <c r="R616" s="364"/>
      <c r="S616" s="364"/>
      <c r="T616" s="364"/>
      <c r="U616" s="364"/>
      <c r="V616" s="364"/>
      <c r="W616" s="364"/>
      <c r="X616" s="364"/>
      <c r="Y616" s="364"/>
      <c r="Z616" s="364"/>
    </row>
    <row r="617" spans="1:26" ht="15.75" customHeight="1" x14ac:dyDescent="0.25">
      <c r="A617" s="364"/>
      <c r="B617" s="364"/>
      <c r="C617" s="364"/>
      <c r="D617" s="364"/>
      <c r="E617" s="364"/>
      <c r="F617" s="364"/>
      <c r="G617" s="364"/>
      <c r="H617" s="364"/>
      <c r="I617" s="364"/>
      <c r="J617" s="364"/>
      <c r="K617" s="364"/>
      <c r="L617" s="364"/>
      <c r="M617" s="364"/>
      <c r="N617" s="364"/>
      <c r="O617" s="364"/>
      <c r="P617" s="364"/>
      <c r="Q617" s="364"/>
      <c r="R617" s="364"/>
      <c r="S617" s="364"/>
      <c r="T617" s="364"/>
      <c r="U617" s="364"/>
      <c r="V617" s="364"/>
      <c r="W617" s="364"/>
      <c r="X617" s="364"/>
      <c r="Y617" s="364"/>
      <c r="Z617" s="364"/>
    </row>
    <row r="618" spans="1:26" ht="15.75" customHeight="1" x14ac:dyDescent="0.25">
      <c r="A618" s="364"/>
      <c r="B618" s="364"/>
      <c r="C618" s="364"/>
      <c r="D618" s="364"/>
      <c r="E618" s="364"/>
      <c r="F618" s="364"/>
      <c r="G618" s="364"/>
      <c r="H618" s="364"/>
      <c r="I618" s="364"/>
      <c r="J618" s="364"/>
      <c r="K618" s="364"/>
      <c r="L618" s="364"/>
      <c r="M618" s="364"/>
      <c r="N618" s="364"/>
      <c r="O618" s="364"/>
      <c r="P618" s="364"/>
      <c r="Q618" s="364"/>
      <c r="R618" s="364"/>
      <c r="S618" s="364"/>
      <c r="T618" s="364"/>
      <c r="U618" s="364"/>
      <c r="V618" s="364"/>
      <c r="W618" s="364"/>
      <c r="X618" s="364"/>
      <c r="Y618" s="364"/>
      <c r="Z618" s="364"/>
    </row>
    <row r="619" spans="1:26" ht="15.75" customHeight="1" x14ac:dyDescent="0.25">
      <c r="A619" s="364"/>
      <c r="B619" s="364"/>
      <c r="C619" s="364"/>
      <c r="D619" s="364"/>
      <c r="E619" s="364"/>
      <c r="F619" s="364"/>
      <c r="G619" s="364"/>
      <c r="H619" s="364"/>
      <c r="I619" s="364"/>
      <c r="J619" s="364"/>
      <c r="K619" s="364"/>
      <c r="L619" s="364"/>
      <c r="M619" s="364"/>
      <c r="N619" s="364"/>
      <c r="O619" s="364"/>
      <c r="P619" s="364"/>
      <c r="Q619" s="364"/>
      <c r="R619" s="364"/>
      <c r="S619" s="364"/>
      <c r="T619" s="364"/>
      <c r="U619" s="364"/>
      <c r="V619" s="364"/>
      <c r="W619" s="364"/>
      <c r="X619" s="364"/>
      <c r="Y619" s="364"/>
      <c r="Z619" s="364"/>
    </row>
    <row r="620" spans="1:26" ht="15.75" customHeight="1" x14ac:dyDescent="0.25">
      <c r="A620" s="364"/>
      <c r="B620" s="364"/>
      <c r="C620" s="364"/>
      <c r="D620" s="364"/>
      <c r="E620" s="364"/>
      <c r="F620" s="364"/>
      <c r="G620" s="364"/>
      <c r="H620" s="364"/>
      <c r="I620" s="364"/>
      <c r="J620" s="364"/>
      <c r="K620" s="364"/>
      <c r="L620" s="364"/>
      <c r="M620" s="364"/>
      <c r="N620" s="364"/>
      <c r="O620" s="364"/>
      <c r="P620" s="364"/>
      <c r="Q620" s="364"/>
      <c r="R620" s="364"/>
      <c r="S620" s="364"/>
      <c r="T620" s="364"/>
      <c r="U620" s="364"/>
      <c r="V620" s="364"/>
      <c r="W620" s="364"/>
      <c r="X620" s="364"/>
      <c r="Y620" s="364"/>
      <c r="Z620" s="364"/>
    </row>
    <row r="621" spans="1:26" ht="15.75" customHeight="1" x14ac:dyDescent="0.25">
      <c r="A621" s="364"/>
      <c r="B621" s="364"/>
      <c r="C621" s="364"/>
      <c r="D621" s="364"/>
      <c r="E621" s="364"/>
      <c r="F621" s="364"/>
      <c r="G621" s="364"/>
      <c r="H621" s="364"/>
      <c r="I621" s="364"/>
      <c r="J621" s="364"/>
      <c r="K621" s="364"/>
      <c r="L621" s="364"/>
      <c r="M621" s="364"/>
      <c r="N621" s="364"/>
      <c r="O621" s="364"/>
      <c r="P621" s="364"/>
      <c r="Q621" s="364"/>
      <c r="R621" s="364"/>
      <c r="S621" s="364"/>
      <c r="T621" s="364"/>
      <c r="U621" s="364"/>
      <c r="V621" s="364"/>
      <c r="W621" s="364"/>
      <c r="X621" s="364"/>
      <c r="Y621" s="364"/>
      <c r="Z621" s="364"/>
    </row>
    <row r="622" spans="1:26" ht="15.75" customHeight="1" x14ac:dyDescent="0.25">
      <c r="A622" s="364"/>
      <c r="B622" s="364"/>
      <c r="C622" s="364"/>
      <c r="D622" s="364"/>
      <c r="E622" s="364"/>
      <c r="F622" s="364"/>
      <c r="G622" s="364"/>
      <c r="H622" s="364"/>
      <c r="I622" s="364"/>
      <c r="J622" s="364"/>
      <c r="K622" s="364"/>
      <c r="L622" s="364"/>
      <c r="M622" s="364"/>
      <c r="N622" s="364"/>
      <c r="O622" s="364"/>
      <c r="P622" s="364"/>
      <c r="Q622" s="364"/>
      <c r="R622" s="364"/>
      <c r="S622" s="364"/>
      <c r="T622" s="364"/>
      <c r="U622" s="364"/>
      <c r="V622" s="364"/>
      <c r="W622" s="364"/>
      <c r="X622" s="364"/>
      <c r="Y622" s="364"/>
      <c r="Z622" s="364"/>
    </row>
    <row r="623" spans="1:26" ht="15.75" customHeight="1" x14ac:dyDescent="0.25">
      <c r="A623" s="364"/>
      <c r="B623" s="364"/>
      <c r="C623" s="364"/>
      <c r="D623" s="364"/>
      <c r="E623" s="364"/>
      <c r="F623" s="364"/>
      <c r="G623" s="364"/>
      <c r="H623" s="364"/>
      <c r="I623" s="364"/>
      <c r="J623" s="364"/>
      <c r="K623" s="364"/>
      <c r="L623" s="364"/>
      <c r="M623" s="364"/>
      <c r="N623" s="364"/>
      <c r="O623" s="364"/>
      <c r="P623" s="364"/>
      <c r="Q623" s="364"/>
      <c r="R623" s="364"/>
      <c r="S623" s="364"/>
      <c r="T623" s="364"/>
      <c r="U623" s="364"/>
      <c r="V623" s="364"/>
      <c r="W623" s="364"/>
      <c r="X623" s="364"/>
      <c r="Y623" s="364"/>
      <c r="Z623" s="364"/>
    </row>
    <row r="624" spans="1:26" ht="15.75" customHeight="1" x14ac:dyDescent="0.25">
      <c r="A624" s="364"/>
      <c r="B624" s="364"/>
      <c r="C624" s="364"/>
      <c r="D624" s="364"/>
      <c r="E624" s="364"/>
      <c r="F624" s="364"/>
      <c r="G624" s="364"/>
      <c r="H624" s="364"/>
      <c r="I624" s="364"/>
      <c r="J624" s="364"/>
      <c r="K624" s="364"/>
      <c r="L624" s="364"/>
      <c r="M624" s="364"/>
      <c r="N624" s="364"/>
      <c r="O624" s="364"/>
      <c r="P624" s="364"/>
      <c r="Q624" s="364"/>
      <c r="R624" s="364"/>
      <c r="S624" s="364"/>
      <c r="T624" s="364"/>
      <c r="U624" s="364"/>
      <c r="V624" s="364"/>
      <c r="W624" s="364"/>
      <c r="X624" s="364"/>
      <c r="Y624" s="364"/>
      <c r="Z624" s="364"/>
    </row>
    <row r="625" spans="1:26" ht="15.75" customHeight="1" x14ac:dyDescent="0.25">
      <c r="A625" s="364"/>
      <c r="B625" s="364"/>
      <c r="C625" s="364"/>
      <c r="D625" s="364"/>
      <c r="E625" s="364"/>
      <c r="F625" s="364"/>
      <c r="G625" s="364"/>
      <c r="H625" s="364"/>
      <c r="I625" s="364"/>
      <c r="J625" s="364"/>
      <c r="K625" s="364"/>
      <c r="L625" s="364"/>
      <c r="M625" s="364"/>
      <c r="N625" s="364"/>
      <c r="O625" s="364"/>
      <c r="P625" s="364"/>
      <c r="Q625" s="364"/>
      <c r="R625" s="364"/>
      <c r="S625" s="364"/>
      <c r="T625" s="364"/>
      <c r="U625" s="364"/>
      <c r="V625" s="364"/>
      <c r="W625" s="364"/>
      <c r="X625" s="364"/>
      <c r="Y625" s="364"/>
      <c r="Z625" s="364"/>
    </row>
    <row r="626" spans="1:26" ht="15.75" customHeight="1" x14ac:dyDescent="0.25">
      <c r="A626" s="364"/>
      <c r="B626" s="364"/>
      <c r="C626" s="364"/>
      <c r="D626" s="364"/>
      <c r="E626" s="364"/>
      <c r="F626" s="364"/>
      <c r="G626" s="364"/>
      <c r="H626" s="364"/>
      <c r="I626" s="364"/>
      <c r="J626" s="364"/>
      <c r="K626" s="364"/>
      <c r="L626" s="364"/>
      <c r="M626" s="364"/>
      <c r="N626" s="364"/>
      <c r="O626" s="364"/>
      <c r="P626" s="364"/>
      <c r="Q626" s="364"/>
      <c r="R626" s="364"/>
      <c r="S626" s="364"/>
      <c r="T626" s="364"/>
      <c r="U626" s="364"/>
      <c r="V626" s="364"/>
      <c r="W626" s="364"/>
      <c r="X626" s="364"/>
      <c r="Y626" s="364"/>
      <c r="Z626" s="364"/>
    </row>
    <row r="627" spans="1:26" ht="15.75" customHeight="1" x14ac:dyDescent="0.25">
      <c r="A627" s="364"/>
      <c r="B627" s="364"/>
      <c r="C627" s="364"/>
      <c r="D627" s="364"/>
      <c r="E627" s="364"/>
      <c r="F627" s="364"/>
      <c r="G627" s="364"/>
      <c r="H627" s="364"/>
      <c r="I627" s="364"/>
      <c r="J627" s="364"/>
      <c r="K627" s="364"/>
      <c r="L627" s="364"/>
      <c r="M627" s="364"/>
      <c r="N627" s="364"/>
      <c r="O627" s="364"/>
      <c r="P627" s="364"/>
      <c r="Q627" s="364"/>
      <c r="R627" s="364"/>
      <c r="S627" s="364"/>
      <c r="T627" s="364"/>
      <c r="U627" s="364"/>
      <c r="V627" s="364"/>
      <c r="W627" s="364"/>
      <c r="X627" s="364"/>
      <c r="Y627" s="364"/>
      <c r="Z627" s="364"/>
    </row>
    <row r="628" spans="1:26" ht="15.75" customHeight="1" x14ac:dyDescent="0.25">
      <c r="A628" s="364"/>
      <c r="B628" s="364"/>
      <c r="C628" s="364"/>
      <c r="D628" s="364"/>
      <c r="E628" s="364"/>
      <c r="F628" s="364"/>
      <c r="G628" s="364"/>
      <c r="H628" s="364"/>
      <c r="I628" s="364"/>
      <c r="J628" s="364"/>
      <c r="K628" s="364"/>
      <c r="L628" s="364"/>
      <c r="M628" s="364"/>
      <c r="N628" s="364"/>
      <c r="O628" s="364"/>
      <c r="P628" s="364"/>
      <c r="Q628" s="364"/>
      <c r="R628" s="364"/>
      <c r="S628" s="364"/>
      <c r="T628" s="364"/>
      <c r="U628" s="364"/>
      <c r="V628" s="364"/>
      <c r="W628" s="364"/>
      <c r="X628" s="364"/>
      <c r="Y628" s="364"/>
      <c r="Z628" s="364"/>
    </row>
    <row r="629" spans="1:26" ht="15.75" customHeight="1" x14ac:dyDescent="0.25">
      <c r="A629" s="364"/>
      <c r="B629" s="364"/>
      <c r="C629" s="364"/>
      <c r="D629" s="364"/>
      <c r="E629" s="364"/>
      <c r="F629" s="364"/>
      <c r="G629" s="364"/>
      <c r="H629" s="364"/>
      <c r="I629" s="364"/>
      <c r="J629" s="364"/>
      <c r="K629" s="364"/>
      <c r="L629" s="364"/>
      <c r="M629" s="364"/>
      <c r="N629" s="364"/>
      <c r="O629" s="364"/>
      <c r="P629" s="364"/>
      <c r="Q629" s="364"/>
      <c r="R629" s="364"/>
      <c r="S629" s="364"/>
      <c r="T629" s="364"/>
      <c r="U629" s="364"/>
      <c r="V629" s="364"/>
      <c r="W629" s="364"/>
      <c r="X629" s="364"/>
      <c r="Y629" s="364"/>
      <c r="Z629" s="364"/>
    </row>
    <row r="630" spans="1:26" ht="15.75" customHeight="1" x14ac:dyDescent="0.25">
      <c r="A630" s="364"/>
      <c r="B630" s="364"/>
      <c r="C630" s="364"/>
      <c r="D630" s="364"/>
      <c r="E630" s="364"/>
      <c r="F630" s="364"/>
      <c r="G630" s="364"/>
      <c r="H630" s="364"/>
      <c r="I630" s="364"/>
      <c r="J630" s="364"/>
      <c r="K630" s="364"/>
      <c r="L630" s="364"/>
      <c r="M630" s="364"/>
      <c r="N630" s="364"/>
      <c r="O630" s="364"/>
      <c r="P630" s="364"/>
      <c r="Q630" s="364"/>
      <c r="R630" s="364"/>
      <c r="S630" s="364"/>
      <c r="T630" s="364"/>
      <c r="U630" s="364"/>
      <c r="V630" s="364"/>
      <c r="W630" s="364"/>
      <c r="X630" s="364"/>
      <c r="Y630" s="364"/>
      <c r="Z630" s="364"/>
    </row>
    <row r="631" spans="1:26" ht="15.75" customHeight="1" x14ac:dyDescent="0.25">
      <c r="A631" s="364"/>
      <c r="B631" s="364"/>
      <c r="C631" s="364"/>
      <c r="D631" s="364"/>
      <c r="E631" s="364"/>
      <c r="F631" s="364"/>
      <c r="G631" s="364"/>
      <c r="H631" s="364"/>
      <c r="I631" s="364"/>
      <c r="J631" s="364"/>
      <c r="K631" s="364"/>
      <c r="L631" s="364"/>
      <c r="M631" s="364"/>
      <c r="N631" s="364"/>
      <c r="O631" s="364"/>
      <c r="P631" s="364"/>
      <c r="Q631" s="364"/>
      <c r="R631" s="364"/>
      <c r="S631" s="364"/>
      <c r="T631" s="364"/>
      <c r="U631" s="364"/>
      <c r="V631" s="364"/>
      <c r="W631" s="364"/>
      <c r="X631" s="364"/>
      <c r="Y631" s="364"/>
      <c r="Z631" s="364"/>
    </row>
    <row r="632" spans="1:26" ht="15.75" customHeight="1" x14ac:dyDescent="0.25">
      <c r="A632" s="364"/>
      <c r="B632" s="364"/>
      <c r="C632" s="364"/>
      <c r="D632" s="364"/>
      <c r="E632" s="364"/>
      <c r="F632" s="364"/>
      <c r="G632" s="364"/>
      <c r="H632" s="364"/>
      <c r="I632" s="364"/>
      <c r="J632" s="364"/>
      <c r="K632" s="364"/>
      <c r="L632" s="364"/>
      <c r="M632" s="364"/>
      <c r="N632" s="364"/>
      <c r="O632" s="364"/>
      <c r="P632" s="364"/>
      <c r="Q632" s="364"/>
      <c r="R632" s="364"/>
      <c r="S632" s="364"/>
      <c r="T632" s="364"/>
      <c r="U632" s="364"/>
      <c r="V632" s="364"/>
      <c r="W632" s="364"/>
      <c r="X632" s="364"/>
      <c r="Y632" s="364"/>
      <c r="Z632" s="364"/>
    </row>
    <row r="633" spans="1:26" ht="15.75" customHeight="1" x14ac:dyDescent="0.25">
      <c r="A633" s="364"/>
      <c r="B633" s="364"/>
      <c r="C633" s="364"/>
      <c r="D633" s="364"/>
      <c r="E633" s="364"/>
      <c r="F633" s="364"/>
      <c r="G633" s="364"/>
      <c r="H633" s="364"/>
      <c r="I633" s="364"/>
      <c r="J633" s="364"/>
      <c r="K633" s="364"/>
      <c r="L633" s="364"/>
      <c r="M633" s="364"/>
      <c r="N633" s="364"/>
      <c r="O633" s="364"/>
      <c r="P633" s="364"/>
      <c r="Q633" s="364"/>
      <c r="R633" s="364"/>
      <c r="S633" s="364"/>
      <c r="T633" s="364"/>
      <c r="U633" s="364"/>
      <c r="V633" s="364"/>
      <c r="W633" s="364"/>
      <c r="X633" s="364"/>
      <c r="Y633" s="364"/>
      <c r="Z633" s="364"/>
    </row>
    <row r="634" spans="1:26" ht="15.75" customHeight="1" x14ac:dyDescent="0.25">
      <c r="A634" s="364"/>
      <c r="B634" s="364"/>
      <c r="C634" s="364"/>
      <c r="D634" s="364"/>
      <c r="E634" s="364"/>
      <c r="F634" s="364"/>
      <c r="G634" s="364"/>
      <c r="H634" s="364"/>
      <c r="I634" s="364"/>
      <c r="J634" s="364"/>
      <c r="K634" s="364"/>
      <c r="L634" s="364"/>
      <c r="M634" s="364"/>
      <c r="N634" s="364"/>
      <c r="O634" s="364"/>
      <c r="P634" s="364"/>
      <c r="Q634" s="364"/>
      <c r="R634" s="364"/>
      <c r="S634" s="364"/>
      <c r="T634" s="364"/>
      <c r="U634" s="364"/>
      <c r="V634" s="364"/>
      <c r="W634" s="364"/>
      <c r="X634" s="364"/>
      <c r="Y634" s="364"/>
      <c r="Z634" s="364"/>
    </row>
    <row r="635" spans="1:26" ht="15.75" customHeight="1" x14ac:dyDescent="0.25">
      <c r="A635" s="364"/>
      <c r="B635" s="364"/>
      <c r="C635" s="364"/>
      <c r="D635" s="364"/>
      <c r="E635" s="364"/>
      <c r="F635" s="364"/>
      <c r="G635" s="364"/>
      <c r="H635" s="364"/>
      <c r="I635" s="364"/>
      <c r="J635" s="364"/>
      <c r="K635" s="364"/>
      <c r="L635" s="364"/>
      <c r="M635" s="364"/>
      <c r="N635" s="364"/>
      <c r="O635" s="364"/>
      <c r="P635" s="364"/>
      <c r="Q635" s="364"/>
      <c r="R635" s="364"/>
      <c r="S635" s="364"/>
      <c r="T635" s="364"/>
      <c r="U635" s="364"/>
      <c r="V635" s="364"/>
      <c r="W635" s="364"/>
      <c r="X635" s="364"/>
      <c r="Y635" s="364"/>
      <c r="Z635" s="364"/>
    </row>
    <row r="636" spans="1:26" ht="15.75" customHeight="1" x14ac:dyDescent="0.25">
      <c r="A636" s="364"/>
      <c r="B636" s="364"/>
      <c r="C636" s="364"/>
      <c r="D636" s="364"/>
      <c r="E636" s="364"/>
      <c r="F636" s="364"/>
      <c r="G636" s="364"/>
      <c r="H636" s="364"/>
      <c r="I636" s="364"/>
      <c r="J636" s="364"/>
      <c r="K636" s="364"/>
      <c r="L636" s="364"/>
      <c r="M636" s="364"/>
      <c r="N636" s="364"/>
      <c r="O636" s="364"/>
      <c r="P636" s="364"/>
      <c r="Q636" s="364"/>
      <c r="R636" s="364"/>
      <c r="S636" s="364"/>
      <c r="T636" s="364"/>
      <c r="U636" s="364"/>
      <c r="V636" s="364"/>
      <c r="W636" s="364"/>
      <c r="X636" s="364"/>
      <c r="Y636" s="364"/>
      <c r="Z636" s="364"/>
    </row>
    <row r="637" spans="1:26" ht="15.75" customHeight="1" x14ac:dyDescent="0.25">
      <c r="A637" s="364"/>
      <c r="B637" s="364"/>
      <c r="C637" s="364"/>
      <c r="D637" s="364"/>
      <c r="E637" s="364"/>
      <c r="F637" s="364"/>
      <c r="G637" s="364"/>
      <c r="H637" s="364"/>
      <c r="I637" s="364"/>
      <c r="J637" s="364"/>
      <c r="K637" s="364"/>
      <c r="L637" s="364"/>
      <c r="M637" s="364"/>
      <c r="N637" s="364"/>
      <c r="O637" s="364"/>
      <c r="P637" s="364"/>
      <c r="Q637" s="364"/>
      <c r="R637" s="364"/>
      <c r="S637" s="364"/>
      <c r="T637" s="364"/>
      <c r="U637" s="364"/>
      <c r="V637" s="364"/>
      <c r="W637" s="364"/>
      <c r="X637" s="364"/>
      <c r="Y637" s="364"/>
      <c r="Z637" s="364"/>
    </row>
    <row r="638" spans="1:26" ht="15.75" customHeight="1" x14ac:dyDescent="0.25">
      <c r="A638" s="364"/>
      <c r="B638" s="364"/>
      <c r="C638" s="364"/>
      <c r="D638" s="364"/>
      <c r="E638" s="364"/>
      <c r="F638" s="364"/>
      <c r="G638" s="364"/>
      <c r="H638" s="364"/>
      <c r="I638" s="364"/>
      <c r="J638" s="364"/>
      <c r="K638" s="364"/>
      <c r="L638" s="364"/>
      <c r="M638" s="364"/>
      <c r="N638" s="364"/>
      <c r="O638" s="364"/>
      <c r="P638" s="364"/>
      <c r="Q638" s="364"/>
      <c r="R638" s="364"/>
      <c r="S638" s="364"/>
      <c r="T638" s="364"/>
      <c r="U638" s="364"/>
      <c r="V638" s="364"/>
      <c r="W638" s="364"/>
      <c r="X638" s="364"/>
      <c r="Y638" s="364"/>
      <c r="Z638" s="364"/>
    </row>
    <row r="639" spans="1:26" ht="15.75" customHeight="1" x14ac:dyDescent="0.25">
      <c r="A639" s="364"/>
      <c r="B639" s="364"/>
      <c r="C639" s="364"/>
      <c r="D639" s="364"/>
      <c r="E639" s="364"/>
      <c r="F639" s="364"/>
      <c r="G639" s="364"/>
      <c r="H639" s="364"/>
      <c r="I639" s="364"/>
      <c r="J639" s="364"/>
      <c r="K639" s="364"/>
      <c r="L639" s="364"/>
      <c r="M639" s="364"/>
      <c r="N639" s="364"/>
      <c r="O639" s="364"/>
      <c r="P639" s="364"/>
      <c r="Q639" s="364"/>
      <c r="R639" s="364"/>
      <c r="S639" s="364"/>
      <c r="T639" s="364"/>
      <c r="U639" s="364"/>
      <c r="V639" s="364"/>
      <c r="W639" s="364"/>
      <c r="X639" s="364"/>
      <c r="Y639" s="364"/>
      <c r="Z639" s="364"/>
    </row>
    <row r="640" spans="1:26" ht="15.75" customHeight="1" x14ac:dyDescent="0.25">
      <c r="A640" s="364"/>
      <c r="B640" s="364"/>
      <c r="C640" s="364"/>
      <c r="D640" s="364"/>
      <c r="E640" s="364"/>
      <c r="F640" s="364"/>
      <c r="G640" s="364"/>
      <c r="H640" s="364"/>
      <c r="I640" s="364"/>
      <c r="J640" s="364"/>
      <c r="K640" s="364"/>
      <c r="L640" s="364"/>
      <c r="M640" s="364"/>
      <c r="N640" s="364"/>
      <c r="O640" s="364"/>
      <c r="P640" s="364"/>
      <c r="Q640" s="364"/>
      <c r="R640" s="364"/>
      <c r="S640" s="364"/>
      <c r="T640" s="364"/>
      <c r="U640" s="364"/>
      <c r="V640" s="364"/>
      <c r="W640" s="364"/>
      <c r="X640" s="364"/>
      <c r="Y640" s="364"/>
      <c r="Z640" s="364"/>
    </row>
    <row r="641" spans="1:26" ht="15.75" customHeight="1" x14ac:dyDescent="0.25">
      <c r="A641" s="364"/>
      <c r="B641" s="364"/>
      <c r="C641" s="364"/>
      <c r="D641" s="364"/>
      <c r="E641" s="364"/>
      <c r="F641" s="364"/>
      <c r="G641" s="364"/>
      <c r="H641" s="364"/>
      <c r="I641" s="364"/>
      <c r="J641" s="364"/>
      <c r="K641" s="364"/>
      <c r="L641" s="364"/>
      <c r="M641" s="364"/>
      <c r="N641" s="364"/>
      <c r="O641" s="364"/>
      <c r="P641" s="364"/>
      <c r="Q641" s="364"/>
      <c r="R641" s="364"/>
      <c r="S641" s="364"/>
      <c r="T641" s="364"/>
      <c r="U641" s="364"/>
      <c r="V641" s="364"/>
      <c r="W641" s="364"/>
      <c r="X641" s="364"/>
      <c r="Y641" s="364"/>
      <c r="Z641" s="364"/>
    </row>
    <row r="642" spans="1:26" ht="15.75" customHeight="1" x14ac:dyDescent="0.25">
      <c r="A642" s="364"/>
      <c r="B642" s="364"/>
      <c r="C642" s="364"/>
      <c r="D642" s="364"/>
      <c r="E642" s="364"/>
      <c r="F642" s="364"/>
      <c r="G642" s="364"/>
      <c r="H642" s="364"/>
      <c r="I642" s="364"/>
      <c r="J642" s="364"/>
      <c r="K642" s="364"/>
      <c r="L642" s="364"/>
      <c r="M642" s="364"/>
      <c r="N642" s="364"/>
      <c r="O642" s="364"/>
      <c r="P642" s="364"/>
      <c r="Q642" s="364"/>
      <c r="R642" s="364"/>
      <c r="S642" s="364"/>
      <c r="T642" s="364"/>
      <c r="U642" s="364"/>
      <c r="V642" s="364"/>
      <c r="W642" s="364"/>
      <c r="X642" s="364"/>
      <c r="Y642" s="364"/>
      <c r="Z642" s="364"/>
    </row>
    <row r="643" spans="1:26" ht="15.75" customHeight="1" x14ac:dyDescent="0.25">
      <c r="A643" s="364"/>
      <c r="B643" s="364"/>
      <c r="C643" s="364"/>
      <c r="D643" s="364"/>
      <c r="E643" s="364"/>
      <c r="F643" s="364"/>
      <c r="G643" s="364"/>
      <c r="H643" s="364"/>
      <c r="I643" s="364"/>
      <c r="J643" s="364"/>
      <c r="K643" s="364"/>
      <c r="L643" s="364"/>
      <c r="M643" s="364"/>
      <c r="N643" s="364"/>
      <c r="O643" s="364"/>
      <c r="P643" s="364"/>
      <c r="Q643" s="364"/>
      <c r="R643" s="364"/>
      <c r="S643" s="364"/>
      <c r="T643" s="364"/>
      <c r="U643" s="364"/>
      <c r="V643" s="364"/>
      <c r="W643" s="364"/>
      <c r="X643" s="364"/>
      <c r="Y643" s="364"/>
      <c r="Z643" s="364"/>
    </row>
    <row r="644" spans="1:26" ht="15.75" customHeight="1" x14ac:dyDescent="0.25">
      <c r="A644" s="364"/>
      <c r="B644" s="364"/>
      <c r="C644" s="364"/>
      <c r="D644" s="364"/>
      <c r="E644" s="364"/>
      <c r="F644" s="364"/>
      <c r="G644" s="364"/>
      <c r="H644" s="364"/>
      <c r="I644" s="364"/>
      <c r="J644" s="364"/>
      <c r="K644" s="364"/>
      <c r="L644" s="364"/>
      <c r="M644" s="364"/>
      <c r="N644" s="364"/>
      <c r="O644" s="364"/>
      <c r="P644" s="364"/>
      <c r="Q644" s="364"/>
      <c r="R644" s="364"/>
      <c r="S644" s="364"/>
      <c r="T644" s="364"/>
      <c r="U644" s="364"/>
      <c r="V644" s="364"/>
      <c r="W644" s="364"/>
      <c r="X644" s="364"/>
      <c r="Y644" s="364"/>
      <c r="Z644" s="364"/>
    </row>
    <row r="645" spans="1:26" ht="15.75" customHeight="1" x14ac:dyDescent="0.25">
      <c r="A645" s="364"/>
      <c r="B645" s="364"/>
      <c r="C645" s="364"/>
      <c r="D645" s="364"/>
      <c r="E645" s="364"/>
      <c r="F645" s="364"/>
      <c r="G645" s="364"/>
      <c r="H645" s="364"/>
      <c r="I645" s="364"/>
      <c r="J645" s="364"/>
      <c r="K645" s="364"/>
      <c r="L645" s="364"/>
      <c r="M645" s="364"/>
      <c r="N645" s="364"/>
      <c r="O645" s="364"/>
      <c r="P645" s="364"/>
      <c r="Q645" s="364"/>
      <c r="R645" s="364"/>
      <c r="S645" s="364"/>
      <c r="T645" s="364"/>
      <c r="U645" s="364"/>
      <c r="V645" s="364"/>
      <c r="W645" s="364"/>
      <c r="X645" s="364"/>
      <c r="Y645" s="364"/>
      <c r="Z645" s="364"/>
    </row>
    <row r="646" spans="1:26" ht="15.75" customHeight="1" x14ac:dyDescent="0.25">
      <c r="A646" s="364"/>
      <c r="B646" s="364"/>
      <c r="C646" s="364"/>
      <c r="D646" s="364"/>
      <c r="E646" s="364"/>
      <c r="F646" s="364"/>
      <c r="G646" s="364"/>
      <c r="H646" s="364"/>
      <c r="I646" s="364"/>
      <c r="J646" s="364"/>
      <c r="K646" s="364"/>
      <c r="L646" s="364"/>
      <c r="M646" s="364"/>
      <c r="N646" s="364"/>
      <c r="O646" s="364"/>
      <c r="P646" s="364"/>
      <c r="Q646" s="364"/>
      <c r="R646" s="364"/>
      <c r="S646" s="364"/>
      <c r="T646" s="364"/>
      <c r="U646" s="364"/>
      <c r="V646" s="364"/>
      <c r="W646" s="364"/>
      <c r="X646" s="364"/>
      <c r="Y646" s="364"/>
      <c r="Z646" s="364"/>
    </row>
    <row r="647" spans="1:26" ht="15.75" customHeight="1" x14ac:dyDescent="0.25">
      <c r="A647" s="364"/>
      <c r="B647" s="364"/>
      <c r="C647" s="364"/>
      <c r="D647" s="364"/>
      <c r="E647" s="364"/>
      <c r="F647" s="364"/>
      <c r="G647" s="364"/>
      <c r="H647" s="364"/>
      <c r="I647" s="364"/>
      <c r="J647" s="364"/>
      <c r="K647" s="364"/>
      <c r="L647" s="364"/>
      <c r="M647" s="364"/>
      <c r="N647" s="364"/>
      <c r="O647" s="364"/>
      <c r="P647" s="364"/>
      <c r="Q647" s="364"/>
      <c r="R647" s="364"/>
      <c r="S647" s="364"/>
      <c r="T647" s="364"/>
      <c r="U647" s="364"/>
      <c r="V647" s="364"/>
      <c r="W647" s="364"/>
      <c r="X647" s="364"/>
      <c r="Y647" s="364"/>
      <c r="Z647" s="364"/>
    </row>
    <row r="648" spans="1:26" ht="15.75" customHeight="1" x14ac:dyDescent="0.25">
      <c r="A648" s="364"/>
      <c r="B648" s="364"/>
      <c r="C648" s="364"/>
      <c r="D648" s="364"/>
      <c r="E648" s="364"/>
      <c r="F648" s="364"/>
      <c r="G648" s="364"/>
      <c r="H648" s="364"/>
      <c r="I648" s="364"/>
      <c r="J648" s="364"/>
      <c r="K648" s="364"/>
      <c r="L648" s="364"/>
      <c r="M648" s="364"/>
      <c r="N648" s="364"/>
      <c r="O648" s="364"/>
      <c r="P648" s="364"/>
      <c r="Q648" s="364"/>
      <c r="R648" s="364"/>
      <c r="S648" s="364"/>
      <c r="T648" s="364"/>
      <c r="U648" s="364"/>
      <c r="V648" s="364"/>
      <c r="W648" s="364"/>
      <c r="X648" s="364"/>
      <c r="Y648" s="364"/>
      <c r="Z648" s="364"/>
    </row>
    <row r="649" spans="1:26" ht="15.75" customHeight="1" x14ac:dyDescent="0.25">
      <c r="A649" s="364"/>
      <c r="B649" s="364"/>
      <c r="C649" s="364"/>
      <c r="D649" s="364"/>
      <c r="E649" s="364"/>
      <c r="F649" s="364"/>
      <c r="G649" s="364"/>
      <c r="H649" s="364"/>
      <c r="I649" s="364"/>
      <c r="J649" s="364"/>
      <c r="K649" s="364"/>
      <c r="L649" s="364"/>
      <c r="M649" s="364"/>
      <c r="N649" s="364"/>
      <c r="O649" s="364"/>
      <c r="P649" s="364"/>
      <c r="Q649" s="364"/>
      <c r="R649" s="364"/>
      <c r="S649" s="364"/>
      <c r="T649" s="364"/>
      <c r="U649" s="364"/>
      <c r="V649" s="364"/>
      <c r="W649" s="364"/>
      <c r="X649" s="364"/>
      <c r="Y649" s="364"/>
      <c r="Z649" s="364"/>
    </row>
    <row r="650" spans="1:26" ht="15.75" customHeight="1" x14ac:dyDescent="0.25">
      <c r="A650" s="364"/>
      <c r="B650" s="364"/>
      <c r="C650" s="364"/>
      <c r="D650" s="364"/>
      <c r="E650" s="364"/>
      <c r="F650" s="364"/>
      <c r="G650" s="364"/>
      <c r="H650" s="364"/>
      <c r="I650" s="364"/>
      <c r="J650" s="364"/>
      <c r="K650" s="364"/>
      <c r="L650" s="364"/>
      <c r="M650" s="364"/>
      <c r="N650" s="364"/>
      <c r="O650" s="364"/>
      <c r="P650" s="364"/>
      <c r="Q650" s="364"/>
      <c r="R650" s="364"/>
      <c r="S650" s="364"/>
      <c r="T650" s="364"/>
      <c r="U650" s="364"/>
      <c r="V650" s="364"/>
      <c r="W650" s="364"/>
      <c r="X650" s="364"/>
      <c r="Y650" s="364"/>
      <c r="Z650" s="364"/>
    </row>
    <row r="651" spans="1:26" ht="15.75" customHeight="1" x14ac:dyDescent="0.25">
      <c r="A651" s="364"/>
      <c r="B651" s="364"/>
      <c r="C651" s="364"/>
      <c r="D651" s="364"/>
      <c r="E651" s="364"/>
      <c r="F651" s="364"/>
      <c r="G651" s="364"/>
      <c r="H651" s="364"/>
      <c r="I651" s="364"/>
      <c r="J651" s="364"/>
      <c r="K651" s="364"/>
      <c r="L651" s="364"/>
      <c r="M651" s="364"/>
      <c r="N651" s="364"/>
      <c r="O651" s="364"/>
      <c r="P651" s="364"/>
      <c r="Q651" s="364"/>
      <c r="R651" s="364"/>
      <c r="S651" s="364"/>
      <c r="T651" s="364"/>
      <c r="U651" s="364"/>
      <c r="V651" s="364"/>
      <c r="W651" s="364"/>
      <c r="X651" s="364"/>
      <c r="Y651" s="364"/>
      <c r="Z651" s="364"/>
    </row>
    <row r="652" spans="1:26" ht="15.75" customHeight="1" x14ac:dyDescent="0.25">
      <c r="A652" s="364"/>
      <c r="B652" s="364"/>
      <c r="C652" s="364"/>
      <c r="D652" s="364"/>
      <c r="E652" s="364"/>
      <c r="F652" s="364"/>
      <c r="G652" s="364"/>
      <c r="H652" s="364"/>
      <c r="I652" s="364"/>
      <c r="J652" s="364"/>
      <c r="K652" s="364"/>
      <c r="L652" s="364"/>
      <c r="M652" s="364"/>
      <c r="N652" s="364"/>
      <c r="O652" s="364"/>
      <c r="P652" s="364"/>
      <c r="Q652" s="364"/>
      <c r="R652" s="364"/>
      <c r="S652" s="364"/>
      <c r="T652" s="364"/>
      <c r="U652" s="364"/>
      <c r="V652" s="364"/>
      <c r="W652" s="364"/>
      <c r="X652" s="364"/>
      <c r="Y652" s="364"/>
      <c r="Z652" s="364"/>
    </row>
    <row r="653" spans="1:26" ht="15.75" customHeight="1" x14ac:dyDescent="0.25">
      <c r="A653" s="364"/>
      <c r="B653" s="364"/>
      <c r="C653" s="364"/>
      <c r="D653" s="364"/>
      <c r="E653" s="364"/>
      <c r="F653" s="364"/>
      <c r="G653" s="364"/>
      <c r="H653" s="364"/>
      <c r="I653" s="364"/>
      <c r="J653" s="364"/>
      <c r="K653" s="364"/>
      <c r="L653" s="364"/>
      <c r="M653" s="364"/>
      <c r="N653" s="364"/>
      <c r="O653" s="364"/>
      <c r="P653" s="364"/>
      <c r="Q653" s="364"/>
      <c r="R653" s="364"/>
      <c r="S653" s="364"/>
      <c r="T653" s="364"/>
      <c r="U653" s="364"/>
      <c r="V653" s="364"/>
      <c r="W653" s="364"/>
      <c r="X653" s="364"/>
      <c r="Y653" s="364"/>
      <c r="Z653" s="364"/>
    </row>
    <row r="654" spans="1:26" ht="15.75" customHeight="1" x14ac:dyDescent="0.25">
      <c r="A654" s="364"/>
      <c r="B654" s="364"/>
      <c r="C654" s="364"/>
      <c r="D654" s="364"/>
      <c r="E654" s="364"/>
      <c r="F654" s="364"/>
      <c r="G654" s="364"/>
      <c r="H654" s="364"/>
      <c r="I654" s="364"/>
      <c r="J654" s="364"/>
      <c r="K654" s="364"/>
      <c r="L654" s="364"/>
      <c r="M654" s="364"/>
      <c r="N654" s="364"/>
      <c r="O654" s="364"/>
      <c r="P654" s="364"/>
      <c r="Q654" s="364"/>
      <c r="R654" s="364"/>
      <c r="S654" s="364"/>
      <c r="T654" s="364"/>
      <c r="U654" s="364"/>
      <c r="V654" s="364"/>
      <c r="W654" s="364"/>
      <c r="X654" s="364"/>
      <c r="Y654" s="364"/>
      <c r="Z654" s="364"/>
    </row>
    <row r="655" spans="1:26" ht="15.75" customHeight="1" x14ac:dyDescent="0.25">
      <c r="A655" s="364"/>
      <c r="B655" s="364"/>
      <c r="C655" s="364"/>
      <c r="D655" s="364"/>
      <c r="E655" s="364"/>
      <c r="F655" s="364"/>
      <c r="G655" s="364"/>
      <c r="H655" s="364"/>
      <c r="I655" s="364"/>
      <c r="J655" s="364"/>
      <c r="K655" s="364"/>
      <c r="L655" s="364"/>
      <c r="M655" s="364"/>
      <c r="N655" s="364"/>
      <c r="O655" s="364"/>
      <c r="P655" s="364"/>
      <c r="Q655" s="364"/>
      <c r="R655" s="364"/>
      <c r="S655" s="364"/>
      <c r="T655" s="364"/>
      <c r="U655" s="364"/>
      <c r="V655" s="364"/>
      <c r="W655" s="364"/>
      <c r="X655" s="364"/>
      <c r="Y655" s="364"/>
      <c r="Z655" s="364"/>
    </row>
    <row r="656" spans="1:26" ht="15.75" customHeight="1" x14ac:dyDescent="0.25">
      <c r="A656" s="364"/>
      <c r="B656" s="364"/>
      <c r="C656" s="364"/>
      <c r="D656" s="364"/>
      <c r="E656" s="364"/>
      <c r="F656" s="364"/>
      <c r="G656" s="364"/>
      <c r="H656" s="364"/>
      <c r="I656" s="364"/>
      <c r="J656" s="364"/>
      <c r="K656" s="364"/>
      <c r="L656" s="364"/>
      <c r="M656" s="364"/>
      <c r="N656" s="364"/>
      <c r="O656" s="364"/>
      <c r="P656" s="364"/>
      <c r="Q656" s="364"/>
      <c r="R656" s="364"/>
      <c r="S656" s="364"/>
      <c r="T656" s="364"/>
      <c r="U656" s="364"/>
      <c r="V656" s="364"/>
      <c r="W656" s="364"/>
      <c r="X656" s="364"/>
      <c r="Y656" s="364"/>
      <c r="Z656" s="364"/>
    </row>
    <row r="657" spans="1:26" ht="15.75" customHeight="1" x14ac:dyDescent="0.25">
      <c r="A657" s="364"/>
      <c r="B657" s="364"/>
      <c r="C657" s="364"/>
      <c r="D657" s="364"/>
      <c r="E657" s="364"/>
      <c r="F657" s="364"/>
      <c r="G657" s="364"/>
      <c r="H657" s="364"/>
      <c r="I657" s="364"/>
      <c r="J657" s="364"/>
      <c r="K657" s="364"/>
      <c r="L657" s="364"/>
      <c r="M657" s="364"/>
      <c r="N657" s="364"/>
      <c r="O657" s="364"/>
      <c r="P657" s="364"/>
      <c r="Q657" s="364"/>
      <c r="R657" s="364"/>
      <c r="S657" s="364"/>
      <c r="T657" s="364"/>
      <c r="U657" s="364"/>
      <c r="V657" s="364"/>
      <c r="W657" s="364"/>
      <c r="X657" s="364"/>
      <c r="Y657" s="364"/>
      <c r="Z657" s="364"/>
    </row>
    <row r="658" spans="1:26" ht="15.75" customHeight="1" x14ac:dyDescent="0.25">
      <c r="A658" s="364"/>
      <c r="B658" s="364"/>
      <c r="C658" s="364"/>
      <c r="D658" s="364"/>
      <c r="E658" s="364"/>
      <c r="F658" s="364"/>
      <c r="G658" s="364"/>
      <c r="H658" s="364"/>
      <c r="I658" s="364"/>
      <c r="J658" s="364"/>
      <c r="K658" s="364"/>
      <c r="L658" s="364"/>
      <c r="M658" s="364"/>
      <c r="N658" s="364"/>
      <c r="O658" s="364"/>
      <c r="P658" s="364"/>
      <c r="Q658" s="364"/>
      <c r="R658" s="364"/>
      <c r="S658" s="364"/>
      <c r="T658" s="364"/>
      <c r="U658" s="364"/>
      <c r="V658" s="364"/>
      <c r="W658" s="364"/>
      <c r="X658" s="364"/>
      <c r="Y658" s="364"/>
      <c r="Z658" s="364"/>
    </row>
    <row r="659" spans="1:26" ht="15.75" customHeight="1" x14ac:dyDescent="0.25">
      <c r="A659" s="364"/>
      <c r="B659" s="364"/>
      <c r="C659" s="364"/>
      <c r="D659" s="364"/>
      <c r="E659" s="364"/>
      <c r="F659" s="364"/>
      <c r="G659" s="364"/>
      <c r="H659" s="364"/>
      <c r="I659" s="364"/>
      <c r="J659" s="364"/>
      <c r="K659" s="364"/>
      <c r="L659" s="364"/>
      <c r="M659" s="364"/>
      <c r="N659" s="364"/>
      <c r="O659" s="364"/>
      <c r="P659" s="364"/>
      <c r="Q659" s="364"/>
      <c r="R659" s="364"/>
      <c r="S659" s="364"/>
      <c r="T659" s="364"/>
      <c r="U659" s="364"/>
      <c r="V659" s="364"/>
      <c r="W659" s="364"/>
      <c r="X659" s="364"/>
      <c r="Y659" s="364"/>
      <c r="Z659" s="364"/>
    </row>
    <row r="660" spans="1:26" ht="15.75" customHeight="1" x14ac:dyDescent="0.25">
      <c r="A660" s="364"/>
      <c r="B660" s="364"/>
      <c r="C660" s="364"/>
      <c r="D660" s="364"/>
      <c r="E660" s="364"/>
      <c r="F660" s="364"/>
      <c r="G660" s="364"/>
      <c r="H660" s="364"/>
      <c r="I660" s="364"/>
      <c r="J660" s="364"/>
      <c r="K660" s="364"/>
      <c r="L660" s="364"/>
      <c r="M660" s="364"/>
      <c r="N660" s="364"/>
      <c r="O660" s="364"/>
      <c r="P660" s="364"/>
      <c r="Q660" s="364"/>
      <c r="R660" s="364"/>
      <c r="S660" s="364"/>
      <c r="T660" s="364"/>
      <c r="U660" s="364"/>
      <c r="V660" s="364"/>
      <c r="W660" s="364"/>
      <c r="X660" s="364"/>
      <c r="Y660" s="364"/>
      <c r="Z660" s="364"/>
    </row>
    <row r="661" spans="1:26" ht="15.75" customHeight="1" x14ac:dyDescent="0.25">
      <c r="A661" s="364"/>
      <c r="B661" s="364"/>
      <c r="C661" s="364"/>
      <c r="D661" s="364"/>
      <c r="E661" s="364"/>
      <c r="F661" s="364"/>
      <c r="G661" s="364"/>
      <c r="H661" s="364"/>
      <c r="I661" s="364"/>
      <c r="J661" s="364"/>
      <c r="K661" s="364"/>
      <c r="L661" s="364"/>
      <c r="M661" s="364"/>
      <c r="N661" s="364"/>
      <c r="O661" s="364"/>
      <c r="P661" s="364"/>
      <c r="Q661" s="364"/>
      <c r="R661" s="364"/>
      <c r="S661" s="364"/>
      <c r="T661" s="364"/>
      <c r="U661" s="364"/>
      <c r="V661" s="364"/>
      <c r="W661" s="364"/>
      <c r="X661" s="364"/>
      <c r="Y661" s="364"/>
      <c r="Z661" s="364"/>
    </row>
    <row r="662" spans="1:26" ht="15.75" customHeight="1" x14ac:dyDescent="0.25">
      <c r="A662" s="364"/>
      <c r="B662" s="364"/>
      <c r="C662" s="364"/>
      <c r="D662" s="364"/>
      <c r="E662" s="364"/>
      <c r="F662" s="364"/>
      <c r="G662" s="364"/>
      <c r="H662" s="364"/>
      <c r="I662" s="364"/>
      <c r="J662" s="364"/>
      <c r="K662" s="364"/>
      <c r="L662" s="364"/>
      <c r="M662" s="364"/>
      <c r="N662" s="364"/>
      <c r="O662" s="364"/>
      <c r="P662" s="364"/>
      <c r="Q662" s="364"/>
      <c r="R662" s="364"/>
      <c r="S662" s="364"/>
      <c r="T662" s="364"/>
      <c r="U662" s="364"/>
      <c r="V662" s="364"/>
      <c r="W662" s="364"/>
      <c r="X662" s="364"/>
      <c r="Y662" s="364"/>
      <c r="Z662" s="364"/>
    </row>
    <row r="663" spans="1:26" ht="15.75" customHeight="1" x14ac:dyDescent="0.25">
      <c r="A663" s="364"/>
      <c r="B663" s="364"/>
      <c r="C663" s="364"/>
      <c r="D663" s="364"/>
      <c r="E663" s="364"/>
      <c r="F663" s="364"/>
      <c r="G663" s="364"/>
      <c r="H663" s="364"/>
      <c r="I663" s="364"/>
      <c r="J663" s="364"/>
      <c r="K663" s="364"/>
      <c r="L663" s="364"/>
      <c r="M663" s="364"/>
      <c r="N663" s="364"/>
      <c r="O663" s="364"/>
      <c r="P663" s="364"/>
      <c r="Q663" s="364"/>
      <c r="R663" s="364"/>
      <c r="S663" s="364"/>
      <c r="T663" s="364"/>
      <c r="U663" s="364"/>
      <c r="V663" s="364"/>
      <c r="W663" s="364"/>
      <c r="X663" s="364"/>
      <c r="Y663" s="364"/>
      <c r="Z663" s="364"/>
    </row>
    <row r="664" spans="1:26" ht="15.75" customHeight="1" x14ac:dyDescent="0.25">
      <c r="A664" s="364"/>
      <c r="B664" s="364"/>
      <c r="C664" s="364"/>
      <c r="D664" s="364"/>
      <c r="E664" s="364"/>
      <c r="F664" s="364"/>
      <c r="G664" s="364"/>
      <c r="H664" s="364"/>
      <c r="I664" s="364"/>
      <c r="J664" s="364"/>
      <c r="K664" s="364"/>
      <c r="L664" s="364"/>
      <c r="M664" s="364"/>
      <c r="N664" s="364"/>
      <c r="O664" s="364"/>
      <c r="P664" s="364"/>
      <c r="Q664" s="364"/>
      <c r="R664" s="364"/>
      <c r="S664" s="364"/>
      <c r="T664" s="364"/>
      <c r="U664" s="364"/>
      <c r="V664" s="364"/>
      <c r="W664" s="364"/>
      <c r="X664" s="364"/>
      <c r="Y664" s="364"/>
      <c r="Z664" s="364"/>
    </row>
    <row r="665" spans="1:26" ht="15.75" customHeight="1" x14ac:dyDescent="0.25">
      <c r="A665" s="364"/>
      <c r="B665" s="364"/>
      <c r="C665" s="364"/>
      <c r="D665" s="364"/>
      <c r="E665" s="364"/>
      <c r="F665" s="364"/>
      <c r="G665" s="364"/>
      <c r="H665" s="364"/>
      <c r="I665" s="364"/>
      <c r="J665" s="364"/>
      <c r="K665" s="364"/>
      <c r="L665" s="364"/>
      <c r="M665" s="364"/>
      <c r="N665" s="364"/>
      <c r="O665" s="364"/>
      <c r="P665" s="364"/>
      <c r="Q665" s="364"/>
      <c r="R665" s="364"/>
      <c r="S665" s="364"/>
      <c r="T665" s="364"/>
      <c r="U665" s="364"/>
      <c r="V665" s="364"/>
      <c r="W665" s="364"/>
      <c r="X665" s="364"/>
      <c r="Y665" s="364"/>
      <c r="Z665" s="364"/>
    </row>
    <row r="666" spans="1:26" ht="15.75" customHeight="1" x14ac:dyDescent="0.25">
      <c r="A666" s="364"/>
      <c r="B666" s="364"/>
      <c r="C666" s="364"/>
      <c r="D666" s="364"/>
      <c r="E666" s="364"/>
      <c r="F666" s="364"/>
      <c r="G666" s="364"/>
      <c r="H666" s="364"/>
      <c r="I666" s="364"/>
      <c r="J666" s="364"/>
      <c r="K666" s="364"/>
      <c r="L666" s="364"/>
      <c r="M666" s="364"/>
      <c r="N666" s="364"/>
      <c r="O666" s="364"/>
      <c r="P666" s="364"/>
      <c r="Q666" s="364"/>
      <c r="R666" s="364"/>
      <c r="S666" s="364"/>
      <c r="T666" s="364"/>
      <c r="U666" s="364"/>
      <c r="V666" s="364"/>
      <c r="W666" s="364"/>
      <c r="X666" s="364"/>
      <c r="Y666" s="364"/>
      <c r="Z666" s="364"/>
    </row>
    <row r="667" spans="1:26" ht="15.75" customHeight="1" x14ac:dyDescent="0.25">
      <c r="A667" s="364"/>
      <c r="B667" s="364"/>
      <c r="C667" s="364"/>
      <c r="D667" s="364"/>
      <c r="E667" s="364"/>
      <c r="F667" s="364"/>
      <c r="G667" s="364"/>
      <c r="H667" s="364"/>
      <c r="I667" s="364"/>
      <c r="J667" s="364"/>
      <c r="K667" s="364"/>
      <c r="L667" s="364"/>
      <c r="M667" s="364"/>
      <c r="N667" s="364"/>
      <c r="O667" s="364"/>
      <c r="P667" s="364"/>
      <c r="Q667" s="364"/>
      <c r="R667" s="364"/>
      <c r="S667" s="364"/>
      <c r="T667" s="364"/>
      <c r="U667" s="364"/>
      <c r="V667" s="364"/>
      <c r="W667" s="364"/>
      <c r="X667" s="364"/>
      <c r="Y667" s="364"/>
      <c r="Z667" s="364"/>
    </row>
    <row r="668" spans="1:26" ht="15.75" customHeight="1" x14ac:dyDescent="0.25">
      <c r="A668" s="364"/>
      <c r="B668" s="364"/>
      <c r="C668" s="364"/>
      <c r="D668" s="364"/>
      <c r="E668" s="364"/>
      <c r="F668" s="364"/>
      <c r="G668" s="364"/>
      <c r="H668" s="364"/>
      <c r="I668" s="364"/>
      <c r="J668" s="364"/>
      <c r="K668" s="364"/>
      <c r="L668" s="364"/>
      <c r="M668" s="364"/>
      <c r="N668" s="364"/>
      <c r="O668" s="364"/>
      <c r="P668" s="364"/>
      <c r="Q668" s="364"/>
      <c r="R668" s="364"/>
      <c r="S668" s="364"/>
      <c r="T668" s="364"/>
      <c r="U668" s="364"/>
      <c r="V668" s="364"/>
      <c r="W668" s="364"/>
      <c r="X668" s="364"/>
      <c r="Y668" s="364"/>
      <c r="Z668" s="364"/>
    </row>
    <row r="669" spans="1:26" ht="15.75" customHeight="1" x14ac:dyDescent="0.25">
      <c r="A669" s="364"/>
      <c r="B669" s="364"/>
      <c r="C669" s="364"/>
      <c r="D669" s="364"/>
      <c r="E669" s="364"/>
      <c r="F669" s="364"/>
      <c r="G669" s="364"/>
      <c r="H669" s="364"/>
      <c r="I669" s="364"/>
      <c r="J669" s="364"/>
      <c r="K669" s="364"/>
      <c r="L669" s="364"/>
      <c r="M669" s="364"/>
      <c r="N669" s="364"/>
      <c r="O669" s="364"/>
      <c r="P669" s="364"/>
      <c r="Q669" s="364"/>
      <c r="R669" s="364"/>
      <c r="S669" s="364"/>
      <c r="T669" s="364"/>
      <c r="U669" s="364"/>
      <c r="V669" s="364"/>
      <c r="W669" s="364"/>
      <c r="X669" s="364"/>
      <c r="Y669" s="364"/>
      <c r="Z669" s="364"/>
    </row>
    <row r="670" spans="1:26" ht="15.75" customHeight="1" x14ac:dyDescent="0.25">
      <c r="A670" s="364"/>
      <c r="B670" s="364"/>
      <c r="C670" s="364"/>
      <c r="D670" s="364"/>
      <c r="E670" s="364"/>
      <c r="F670" s="364"/>
      <c r="G670" s="364"/>
      <c r="H670" s="364"/>
      <c r="I670" s="364"/>
      <c r="J670" s="364"/>
      <c r="K670" s="364"/>
      <c r="L670" s="364"/>
      <c r="M670" s="364"/>
      <c r="N670" s="364"/>
      <c r="O670" s="364"/>
      <c r="P670" s="364"/>
      <c r="Q670" s="364"/>
      <c r="R670" s="364"/>
      <c r="S670" s="364"/>
      <c r="T670" s="364"/>
      <c r="U670" s="364"/>
      <c r="V670" s="364"/>
      <c r="W670" s="364"/>
      <c r="X670" s="364"/>
      <c r="Y670" s="364"/>
      <c r="Z670" s="364"/>
    </row>
    <row r="671" spans="1:26" ht="15.75" customHeight="1" x14ac:dyDescent="0.25">
      <c r="A671" s="364"/>
      <c r="B671" s="364"/>
      <c r="C671" s="364"/>
      <c r="D671" s="364"/>
      <c r="E671" s="364"/>
      <c r="F671" s="364"/>
      <c r="G671" s="364"/>
      <c r="H671" s="364"/>
      <c r="I671" s="364"/>
      <c r="J671" s="364"/>
      <c r="K671" s="364"/>
      <c r="L671" s="364"/>
      <c r="M671" s="364"/>
      <c r="N671" s="364"/>
      <c r="O671" s="364"/>
      <c r="P671" s="364"/>
      <c r="Q671" s="364"/>
      <c r="R671" s="364"/>
      <c r="S671" s="364"/>
      <c r="T671" s="364"/>
      <c r="U671" s="364"/>
      <c r="V671" s="364"/>
      <c r="W671" s="364"/>
      <c r="X671" s="364"/>
      <c r="Y671" s="364"/>
      <c r="Z671" s="364"/>
    </row>
    <row r="672" spans="1:26" ht="15.75" customHeight="1" x14ac:dyDescent="0.25">
      <c r="A672" s="364"/>
      <c r="B672" s="364"/>
      <c r="C672" s="364"/>
      <c r="D672" s="364"/>
      <c r="E672" s="364"/>
      <c r="F672" s="364"/>
      <c r="G672" s="364"/>
      <c r="H672" s="364"/>
      <c r="I672" s="364"/>
      <c r="J672" s="364"/>
      <c r="K672" s="364"/>
      <c r="L672" s="364"/>
      <c r="M672" s="364"/>
      <c r="N672" s="364"/>
      <c r="O672" s="364"/>
      <c r="P672" s="364"/>
      <c r="Q672" s="364"/>
      <c r="R672" s="364"/>
      <c r="S672" s="364"/>
      <c r="T672" s="364"/>
      <c r="U672" s="364"/>
      <c r="V672" s="364"/>
      <c r="W672" s="364"/>
      <c r="X672" s="364"/>
      <c r="Y672" s="364"/>
      <c r="Z672" s="364"/>
    </row>
    <row r="673" spans="1:26" ht="15.75" customHeight="1" x14ac:dyDescent="0.25">
      <c r="A673" s="364"/>
      <c r="B673" s="364"/>
      <c r="C673" s="364"/>
      <c r="D673" s="364"/>
      <c r="E673" s="364"/>
      <c r="F673" s="364"/>
      <c r="G673" s="364"/>
      <c r="H673" s="364"/>
      <c r="I673" s="364"/>
      <c r="J673" s="364"/>
      <c r="K673" s="364"/>
      <c r="L673" s="364"/>
      <c r="M673" s="364"/>
      <c r="N673" s="364"/>
      <c r="O673" s="364"/>
      <c r="P673" s="364"/>
      <c r="Q673" s="364"/>
      <c r="R673" s="364"/>
      <c r="S673" s="364"/>
      <c r="T673" s="364"/>
      <c r="U673" s="364"/>
      <c r="V673" s="364"/>
      <c r="W673" s="364"/>
      <c r="X673" s="364"/>
      <c r="Y673" s="364"/>
      <c r="Z673" s="364"/>
    </row>
    <row r="674" spans="1:26" ht="15.75" customHeight="1" x14ac:dyDescent="0.25">
      <c r="A674" s="364"/>
      <c r="B674" s="364"/>
      <c r="C674" s="364"/>
      <c r="D674" s="364"/>
      <c r="E674" s="364"/>
      <c r="F674" s="364"/>
      <c r="G674" s="364"/>
      <c r="H674" s="364"/>
      <c r="I674" s="364"/>
      <c r="J674" s="364"/>
      <c r="K674" s="364"/>
      <c r="L674" s="364"/>
      <c r="M674" s="364"/>
      <c r="N674" s="364"/>
      <c r="O674" s="364"/>
      <c r="P674" s="364"/>
      <c r="Q674" s="364"/>
      <c r="R674" s="364"/>
      <c r="S674" s="364"/>
      <c r="T674" s="364"/>
      <c r="U674" s="364"/>
      <c r="V674" s="364"/>
      <c r="W674" s="364"/>
      <c r="X674" s="364"/>
      <c r="Y674" s="364"/>
      <c r="Z674" s="364"/>
    </row>
    <row r="675" spans="1:26" ht="15.75" customHeight="1" x14ac:dyDescent="0.25">
      <c r="A675" s="364"/>
      <c r="B675" s="364"/>
      <c r="C675" s="364"/>
      <c r="D675" s="364"/>
      <c r="E675" s="364"/>
      <c r="F675" s="364"/>
      <c r="G675" s="364"/>
      <c r="H675" s="364"/>
      <c r="I675" s="364"/>
      <c r="J675" s="364"/>
      <c r="K675" s="364"/>
      <c r="L675" s="364"/>
      <c r="M675" s="364"/>
      <c r="N675" s="364"/>
      <c r="O675" s="364"/>
      <c r="P675" s="364"/>
      <c r="Q675" s="364"/>
      <c r="R675" s="364"/>
      <c r="S675" s="364"/>
      <c r="T675" s="364"/>
      <c r="U675" s="364"/>
      <c r="V675" s="364"/>
      <c r="W675" s="364"/>
      <c r="X675" s="364"/>
      <c r="Y675" s="364"/>
      <c r="Z675" s="364"/>
    </row>
    <row r="676" spans="1:26" ht="15.75" customHeight="1" x14ac:dyDescent="0.25">
      <c r="A676" s="364"/>
      <c r="B676" s="364"/>
      <c r="C676" s="364"/>
      <c r="D676" s="364"/>
      <c r="E676" s="364"/>
      <c r="F676" s="364"/>
      <c r="G676" s="364"/>
      <c r="H676" s="364"/>
      <c r="I676" s="364"/>
      <c r="J676" s="364"/>
      <c r="K676" s="364"/>
      <c r="L676" s="364"/>
      <c r="M676" s="364"/>
      <c r="N676" s="364"/>
      <c r="O676" s="364"/>
      <c r="P676" s="364"/>
      <c r="Q676" s="364"/>
      <c r="R676" s="364"/>
      <c r="S676" s="364"/>
      <c r="T676" s="364"/>
      <c r="U676" s="364"/>
      <c r="V676" s="364"/>
      <c r="W676" s="364"/>
      <c r="X676" s="364"/>
      <c r="Y676" s="364"/>
      <c r="Z676" s="364"/>
    </row>
    <row r="677" spans="1:26" ht="15.75" customHeight="1" x14ac:dyDescent="0.25">
      <c r="A677" s="364"/>
      <c r="B677" s="364"/>
      <c r="C677" s="364"/>
      <c r="D677" s="364"/>
      <c r="E677" s="364"/>
      <c r="F677" s="364"/>
      <c r="G677" s="364"/>
      <c r="H677" s="364"/>
      <c r="I677" s="364"/>
      <c r="J677" s="364"/>
      <c r="K677" s="364"/>
      <c r="L677" s="364"/>
      <c r="M677" s="364"/>
      <c r="N677" s="364"/>
      <c r="O677" s="364"/>
      <c r="P677" s="364"/>
      <c r="Q677" s="364"/>
      <c r="R677" s="364"/>
      <c r="S677" s="364"/>
      <c r="T677" s="364"/>
      <c r="U677" s="364"/>
      <c r="V677" s="364"/>
      <c r="W677" s="364"/>
      <c r="X677" s="364"/>
      <c r="Y677" s="364"/>
      <c r="Z677" s="364"/>
    </row>
    <row r="678" spans="1:26" ht="15.75" customHeight="1" x14ac:dyDescent="0.25">
      <c r="A678" s="364"/>
      <c r="B678" s="364"/>
      <c r="C678" s="364"/>
      <c r="D678" s="364"/>
      <c r="E678" s="364"/>
      <c r="F678" s="364"/>
      <c r="G678" s="364"/>
      <c r="H678" s="364"/>
      <c r="I678" s="364"/>
      <c r="J678" s="364"/>
      <c r="K678" s="364"/>
      <c r="L678" s="364"/>
      <c r="M678" s="364"/>
      <c r="N678" s="364"/>
      <c r="O678" s="364"/>
      <c r="P678" s="364"/>
      <c r="Q678" s="364"/>
      <c r="R678" s="364"/>
      <c r="S678" s="364"/>
      <c r="T678" s="364"/>
      <c r="U678" s="364"/>
      <c r="V678" s="364"/>
      <c r="W678" s="364"/>
      <c r="X678" s="364"/>
      <c r="Y678" s="364"/>
      <c r="Z678" s="364"/>
    </row>
    <row r="679" spans="1:26" ht="15.75" customHeight="1" x14ac:dyDescent="0.25">
      <c r="A679" s="364"/>
      <c r="B679" s="364"/>
      <c r="C679" s="364"/>
      <c r="D679" s="364"/>
      <c r="E679" s="364"/>
      <c r="F679" s="364"/>
      <c r="G679" s="364"/>
      <c r="H679" s="364"/>
      <c r="I679" s="364"/>
      <c r="J679" s="364"/>
      <c r="K679" s="364"/>
      <c r="L679" s="364"/>
      <c r="M679" s="364"/>
      <c r="N679" s="364"/>
      <c r="O679" s="364"/>
      <c r="P679" s="364"/>
      <c r="Q679" s="364"/>
      <c r="R679" s="364"/>
      <c r="S679" s="364"/>
      <c r="T679" s="364"/>
      <c r="U679" s="364"/>
      <c r="V679" s="364"/>
      <c r="W679" s="364"/>
      <c r="X679" s="364"/>
      <c r="Y679" s="364"/>
      <c r="Z679" s="364"/>
    </row>
    <row r="680" spans="1:26" ht="15.75" customHeight="1" x14ac:dyDescent="0.25">
      <c r="A680" s="364"/>
      <c r="B680" s="364"/>
      <c r="C680" s="364"/>
      <c r="D680" s="364"/>
      <c r="E680" s="364"/>
      <c r="F680" s="364"/>
      <c r="G680" s="364"/>
      <c r="H680" s="364"/>
      <c r="I680" s="364"/>
      <c r="J680" s="364"/>
      <c r="K680" s="364"/>
      <c r="L680" s="364"/>
      <c r="M680" s="364"/>
      <c r="N680" s="364"/>
      <c r="O680" s="364"/>
      <c r="P680" s="364"/>
      <c r="Q680" s="364"/>
      <c r="R680" s="364"/>
      <c r="S680" s="364"/>
      <c r="T680" s="364"/>
      <c r="U680" s="364"/>
      <c r="V680" s="364"/>
      <c r="W680" s="364"/>
      <c r="X680" s="364"/>
      <c r="Y680" s="364"/>
      <c r="Z680" s="364"/>
    </row>
    <row r="681" spans="1:26" ht="15.75" customHeight="1" x14ac:dyDescent="0.25">
      <c r="A681" s="364"/>
      <c r="B681" s="364"/>
      <c r="C681" s="364"/>
      <c r="D681" s="364"/>
      <c r="E681" s="364"/>
      <c r="F681" s="364"/>
      <c r="G681" s="364"/>
      <c r="H681" s="364"/>
      <c r="I681" s="364"/>
      <c r="J681" s="364"/>
      <c r="K681" s="364"/>
      <c r="L681" s="364"/>
      <c r="M681" s="364"/>
      <c r="N681" s="364"/>
      <c r="O681" s="364"/>
      <c r="P681" s="364"/>
      <c r="Q681" s="364"/>
      <c r="R681" s="364"/>
      <c r="S681" s="364"/>
      <c r="T681" s="364"/>
      <c r="U681" s="364"/>
      <c r="V681" s="364"/>
      <c r="W681" s="364"/>
      <c r="X681" s="364"/>
      <c r="Y681" s="364"/>
      <c r="Z681" s="364"/>
    </row>
    <row r="682" spans="1:26" ht="15.75" customHeight="1" x14ac:dyDescent="0.25">
      <c r="A682" s="364"/>
      <c r="B682" s="364"/>
      <c r="C682" s="364"/>
      <c r="D682" s="364"/>
      <c r="E682" s="364"/>
      <c r="F682" s="364"/>
      <c r="G682" s="364"/>
      <c r="H682" s="364"/>
      <c r="I682" s="364"/>
      <c r="J682" s="364"/>
      <c r="K682" s="364"/>
      <c r="L682" s="364"/>
      <c r="M682" s="364"/>
      <c r="N682" s="364"/>
      <c r="O682" s="364"/>
      <c r="P682" s="364"/>
      <c r="Q682" s="364"/>
      <c r="R682" s="364"/>
      <c r="S682" s="364"/>
      <c r="T682" s="364"/>
      <c r="U682" s="364"/>
      <c r="V682" s="364"/>
      <c r="W682" s="364"/>
      <c r="X682" s="364"/>
      <c r="Y682" s="364"/>
      <c r="Z682" s="364"/>
    </row>
    <row r="683" spans="1:26" ht="15.75" customHeight="1" x14ac:dyDescent="0.25">
      <c r="A683" s="364"/>
      <c r="B683" s="364"/>
      <c r="C683" s="364"/>
      <c r="D683" s="364"/>
      <c r="E683" s="364"/>
      <c r="F683" s="364"/>
      <c r="G683" s="364"/>
      <c r="H683" s="364"/>
      <c r="I683" s="364"/>
      <c r="J683" s="364"/>
      <c r="K683" s="364"/>
      <c r="L683" s="364"/>
      <c r="M683" s="364"/>
      <c r="N683" s="364"/>
      <c r="O683" s="364"/>
      <c r="P683" s="364"/>
      <c r="Q683" s="364"/>
      <c r="R683" s="364"/>
      <c r="S683" s="364"/>
      <c r="T683" s="364"/>
      <c r="U683" s="364"/>
      <c r="V683" s="364"/>
      <c r="W683" s="364"/>
      <c r="X683" s="364"/>
      <c r="Y683" s="364"/>
      <c r="Z683" s="364"/>
    </row>
    <row r="684" spans="1:26" ht="15.75" customHeight="1" x14ac:dyDescent="0.25">
      <c r="A684" s="364"/>
      <c r="B684" s="364"/>
      <c r="C684" s="364"/>
      <c r="D684" s="364"/>
      <c r="E684" s="364"/>
      <c r="F684" s="364"/>
      <c r="G684" s="364"/>
      <c r="H684" s="364"/>
      <c r="I684" s="364"/>
      <c r="J684" s="364"/>
      <c r="K684" s="364"/>
      <c r="L684" s="364"/>
      <c r="M684" s="364"/>
      <c r="N684" s="364"/>
      <c r="O684" s="364"/>
      <c r="P684" s="364"/>
      <c r="Q684" s="364"/>
      <c r="R684" s="364"/>
      <c r="S684" s="364"/>
      <c r="T684" s="364"/>
      <c r="U684" s="364"/>
      <c r="V684" s="364"/>
      <c r="W684" s="364"/>
      <c r="X684" s="364"/>
      <c r="Y684" s="364"/>
      <c r="Z684" s="364"/>
    </row>
    <row r="685" spans="1:26" ht="15.75" customHeight="1" x14ac:dyDescent="0.25">
      <c r="A685" s="364"/>
      <c r="B685" s="364"/>
      <c r="C685" s="364"/>
      <c r="D685" s="364"/>
      <c r="E685" s="364"/>
      <c r="F685" s="364"/>
      <c r="G685" s="364"/>
      <c r="H685" s="364"/>
      <c r="I685" s="364"/>
      <c r="J685" s="364"/>
      <c r="K685" s="364"/>
      <c r="L685" s="364"/>
      <c r="M685" s="364"/>
      <c r="N685" s="364"/>
      <c r="O685" s="364"/>
      <c r="P685" s="364"/>
      <c r="Q685" s="364"/>
      <c r="R685" s="364"/>
      <c r="S685" s="364"/>
      <c r="T685" s="364"/>
      <c r="U685" s="364"/>
      <c r="V685" s="364"/>
      <c r="W685" s="364"/>
      <c r="X685" s="364"/>
      <c r="Y685" s="364"/>
      <c r="Z685" s="364"/>
    </row>
    <row r="686" spans="1:26" ht="15.75" customHeight="1" x14ac:dyDescent="0.25">
      <c r="A686" s="364"/>
      <c r="B686" s="364"/>
      <c r="C686" s="364"/>
      <c r="D686" s="364"/>
      <c r="E686" s="364"/>
      <c r="F686" s="364"/>
      <c r="G686" s="364"/>
      <c r="H686" s="364"/>
      <c r="I686" s="364"/>
      <c r="J686" s="364"/>
      <c r="K686" s="364"/>
      <c r="L686" s="364"/>
      <c r="M686" s="364"/>
      <c r="N686" s="364"/>
      <c r="O686" s="364"/>
      <c r="P686" s="364"/>
      <c r="Q686" s="364"/>
      <c r="R686" s="364"/>
      <c r="S686" s="364"/>
      <c r="T686" s="364"/>
      <c r="U686" s="364"/>
      <c r="V686" s="364"/>
      <c r="W686" s="364"/>
      <c r="X686" s="364"/>
      <c r="Y686" s="364"/>
      <c r="Z686" s="364"/>
    </row>
    <row r="687" spans="1:26" ht="15.75" customHeight="1" x14ac:dyDescent="0.25">
      <c r="A687" s="364"/>
      <c r="B687" s="364"/>
      <c r="C687" s="364"/>
      <c r="D687" s="364"/>
      <c r="E687" s="364"/>
      <c r="F687" s="364"/>
      <c r="G687" s="364"/>
      <c r="H687" s="364"/>
      <c r="I687" s="364"/>
      <c r="J687" s="364"/>
      <c r="K687" s="364"/>
      <c r="L687" s="364"/>
      <c r="M687" s="364"/>
      <c r="N687" s="364"/>
      <c r="O687" s="364"/>
      <c r="P687" s="364"/>
      <c r="Q687" s="364"/>
      <c r="R687" s="364"/>
      <c r="S687" s="364"/>
      <c r="T687" s="364"/>
      <c r="U687" s="364"/>
      <c r="V687" s="364"/>
      <c r="W687" s="364"/>
      <c r="X687" s="364"/>
      <c r="Y687" s="364"/>
      <c r="Z687" s="364"/>
    </row>
    <row r="688" spans="1:26" ht="15.75" customHeight="1" x14ac:dyDescent="0.25">
      <c r="A688" s="364"/>
      <c r="B688" s="364"/>
      <c r="C688" s="364"/>
      <c r="D688" s="364"/>
      <c r="E688" s="364"/>
      <c r="F688" s="364"/>
      <c r="G688" s="364"/>
      <c r="H688" s="364"/>
      <c r="I688" s="364"/>
      <c r="J688" s="364"/>
      <c r="K688" s="364"/>
      <c r="L688" s="364"/>
      <c r="M688" s="364"/>
      <c r="N688" s="364"/>
      <c r="O688" s="364"/>
      <c r="P688" s="364"/>
      <c r="Q688" s="364"/>
      <c r="R688" s="364"/>
      <c r="S688" s="364"/>
      <c r="T688" s="364"/>
      <c r="U688" s="364"/>
      <c r="V688" s="364"/>
      <c r="W688" s="364"/>
      <c r="X688" s="364"/>
      <c r="Y688" s="364"/>
      <c r="Z688" s="364"/>
    </row>
    <row r="689" spans="1:26" ht="15.75" customHeight="1" x14ac:dyDescent="0.25">
      <c r="A689" s="364"/>
      <c r="B689" s="364"/>
      <c r="C689" s="364"/>
      <c r="D689" s="364"/>
      <c r="E689" s="364"/>
      <c r="F689" s="364"/>
      <c r="G689" s="364"/>
      <c r="H689" s="364"/>
      <c r="I689" s="364"/>
      <c r="J689" s="364"/>
      <c r="K689" s="364"/>
      <c r="L689" s="364"/>
      <c r="M689" s="364"/>
      <c r="N689" s="364"/>
      <c r="O689" s="364"/>
      <c r="P689" s="364"/>
      <c r="Q689" s="364"/>
      <c r="R689" s="364"/>
      <c r="S689" s="364"/>
      <c r="T689" s="364"/>
      <c r="U689" s="364"/>
      <c r="V689" s="364"/>
      <c r="W689" s="364"/>
      <c r="X689" s="364"/>
      <c r="Y689" s="364"/>
      <c r="Z689" s="364"/>
    </row>
    <row r="690" spans="1:26" ht="15.75" customHeight="1" x14ac:dyDescent="0.25">
      <c r="A690" s="364"/>
      <c r="B690" s="364"/>
      <c r="C690" s="364"/>
      <c r="D690" s="364"/>
      <c r="E690" s="364"/>
      <c r="F690" s="364"/>
      <c r="G690" s="364"/>
      <c r="H690" s="364"/>
      <c r="I690" s="364"/>
      <c r="J690" s="364"/>
      <c r="K690" s="364"/>
      <c r="L690" s="364"/>
      <c r="M690" s="364"/>
      <c r="N690" s="364"/>
      <c r="O690" s="364"/>
      <c r="P690" s="364"/>
      <c r="Q690" s="364"/>
      <c r="R690" s="364"/>
      <c r="S690" s="364"/>
      <c r="T690" s="364"/>
      <c r="U690" s="364"/>
      <c r="V690" s="364"/>
      <c r="W690" s="364"/>
      <c r="X690" s="364"/>
      <c r="Y690" s="364"/>
      <c r="Z690" s="364"/>
    </row>
    <row r="691" spans="1:26" ht="15.75" customHeight="1" x14ac:dyDescent="0.25">
      <c r="A691" s="364"/>
      <c r="B691" s="364"/>
      <c r="C691" s="364"/>
      <c r="D691" s="364"/>
      <c r="E691" s="364"/>
      <c r="F691" s="364"/>
      <c r="G691" s="364"/>
      <c r="H691" s="364"/>
      <c r="I691" s="364"/>
      <c r="J691" s="364"/>
      <c r="K691" s="364"/>
      <c r="L691" s="364"/>
      <c r="M691" s="364"/>
      <c r="N691" s="364"/>
      <c r="O691" s="364"/>
      <c r="P691" s="364"/>
      <c r="Q691" s="364"/>
      <c r="R691" s="364"/>
      <c r="S691" s="364"/>
      <c r="T691" s="364"/>
      <c r="U691" s="364"/>
      <c r="V691" s="364"/>
      <c r="W691" s="364"/>
      <c r="X691" s="364"/>
      <c r="Y691" s="364"/>
      <c r="Z691" s="364"/>
    </row>
    <row r="692" spans="1:26" ht="15.75" customHeight="1" x14ac:dyDescent="0.25">
      <c r="A692" s="364"/>
      <c r="B692" s="364"/>
      <c r="C692" s="364"/>
      <c r="D692" s="364"/>
      <c r="E692" s="364"/>
      <c r="F692" s="364"/>
      <c r="G692" s="364"/>
      <c r="H692" s="364"/>
      <c r="I692" s="364"/>
      <c r="J692" s="364"/>
      <c r="K692" s="364"/>
      <c r="L692" s="364"/>
      <c r="M692" s="364"/>
      <c r="N692" s="364"/>
      <c r="O692" s="364"/>
      <c r="P692" s="364"/>
      <c r="Q692" s="364"/>
      <c r="R692" s="364"/>
      <c r="S692" s="364"/>
      <c r="T692" s="364"/>
      <c r="U692" s="364"/>
      <c r="V692" s="364"/>
      <c r="W692" s="364"/>
      <c r="X692" s="364"/>
      <c r="Y692" s="364"/>
      <c r="Z692" s="364"/>
    </row>
    <row r="693" spans="1:26" ht="15.75" customHeight="1" x14ac:dyDescent="0.25">
      <c r="A693" s="364"/>
      <c r="B693" s="364"/>
      <c r="C693" s="364"/>
      <c r="D693" s="364"/>
      <c r="E693" s="364"/>
      <c r="F693" s="364"/>
      <c r="G693" s="364"/>
      <c r="H693" s="364"/>
      <c r="I693" s="364"/>
      <c r="J693" s="364"/>
      <c r="K693" s="364"/>
      <c r="L693" s="364"/>
      <c r="M693" s="364"/>
      <c r="N693" s="364"/>
      <c r="O693" s="364"/>
      <c r="P693" s="364"/>
      <c r="Q693" s="364"/>
      <c r="R693" s="364"/>
      <c r="S693" s="364"/>
      <c r="T693" s="364"/>
      <c r="U693" s="364"/>
      <c r="V693" s="364"/>
      <c r="W693" s="364"/>
      <c r="X693" s="364"/>
      <c r="Y693" s="364"/>
      <c r="Z693" s="364"/>
    </row>
    <row r="694" spans="1:26" ht="15.75" customHeight="1" x14ac:dyDescent="0.25">
      <c r="A694" s="364"/>
      <c r="B694" s="364"/>
      <c r="C694" s="364"/>
      <c r="D694" s="364"/>
      <c r="E694" s="364"/>
      <c r="F694" s="364"/>
      <c r="G694" s="364"/>
      <c r="H694" s="364"/>
      <c r="I694" s="364"/>
      <c r="J694" s="364"/>
      <c r="K694" s="364"/>
      <c r="L694" s="364"/>
      <c r="M694" s="364"/>
      <c r="N694" s="364"/>
      <c r="O694" s="364"/>
      <c r="P694" s="364"/>
      <c r="Q694" s="364"/>
      <c r="R694" s="364"/>
      <c r="S694" s="364"/>
      <c r="T694" s="364"/>
      <c r="U694" s="364"/>
      <c r="V694" s="364"/>
      <c r="W694" s="364"/>
      <c r="X694" s="364"/>
      <c r="Y694" s="364"/>
      <c r="Z694" s="364"/>
    </row>
    <row r="695" spans="1:26" ht="15.75" customHeight="1" x14ac:dyDescent="0.25">
      <c r="A695" s="364"/>
      <c r="B695" s="364"/>
      <c r="C695" s="364"/>
      <c r="D695" s="364"/>
      <c r="E695" s="364"/>
      <c r="F695" s="364"/>
      <c r="G695" s="364"/>
      <c r="H695" s="364"/>
      <c r="I695" s="364"/>
      <c r="J695" s="364"/>
      <c r="K695" s="364"/>
      <c r="L695" s="364"/>
      <c r="M695" s="364"/>
      <c r="N695" s="364"/>
      <c r="O695" s="364"/>
      <c r="P695" s="364"/>
      <c r="Q695" s="364"/>
      <c r="R695" s="364"/>
      <c r="S695" s="364"/>
      <c r="T695" s="364"/>
      <c r="U695" s="364"/>
      <c r="V695" s="364"/>
      <c r="W695" s="364"/>
      <c r="X695" s="364"/>
      <c r="Y695" s="364"/>
      <c r="Z695" s="364"/>
    </row>
    <row r="696" spans="1:26" ht="15.75" customHeight="1" x14ac:dyDescent="0.25">
      <c r="A696" s="364"/>
      <c r="B696" s="364"/>
      <c r="C696" s="364"/>
      <c r="D696" s="364"/>
      <c r="E696" s="364"/>
      <c r="F696" s="364"/>
      <c r="G696" s="364"/>
      <c r="H696" s="364"/>
      <c r="I696" s="364"/>
      <c r="J696" s="364"/>
      <c r="K696" s="364"/>
      <c r="L696" s="364"/>
      <c r="M696" s="364"/>
      <c r="N696" s="364"/>
      <c r="O696" s="364"/>
      <c r="P696" s="364"/>
      <c r="Q696" s="364"/>
      <c r="R696" s="364"/>
      <c r="S696" s="364"/>
      <c r="T696" s="364"/>
      <c r="U696" s="364"/>
      <c r="V696" s="364"/>
      <c r="W696" s="364"/>
      <c r="X696" s="364"/>
      <c r="Y696" s="364"/>
      <c r="Z696" s="364"/>
    </row>
    <row r="697" spans="1:26" ht="15.75" customHeight="1" x14ac:dyDescent="0.25">
      <c r="A697" s="364"/>
      <c r="B697" s="364"/>
      <c r="C697" s="364"/>
      <c r="D697" s="364"/>
      <c r="E697" s="364"/>
      <c r="F697" s="364"/>
      <c r="G697" s="364"/>
      <c r="H697" s="364"/>
      <c r="I697" s="364"/>
      <c r="J697" s="364"/>
      <c r="K697" s="364"/>
      <c r="L697" s="364"/>
      <c r="M697" s="364"/>
      <c r="N697" s="364"/>
      <c r="O697" s="364"/>
      <c r="P697" s="364"/>
      <c r="Q697" s="364"/>
      <c r="R697" s="364"/>
      <c r="S697" s="364"/>
      <c r="T697" s="364"/>
      <c r="U697" s="364"/>
      <c r="V697" s="364"/>
      <c r="W697" s="364"/>
      <c r="X697" s="364"/>
      <c r="Y697" s="364"/>
      <c r="Z697" s="364"/>
    </row>
    <row r="698" spans="1:26" ht="15.75" customHeight="1" x14ac:dyDescent="0.25">
      <c r="A698" s="364"/>
      <c r="B698" s="364"/>
      <c r="C698" s="364"/>
      <c r="D698" s="364"/>
      <c r="E698" s="364"/>
      <c r="F698" s="364"/>
      <c r="G698" s="364"/>
      <c r="H698" s="364"/>
      <c r="I698" s="364"/>
      <c r="J698" s="364"/>
      <c r="K698" s="364"/>
      <c r="L698" s="364"/>
      <c r="M698" s="364"/>
      <c r="N698" s="364"/>
      <c r="O698" s="364"/>
      <c r="P698" s="364"/>
      <c r="Q698" s="364"/>
      <c r="R698" s="364"/>
      <c r="S698" s="364"/>
      <c r="T698" s="364"/>
      <c r="U698" s="364"/>
      <c r="V698" s="364"/>
      <c r="W698" s="364"/>
      <c r="X698" s="364"/>
      <c r="Y698" s="364"/>
      <c r="Z698" s="364"/>
    </row>
    <row r="699" spans="1:26" ht="15.75" customHeight="1" x14ac:dyDescent="0.25">
      <c r="A699" s="364"/>
      <c r="B699" s="364"/>
      <c r="C699" s="364"/>
      <c r="D699" s="364"/>
      <c r="E699" s="364"/>
      <c r="F699" s="364"/>
      <c r="G699" s="364"/>
      <c r="H699" s="364"/>
      <c r="I699" s="364"/>
      <c r="J699" s="364"/>
      <c r="K699" s="364"/>
      <c r="L699" s="364"/>
      <c r="M699" s="364"/>
      <c r="N699" s="364"/>
      <c r="O699" s="364"/>
      <c r="P699" s="364"/>
      <c r="Q699" s="364"/>
      <c r="R699" s="364"/>
      <c r="S699" s="364"/>
      <c r="T699" s="364"/>
      <c r="U699" s="364"/>
      <c r="V699" s="364"/>
      <c r="W699" s="364"/>
      <c r="X699" s="364"/>
      <c r="Y699" s="364"/>
      <c r="Z699" s="364"/>
    </row>
    <row r="700" spans="1:26" ht="15.75" customHeight="1" x14ac:dyDescent="0.25">
      <c r="A700" s="364"/>
      <c r="B700" s="364"/>
      <c r="C700" s="364"/>
      <c r="D700" s="364"/>
      <c r="E700" s="364"/>
      <c r="F700" s="364"/>
      <c r="G700" s="364"/>
      <c r="H700" s="364"/>
      <c r="I700" s="364"/>
      <c r="J700" s="364"/>
      <c r="K700" s="364"/>
      <c r="L700" s="364"/>
      <c r="M700" s="364"/>
      <c r="N700" s="364"/>
      <c r="O700" s="364"/>
      <c r="P700" s="364"/>
      <c r="Q700" s="364"/>
      <c r="R700" s="364"/>
      <c r="S700" s="364"/>
      <c r="T700" s="364"/>
      <c r="U700" s="364"/>
      <c r="V700" s="364"/>
      <c r="W700" s="364"/>
      <c r="X700" s="364"/>
      <c r="Y700" s="364"/>
      <c r="Z700" s="364"/>
    </row>
    <row r="701" spans="1:26" ht="15.75" customHeight="1" x14ac:dyDescent="0.25">
      <c r="A701" s="364"/>
      <c r="B701" s="364"/>
      <c r="C701" s="364"/>
      <c r="D701" s="364"/>
      <c r="E701" s="364"/>
      <c r="F701" s="364"/>
      <c r="G701" s="364"/>
      <c r="H701" s="364"/>
      <c r="I701" s="364"/>
      <c r="J701" s="364"/>
      <c r="K701" s="364"/>
      <c r="L701" s="364"/>
      <c r="M701" s="364"/>
      <c r="N701" s="364"/>
      <c r="O701" s="364"/>
      <c r="P701" s="364"/>
      <c r="Q701" s="364"/>
      <c r="R701" s="364"/>
      <c r="S701" s="364"/>
      <c r="T701" s="364"/>
      <c r="U701" s="364"/>
      <c r="V701" s="364"/>
      <c r="W701" s="364"/>
      <c r="X701" s="364"/>
      <c r="Y701" s="364"/>
      <c r="Z701" s="364"/>
    </row>
    <row r="702" spans="1:26" ht="15.75" customHeight="1" x14ac:dyDescent="0.25">
      <c r="A702" s="364"/>
      <c r="B702" s="364"/>
      <c r="C702" s="364"/>
      <c r="D702" s="364"/>
      <c r="E702" s="364"/>
      <c r="F702" s="364"/>
      <c r="G702" s="364"/>
      <c r="H702" s="364"/>
      <c r="I702" s="364"/>
      <c r="J702" s="364"/>
      <c r="K702" s="364"/>
      <c r="L702" s="364"/>
      <c r="M702" s="364"/>
      <c r="N702" s="364"/>
      <c r="O702" s="364"/>
      <c r="P702" s="364"/>
      <c r="Q702" s="364"/>
      <c r="R702" s="364"/>
      <c r="S702" s="364"/>
      <c r="T702" s="364"/>
      <c r="U702" s="364"/>
      <c r="V702" s="364"/>
      <c r="W702" s="364"/>
      <c r="X702" s="364"/>
      <c r="Y702" s="364"/>
      <c r="Z702" s="364"/>
    </row>
    <row r="703" spans="1:26" ht="15.75" customHeight="1" x14ac:dyDescent="0.25">
      <c r="A703" s="364"/>
      <c r="B703" s="364"/>
      <c r="C703" s="364"/>
      <c r="D703" s="364"/>
      <c r="E703" s="364"/>
      <c r="F703" s="364"/>
      <c r="G703" s="364"/>
      <c r="H703" s="364"/>
      <c r="I703" s="364"/>
      <c r="J703" s="364"/>
      <c r="K703" s="364"/>
      <c r="L703" s="364"/>
      <c r="M703" s="364"/>
      <c r="N703" s="364"/>
      <c r="O703" s="364"/>
      <c r="P703" s="364"/>
      <c r="Q703" s="364"/>
      <c r="R703" s="364"/>
      <c r="S703" s="364"/>
      <c r="T703" s="364"/>
      <c r="U703" s="364"/>
      <c r="V703" s="364"/>
      <c r="W703" s="364"/>
      <c r="X703" s="364"/>
      <c r="Y703" s="364"/>
      <c r="Z703" s="364"/>
    </row>
    <row r="704" spans="1:26" ht="15.75" customHeight="1" x14ac:dyDescent="0.25">
      <c r="A704" s="364"/>
      <c r="B704" s="364"/>
      <c r="C704" s="364"/>
      <c r="D704" s="364"/>
      <c r="E704" s="364"/>
      <c r="F704" s="364"/>
      <c r="G704" s="364"/>
      <c r="H704" s="364"/>
      <c r="I704" s="364"/>
      <c r="J704" s="364"/>
      <c r="K704" s="364"/>
      <c r="L704" s="364"/>
      <c r="M704" s="364"/>
      <c r="N704" s="364"/>
      <c r="O704" s="364"/>
      <c r="P704" s="364"/>
      <c r="Q704" s="364"/>
      <c r="R704" s="364"/>
      <c r="S704" s="364"/>
      <c r="T704" s="364"/>
      <c r="U704" s="364"/>
      <c r="V704" s="364"/>
      <c r="W704" s="364"/>
      <c r="X704" s="364"/>
      <c r="Y704" s="364"/>
      <c r="Z704" s="364"/>
    </row>
    <row r="705" spans="1:26" ht="15.75" customHeight="1" x14ac:dyDescent="0.25">
      <c r="A705" s="364"/>
      <c r="B705" s="364"/>
      <c r="C705" s="364"/>
      <c r="D705" s="364"/>
      <c r="E705" s="364"/>
      <c r="F705" s="364"/>
      <c r="G705" s="364"/>
      <c r="H705" s="364"/>
      <c r="I705" s="364"/>
      <c r="J705" s="364"/>
      <c r="K705" s="364"/>
      <c r="L705" s="364"/>
      <c r="M705" s="364"/>
      <c r="N705" s="364"/>
      <c r="O705" s="364"/>
      <c r="P705" s="364"/>
      <c r="Q705" s="364"/>
      <c r="R705" s="364"/>
      <c r="S705" s="364"/>
      <c r="T705" s="364"/>
      <c r="U705" s="364"/>
      <c r="V705" s="364"/>
      <c r="W705" s="364"/>
      <c r="X705" s="364"/>
      <c r="Y705" s="364"/>
      <c r="Z705" s="364"/>
    </row>
    <row r="706" spans="1:26" ht="15.75" customHeight="1" x14ac:dyDescent="0.25">
      <c r="A706" s="364"/>
      <c r="B706" s="364"/>
      <c r="C706" s="364"/>
      <c r="D706" s="364"/>
      <c r="E706" s="364"/>
      <c r="F706" s="364"/>
      <c r="G706" s="364"/>
      <c r="H706" s="364"/>
      <c r="I706" s="364"/>
      <c r="J706" s="364"/>
      <c r="K706" s="364"/>
      <c r="L706" s="364"/>
      <c r="M706" s="364"/>
      <c r="N706" s="364"/>
      <c r="O706" s="364"/>
      <c r="P706" s="364"/>
      <c r="Q706" s="364"/>
      <c r="R706" s="364"/>
      <c r="S706" s="364"/>
      <c r="T706" s="364"/>
      <c r="U706" s="364"/>
      <c r="V706" s="364"/>
      <c r="W706" s="364"/>
      <c r="X706" s="364"/>
      <c r="Y706" s="364"/>
      <c r="Z706" s="364"/>
    </row>
    <row r="707" spans="1:26" ht="15.75" customHeight="1" x14ac:dyDescent="0.25">
      <c r="A707" s="364"/>
      <c r="B707" s="364"/>
      <c r="C707" s="364"/>
      <c r="D707" s="364"/>
      <c r="E707" s="364"/>
      <c r="F707" s="364"/>
      <c r="G707" s="364"/>
      <c r="H707" s="364"/>
      <c r="I707" s="364"/>
      <c r="J707" s="364"/>
      <c r="K707" s="364"/>
      <c r="L707" s="364"/>
      <c r="M707" s="364"/>
      <c r="N707" s="364"/>
      <c r="O707" s="364"/>
      <c r="P707" s="364"/>
      <c r="Q707" s="364"/>
      <c r="R707" s="364"/>
      <c r="S707" s="364"/>
      <c r="T707" s="364"/>
      <c r="U707" s="364"/>
      <c r="V707" s="364"/>
      <c r="W707" s="364"/>
      <c r="X707" s="364"/>
      <c r="Y707" s="364"/>
      <c r="Z707" s="364"/>
    </row>
    <row r="708" spans="1:26" ht="15.75" customHeight="1" x14ac:dyDescent="0.25">
      <c r="A708" s="364"/>
      <c r="B708" s="364"/>
      <c r="C708" s="364"/>
      <c r="D708" s="364"/>
      <c r="E708" s="364"/>
      <c r="F708" s="364"/>
      <c r="G708" s="364"/>
      <c r="H708" s="364"/>
      <c r="I708" s="364"/>
      <c r="J708" s="364"/>
      <c r="K708" s="364"/>
      <c r="L708" s="364"/>
      <c r="M708" s="364"/>
      <c r="N708" s="364"/>
      <c r="O708" s="364"/>
      <c r="P708" s="364"/>
      <c r="Q708" s="364"/>
      <c r="R708" s="364"/>
      <c r="S708" s="364"/>
      <c r="T708" s="364"/>
      <c r="U708" s="364"/>
      <c r="V708" s="364"/>
      <c r="W708" s="364"/>
      <c r="X708" s="364"/>
      <c r="Y708" s="364"/>
      <c r="Z708" s="364"/>
    </row>
    <row r="709" spans="1:26" ht="15.75" customHeight="1" x14ac:dyDescent="0.25">
      <c r="A709" s="364"/>
      <c r="B709" s="364"/>
      <c r="C709" s="364"/>
      <c r="D709" s="364"/>
      <c r="E709" s="364"/>
      <c r="F709" s="364"/>
      <c r="G709" s="364"/>
      <c r="H709" s="364"/>
      <c r="I709" s="364"/>
      <c r="J709" s="364"/>
      <c r="K709" s="364"/>
      <c r="L709" s="364"/>
      <c r="M709" s="364"/>
      <c r="N709" s="364"/>
      <c r="O709" s="364"/>
      <c r="P709" s="364"/>
      <c r="Q709" s="364"/>
      <c r="R709" s="364"/>
      <c r="S709" s="364"/>
      <c r="T709" s="364"/>
      <c r="U709" s="364"/>
      <c r="V709" s="364"/>
      <c r="W709" s="364"/>
      <c r="X709" s="364"/>
      <c r="Y709" s="364"/>
      <c r="Z709" s="364"/>
    </row>
    <row r="710" spans="1:26" ht="15.75" customHeight="1" x14ac:dyDescent="0.25">
      <c r="A710" s="364"/>
      <c r="B710" s="364"/>
      <c r="C710" s="364"/>
      <c r="D710" s="364"/>
      <c r="E710" s="364"/>
      <c r="F710" s="364"/>
      <c r="G710" s="364"/>
      <c r="H710" s="364"/>
      <c r="I710" s="364"/>
      <c r="J710" s="364"/>
      <c r="K710" s="364"/>
      <c r="L710" s="364"/>
      <c r="M710" s="364"/>
      <c r="N710" s="364"/>
      <c r="O710" s="364"/>
      <c r="P710" s="364"/>
      <c r="Q710" s="364"/>
      <c r="R710" s="364"/>
      <c r="S710" s="364"/>
      <c r="T710" s="364"/>
      <c r="U710" s="364"/>
      <c r="V710" s="364"/>
      <c r="W710" s="364"/>
      <c r="X710" s="364"/>
      <c r="Y710" s="364"/>
      <c r="Z710" s="364"/>
    </row>
    <row r="711" spans="1:26" ht="15.75" customHeight="1" x14ac:dyDescent="0.25">
      <c r="A711" s="364"/>
      <c r="B711" s="364"/>
      <c r="C711" s="364"/>
      <c r="D711" s="364"/>
      <c r="E711" s="364"/>
      <c r="F711" s="364"/>
      <c r="G711" s="364"/>
      <c r="H711" s="364"/>
      <c r="I711" s="364"/>
      <c r="J711" s="364"/>
      <c r="K711" s="364"/>
      <c r="L711" s="364"/>
      <c r="M711" s="364"/>
      <c r="N711" s="364"/>
      <c r="O711" s="364"/>
      <c r="P711" s="364"/>
      <c r="Q711" s="364"/>
      <c r="R711" s="364"/>
      <c r="S711" s="364"/>
      <c r="T711" s="364"/>
      <c r="U711" s="364"/>
      <c r="V711" s="364"/>
      <c r="W711" s="364"/>
      <c r="X711" s="364"/>
      <c r="Y711" s="364"/>
      <c r="Z711" s="364"/>
    </row>
    <row r="712" spans="1:26" ht="15.75" customHeight="1" x14ac:dyDescent="0.25">
      <c r="A712" s="364"/>
      <c r="B712" s="364"/>
      <c r="C712" s="364"/>
      <c r="D712" s="364"/>
      <c r="E712" s="364"/>
      <c r="F712" s="364"/>
      <c r="G712" s="364"/>
      <c r="H712" s="364"/>
      <c r="I712" s="364"/>
      <c r="J712" s="364"/>
      <c r="K712" s="364"/>
      <c r="L712" s="364"/>
      <c r="M712" s="364"/>
      <c r="N712" s="364"/>
      <c r="O712" s="364"/>
      <c r="P712" s="364"/>
      <c r="Q712" s="364"/>
      <c r="R712" s="364"/>
      <c r="S712" s="364"/>
      <c r="T712" s="364"/>
      <c r="U712" s="364"/>
      <c r="V712" s="364"/>
      <c r="W712" s="364"/>
      <c r="X712" s="364"/>
      <c r="Y712" s="364"/>
      <c r="Z712" s="364"/>
    </row>
    <row r="713" spans="1:26" ht="15.75" customHeight="1" x14ac:dyDescent="0.25">
      <c r="A713" s="364"/>
      <c r="B713" s="364"/>
      <c r="C713" s="364"/>
      <c r="D713" s="364"/>
      <c r="E713" s="364"/>
      <c r="F713" s="364"/>
      <c r="G713" s="364"/>
      <c r="H713" s="364"/>
      <c r="I713" s="364"/>
      <c r="J713" s="364"/>
      <c r="K713" s="364"/>
      <c r="L713" s="364"/>
      <c r="M713" s="364"/>
      <c r="N713" s="364"/>
      <c r="O713" s="364"/>
      <c r="P713" s="364"/>
      <c r="Q713" s="364"/>
      <c r="R713" s="364"/>
      <c r="S713" s="364"/>
      <c r="T713" s="364"/>
      <c r="U713" s="364"/>
      <c r="V713" s="364"/>
      <c r="W713" s="364"/>
      <c r="X713" s="364"/>
      <c r="Y713" s="364"/>
      <c r="Z713" s="364"/>
    </row>
    <row r="714" spans="1:26" ht="15.75" customHeight="1" x14ac:dyDescent="0.25">
      <c r="A714" s="364"/>
      <c r="B714" s="364"/>
      <c r="C714" s="364"/>
      <c r="D714" s="364"/>
      <c r="E714" s="364"/>
      <c r="F714" s="364"/>
      <c r="G714" s="364"/>
      <c r="H714" s="364"/>
      <c r="I714" s="364"/>
      <c r="J714" s="364"/>
      <c r="K714" s="364"/>
      <c r="L714" s="364"/>
      <c r="M714" s="364"/>
      <c r="N714" s="364"/>
      <c r="O714" s="364"/>
      <c r="P714" s="364"/>
      <c r="Q714" s="364"/>
      <c r="R714" s="364"/>
      <c r="S714" s="364"/>
      <c r="T714" s="364"/>
      <c r="U714" s="364"/>
      <c r="V714" s="364"/>
      <c r="W714" s="364"/>
      <c r="X714" s="364"/>
      <c r="Y714" s="364"/>
      <c r="Z714" s="364"/>
    </row>
    <row r="715" spans="1:26" ht="15.75" customHeight="1" x14ac:dyDescent="0.25">
      <c r="A715" s="364"/>
      <c r="B715" s="364"/>
      <c r="C715" s="364"/>
      <c r="D715" s="364"/>
      <c r="E715" s="364"/>
      <c r="F715" s="364"/>
      <c r="G715" s="364"/>
      <c r="H715" s="364"/>
      <c r="I715" s="364"/>
      <c r="J715" s="364"/>
      <c r="K715" s="364"/>
      <c r="L715" s="364"/>
      <c r="M715" s="364"/>
      <c r="N715" s="364"/>
      <c r="O715" s="364"/>
      <c r="P715" s="364"/>
      <c r="Q715" s="364"/>
      <c r="R715" s="364"/>
      <c r="S715" s="364"/>
      <c r="T715" s="364"/>
      <c r="U715" s="364"/>
      <c r="V715" s="364"/>
      <c r="W715" s="364"/>
      <c r="X715" s="364"/>
      <c r="Y715" s="364"/>
      <c r="Z715" s="364"/>
    </row>
    <row r="716" spans="1:26" ht="15.75" customHeight="1" x14ac:dyDescent="0.25">
      <c r="A716" s="364"/>
      <c r="B716" s="364"/>
      <c r="C716" s="364"/>
      <c r="D716" s="364"/>
      <c r="E716" s="364"/>
      <c r="F716" s="364"/>
      <c r="G716" s="364"/>
      <c r="H716" s="364"/>
      <c r="I716" s="364"/>
      <c r="J716" s="364"/>
      <c r="K716" s="364"/>
      <c r="L716" s="364"/>
      <c r="M716" s="364"/>
      <c r="N716" s="364"/>
      <c r="O716" s="364"/>
      <c r="P716" s="364"/>
      <c r="Q716" s="364"/>
      <c r="R716" s="364"/>
      <c r="S716" s="364"/>
      <c r="T716" s="364"/>
      <c r="U716" s="364"/>
      <c r="V716" s="364"/>
      <c r="W716" s="364"/>
      <c r="X716" s="364"/>
      <c r="Y716" s="364"/>
      <c r="Z716" s="364"/>
    </row>
    <row r="717" spans="1:26" ht="15.75" customHeight="1" x14ac:dyDescent="0.25">
      <c r="A717" s="364"/>
      <c r="B717" s="364"/>
      <c r="C717" s="364"/>
      <c r="D717" s="364"/>
      <c r="E717" s="364"/>
      <c r="F717" s="364"/>
      <c r="G717" s="364"/>
      <c r="H717" s="364"/>
      <c r="I717" s="364"/>
      <c r="J717" s="364"/>
      <c r="K717" s="364"/>
      <c r="L717" s="364"/>
      <c r="M717" s="364"/>
      <c r="N717" s="364"/>
      <c r="O717" s="364"/>
      <c r="P717" s="364"/>
      <c r="Q717" s="364"/>
      <c r="R717" s="364"/>
      <c r="S717" s="364"/>
      <c r="T717" s="364"/>
      <c r="U717" s="364"/>
      <c r="V717" s="364"/>
      <c r="W717" s="364"/>
      <c r="X717" s="364"/>
      <c r="Y717" s="364"/>
      <c r="Z717" s="364"/>
    </row>
    <row r="718" spans="1:26" ht="15.75" customHeight="1" x14ac:dyDescent="0.25">
      <c r="A718" s="364"/>
      <c r="B718" s="364"/>
      <c r="C718" s="364"/>
      <c r="D718" s="364"/>
      <c r="E718" s="364"/>
      <c r="F718" s="364"/>
      <c r="G718" s="364"/>
      <c r="H718" s="364"/>
      <c r="I718" s="364"/>
      <c r="J718" s="364"/>
      <c r="K718" s="364"/>
      <c r="L718" s="364"/>
      <c r="M718" s="364"/>
      <c r="N718" s="364"/>
      <c r="O718" s="364"/>
      <c r="P718" s="364"/>
      <c r="Q718" s="364"/>
      <c r="R718" s="364"/>
      <c r="S718" s="364"/>
      <c r="T718" s="364"/>
      <c r="U718" s="364"/>
      <c r="V718" s="364"/>
      <c r="W718" s="364"/>
      <c r="X718" s="364"/>
      <c r="Y718" s="364"/>
      <c r="Z718" s="364"/>
    </row>
    <row r="719" spans="1:26" ht="15.75" customHeight="1" x14ac:dyDescent="0.25">
      <c r="A719" s="364"/>
      <c r="B719" s="364"/>
      <c r="C719" s="364"/>
      <c r="D719" s="364"/>
      <c r="E719" s="364"/>
      <c r="F719" s="364"/>
      <c r="G719" s="364"/>
      <c r="H719" s="364"/>
      <c r="I719" s="364"/>
      <c r="J719" s="364"/>
      <c r="K719" s="364"/>
      <c r="L719" s="364"/>
      <c r="M719" s="364"/>
      <c r="N719" s="364"/>
      <c r="O719" s="364"/>
      <c r="P719" s="364"/>
      <c r="Q719" s="364"/>
      <c r="R719" s="364"/>
      <c r="S719" s="364"/>
      <c r="T719" s="364"/>
      <c r="U719" s="364"/>
      <c r="V719" s="364"/>
      <c r="W719" s="364"/>
      <c r="X719" s="364"/>
      <c r="Y719" s="364"/>
      <c r="Z719" s="364"/>
    </row>
    <row r="720" spans="1:26" ht="15.75" customHeight="1" x14ac:dyDescent="0.25">
      <c r="A720" s="364"/>
      <c r="B720" s="364"/>
      <c r="C720" s="364"/>
      <c r="D720" s="364"/>
      <c r="E720" s="364"/>
      <c r="F720" s="364"/>
      <c r="G720" s="364"/>
      <c r="H720" s="364"/>
      <c r="I720" s="364"/>
      <c r="J720" s="364"/>
      <c r="K720" s="364"/>
      <c r="L720" s="364"/>
      <c r="M720" s="364"/>
      <c r="N720" s="364"/>
      <c r="O720" s="364"/>
      <c r="P720" s="364"/>
      <c r="Q720" s="364"/>
      <c r="R720" s="364"/>
      <c r="S720" s="364"/>
      <c r="T720" s="364"/>
      <c r="U720" s="364"/>
      <c r="V720" s="364"/>
      <c r="W720" s="364"/>
      <c r="X720" s="364"/>
      <c r="Y720" s="364"/>
      <c r="Z720" s="364"/>
    </row>
    <row r="721" spans="1:26" ht="15.75" customHeight="1" x14ac:dyDescent="0.25">
      <c r="A721" s="364"/>
      <c r="B721" s="364"/>
      <c r="C721" s="364"/>
      <c r="D721" s="364"/>
      <c r="E721" s="364"/>
      <c r="F721" s="364"/>
      <c r="G721" s="364"/>
      <c r="H721" s="364"/>
      <c r="I721" s="364"/>
      <c r="J721" s="364"/>
      <c r="K721" s="364"/>
      <c r="L721" s="364"/>
      <c r="M721" s="364"/>
      <c r="N721" s="364"/>
      <c r="O721" s="364"/>
      <c r="P721" s="364"/>
      <c r="Q721" s="364"/>
      <c r="R721" s="364"/>
      <c r="S721" s="364"/>
      <c r="T721" s="364"/>
      <c r="U721" s="364"/>
      <c r="V721" s="364"/>
      <c r="W721" s="364"/>
      <c r="X721" s="364"/>
      <c r="Y721" s="364"/>
      <c r="Z721" s="364"/>
    </row>
    <row r="722" spans="1:26" ht="15.75" customHeight="1" x14ac:dyDescent="0.25">
      <c r="A722" s="364"/>
      <c r="B722" s="364"/>
      <c r="C722" s="364"/>
      <c r="D722" s="364"/>
      <c r="E722" s="364"/>
      <c r="F722" s="364"/>
      <c r="G722" s="364"/>
      <c r="H722" s="364"/>
      <c r="I722" s="364"/>
      <c r="J722" s="364"/>
      <c r="K722" s="364"/>
      <c r="L722" s="364"/>
      <c r="M722" s="364"/>
      <c r="N722" s="364"/>
      <c r="O722" s="364"/>
      <c r="P722" s="364"/>
      <c r="Q722" s="364"/>
      <c r="R722" s="364"/>
      <c r="S722" s="364"/>
      <c r="T722" s="364"/>
      <c r="U722" s="364"/>
      <c r="V722" s="364"/>
      <c r="W722" s="364"/>
      <c r="X722" s="364"/>
      <c r="Y722" s="364"/>
      <c r="Z722" s="364"/>
    </row>
    <row r="723" spans="1:26" ht="15.75" customHeight="1" x14ac:dyDescent="0.25">
      <c r="A723" s="364"/>
      <c r="B723" s="364"/>
      <c r="C723" s="364"/>
      <c r="D723" s="364"/>
      <c r="E723" s="364"/>
      <c r="F723" s="364"/>
      <c r="G723" s="364"/>
      <c r="H723" s="364"/>
      <c r="I723" s="364"/>
      <c r="J723" s="364"/>
      <c r="K723" s="364"/>
      <c r="L723" s="364"/>
      <c r="M723" s="364"/>
      <c r="N723" s="364"/>
      <c r="O723" s="364"/>
      <c r="P723" s="364"/>
      <c r="Q723" s="364"/>
      <c r="R723" s="364"/>
      <c r="S723" s="364"/>
      <c r="T723" s="364"/>
      <c r="U723" s="364"/>
      <c r="V723" s="364"/>
      <c r="W723" s="364"/>
      <c r="X723" s="364"/>
      <c r="Y723" s="364"/>
      <c r="Z723" s="364"/>
    </row>
    <row r="724" spans="1:26" ht="15.75" customHeight="1" x14ac:dyDescent="0.25">
      <c r="A724" s="364"/>
      <c r="B724" s="364"/>
      <c r="C724" s="364"/>
      <c r="D724" s="364"/>
      <c r="E724" s="364"/>
      <c r="F724" s="364"/>
      <c r="G724" s="364"/>
      <c r="H724" s="364"/>
      <c r="I724" s="364"/>
      <c r="J724" s="364"/>
      <c r="K724" s="364"/>
      <c r="L724" s="364"/>
      <c r="M724" s="364"/>
      <c r="N724" s="364"/>
      <c r="O724" s="364"/>
      <c r="P724" s="364"/>
      <c r="Q724" s="364"/>
      <c r="R724" s="364"/>
      <c r="S724" s="364"/>
      <c r="T724" s="364"/>
      <c r="U724" s="364"/>
      <c r="V724" s="364"/>
      <c r="W724" s="364"/>
      <c r="X724" s="364"/>
      <c r="Y724" s="364"/>
      <c r="Z724" s="364"/>
    </row>
    <row r="725" spans="1:26" ht="15.75" customHeight="1" x14ac:dyDescent="0.25">
      <c r="A725" s="364"/>
      <c r="B725" s="364"/>
      <c r="C725" s="364"/>
      <c r="D725" s="364"/>
      <c r="E725" s="364"/>
      <c r="F725" s="364"/>
      <c r="G725" s="364"/>
      <c r="H725" s="364"/>
      <c r="I725" s="364"/>
      <c r="J725" s="364"/>
      <c r="K725" s="364"/>
      <c r="L725" s="364"/>
      <c r="M725" s="364"/>
      <c r="N725" s="364"/>
      <c r="O725" s="364"/>
      <c r="P725" s="364"/>
      <c r="Q725" s="364"/>
      <c r="R725" s="364"/>
      <c r="S725" s="364"/>
      <c r="T725" s="364"/>
      <c r="U725" s="364"/>
      <c r="V725" s="364"/>
      <c r="W725" s="364"/>
      <c r="X725" s="364"/>
      <c r="Y725" s="364"/>
      <c r="Z725" s="364"/>
    </row>
    <row r="726" spans="1:26" ht="15.75" customHeight="1" x14ac:dyDescent="0.25">
      <c r="A726" s="364"/>
      <c r="B726" s="364"/>
      <c r="C726" s="364"/>
      <c r="D726" s="364"/>
      <c r="E726" s="364"/>
      <c r="F726" s="364"/>
      <c r="G726" s="364"/>
      <c r="H726" s="364"/>
      <c r="I726" s="364"/>
      <c r="J726" s="364"/>
      <c r="K726" s="364"/>
      <c r="L726" s="364"/>
      <c r="M726" s="364"/>
      <c r="N726" s="364"/>
      <c r="O726" s="364"/>
      <c r="P726" s="364"/>
      <c r="Q726" s="364"/>
      <c r="R726" s="364"/>
      <c r="S726" s="364"/>
      <c r="T726" s="364"/>
      <c r="U726" s="364"/>
      <c r="V726" s="364"/>
      <c r="W726" s="364"/>
      <c r="X726" s="364"/>
      <c r="Y726" s="364"/>
      <c r="Z726" s="364"/>
    </row>
    <row r="727" spans="1:26" ht="15.75" customHeight="1" x14ac:dyDescent="0.25">
      <c r="A727" s="364"/>
      <c r="B727" s="364"/>
      <c r="C727" s="364"/>
      <c r="D727" s="364"/>
      <c r="E727" s="364"/>
      <c r="F727" s="364"/>
      <c r="G727" s="364"/>
      <c r="H727" s="364"/>
      <c r="I727" s="364"/>
      <c r="J727" s="364"/>
      <c r="K727" s="364"/>
      <c r="L727" s="364"/>
      <c r="M727" s="364"/>
      <c r="N727" s="364"/>
      <c r="O727" s="364"/>
      <c r="P727" s="364"/>
      <c r="Q727" s="364"/>
      <c r="R727" s="364"/>
      <c r="S727" s="364"/>
      <c r="T727" s="364"/>
      <c r="U727" s="364"/>
      <c r="V727" s="364"/>
      <c r="W727" s="364"/>
      <c r="X727" s="364"/>
      <c r="Y727" s="364"/>
      <c r="Z727" s="364"/>
    </row>
    <row r="728" spans="1:26" ht="15.75" customHeight="1" x14ac:dyDescent="0.25">
      <c r="A728" s="364"/>
      <c r="B728" s="364"/>
      <c r="C728" s="364"/>
      <c r="D728" s="364"/>
      <c r="E728" s="364"/>
      <c r="F728" s="364"/>
      <c r="G728" s="364"/>
      <c r="H728" s="364"/>
      <c r="I728" s="364"/>
      <c r="J728" s="364"/>
      <c r="K728" s="364"/>
      <c r="L728" s="364"/>
      <c r="M728" s="364"/>
      <c r="N728" s="364"/>
      <c r="O728" s="364"/>
      <c r="P728" s="364"/>
      <c r="Q728" s="364"/>
      <c r="R728" s="364"/>
      <c r="S728" s="364"/>
      <c r="T728" s="364"/>
      <c r="U728" s="364"/>
      <c r="V728" s="364"/>
      <c r="W728" s="364"/>
      <c r="X728" s="364"/>
      <c r="Y728" s="364"/>
      <c r="Z728" s="364"/>
    </row>
    <row r="729" spans="1:26" ht="15.75" customHeight="1" x14ac:dyDescent="0.25">
      <c r="A729" s="364"/>
      <c r="B729" s="364"/>
      <c r="C729" s="364"/>
      <c r="D729" s="364"/>
      <c r="E729" s="364"/>
      <c r="F729" s="364"/>
      <c r="G729" s="364"/>
      <c r="H729" s="364"/>
      <c r="I729" s="364"/>
      <c r="J729" s="364"/>
      <c r="K729" s="364"/>
      <c r="L729" s="364"/>
      <c r="M729" s="364"/>
      <c r="N729" s="364"/>
      <c r="O729" s="364"/>
      <c r="P729" s="364"/>
      <c r="Q729" s="364"/>
      <c r="R729" s="364"/>
      <c r="S729" s="364"/>
      <c r="T729" s="364"/>
      <c r="U729" s="364"/>
      <c r="V729" s="364"/>
      <c r="W729" s="364"/>
      <c r="X729" s="364"/>
      <c r="Y729" s="364"/>
      <c r="Z729" s="364"/>
    </row>
    <row r="730" spans="1:26" ht="15.75" customHeight="1" x14ac:dyDescent="0.25">
      <c r="A730" s="364"/>
      <c r="B730" s="364"/>
      <c r="C730" s="364"/>
      <c r="D730" s="364"/>
      <c r="E730" s="364"/>
      <c r="F730" s="364"/>
      <c r="G730" s="364"/>
      <c r="H730" s="364"/>
      <c r="I730" s="364"/>
      <c r="J730" s="364"/>
      <c r="K730" s="364"/>
      <c r="L730" s="364"/>
      <c r="M730" s="364"/>
      <c r="N730" s="364"/>
      <c r="O730" s="364"/>
      <c r="P730" s="364"/>
      <c r="Q730" s="364"/>
      <c r="R730" s="364"/>
      <c r="S730" s="364"/>
      <c r="T730" s="364"/>
      <c r="U730" s="364"/>
      <c r="V730" s="364"/>
      <c r="W730" s="364"/>
      <c r="X730" s="364"/>
      <c r="Y730" s="364"/>
      <c r="Z730" s="364"/>
    </row>
    <row r="731" spans="1:26" ht="15.75" customHeight="1" x14ac:dyDescent="0.25">
      <c r="A731" s="364"/>
      <c r="B731" s="364"/>
      <c r="C731" s="364"/>
      <c r="D731" s="364"/>
      <c r="E731" s="364"/>
      <c r="F731" s="364"/>
      <c r="G731" s="364"/>
      <c r="H731" s="364"/>
      <c r="I731" s="364"/>
      <c r="J731" s="364"/>
      <c r="K731" s="364"/>
      <c r="L731" s="364"/>
      <c r="M731" s="364"/>
      <c r="N731" s="364"/>
      <c r="O731" s="364"/>
      <c r="P731" s="364"/>
      <c r="Q731" s="364"/>
      <c r="R731" s="364"/>
      <c r="S731" s="364"/>
      <c r="T731" s="364"/>
      <c r="U731" s="364"/>
      <c r="V731" s="364"/>
      <c r="W731" s="364"/>
      <c r="X731" s="364"/>
      <c r="Y731" s="364"/>
      <c r="Z731" s="364"/>
    </row>
    <row r="732" spans="1:26" ht="15.75" customHeight="1" x14ac:dyDescent="0.25">
      <c r="A732" s="364"/>
      <c r="B732" s="364"/>
      <c r="C732" s="364"/>
      <c r="D732" s="364"/>
      <c r="E732" s="364"/>
      <c r="F732" s="364"/>
      <c r="G732" s="364"/>
      <c r="H732" s="364"/>
      <c r="I732" s="364"/>
      <c r="J732" s="364"/>
      <c r="K732" s="364"/>
      <c r="L732" s="364"/>
      <c r="M732" s="364"/>
      <c r="N732" s="364"/>
      <c r="O732" s="364"/>
      <c r="P732" s="364"/>
      <c r="Q732" s="364"/>
      <c r="R732" s="364"/>
      <c r="S732" s="364"/>
      <c r="T732" s="364"/>
      <c r="U732" s="364"/>
      <c r="V732" s="364"/>
      <c r="W732" s="364"/>
      <c r="X732" s="364"/>
      <c r="Y732" s="364"/>
      <c r="Z732" s="364"/>
    </row>
    <row r="733" spans="1:26" ht="15.75" customHeight="1" x14ac:dyDescent="0.25">
      <c r="A733" s="364"/>
      <c r="B733" s="364"/>
      <c r="C733" s="364"/>
      <c r="D733" s="364"/>
      <c r="E733" s="364"/>
      <c r="F733" s="364"/>
      <c r="G733" s="364"/>
      <c r="H733" s="364"/>
      <c r="I733" s="364"/>
      <c r="J733" s="364"/>
      <c r="K733" s="364"/>
      <c r="L733" s="364"/>
      <c r="M733" s="364"/>
      <c r="N733" s="364"/>
      <c r="O733" s="364"/>
      <c r="P733" s="364"/>
      <c r="Q733" s="364"/>
      <c r="R733" s="364"/>
      <c r="S733" s="364"/>
      <c r="T733" s="364"/>
      <c r="U733" s="364"/>
      <c r="V733" s="364"/>
      <c r="W733" s="364"/>
      <c r="X733" s="364"/>
      <c r="Y733" s="364"/>
      <c r="Z733" s="364"/>
    </row>
    <row r="734" spans="1:26" ht="15.75" customHeight="1" x14ac:dyDescent="0.25">
      <c r="A734" s="364"/>
      <c r="B734" s="364"/>
      <c r="C734" s="364"/>
      <c r="D734" s="364"/>
      <c r="E734" s="364"/>
      <c r="F734" s="364"/>
      <c r="G734" s="364"/>
      <c r="H734" s="364"/>
      <c r="I734" s="364"/>
      <c r="J734" s="364"/>
      <c r="K734" s="364"/>
      <c r="L734" s="364"/>
      <c r="M734" s="364"/>
      <c r="N734" s="364"/>
      <c r="O734" s="364"/>
      <c r="P734" s="364"/>
      <c r="Q734" s="364"/>
      <c r="R734" s="364"/>
      <c r="S734" s="364"/>
      <c r="T734" s="364"/>
      <c r="U734" s="364"/>
      <c r="V734" s="364"/>
      <c r="W734" s="364"/>
      <c r="X734" s="364"/>
      <c r="Y734" s="364"/>
      <c r="Z734" s="364"/>
    </row>
    <row r="735" spans="1:26" ht="15.75" customHeight="1" x14ac:dyDescent="0.25">
      <c r="A735" s="364"/>
      <c r="B735" s="364"/>
      <c r="C735" s="364"/>
      <c r="D735" s="364"/>
      <c r="E735" s="364"/>
      <c r="F735" s="364"/>
      <c r="G735" s="364"/>
      <c r="H735" s="364"/>
      <c r="I735" s="364"/>
      <c r="J735" s="364"/>
      <c r="K735" s="364"/>
      <c r="L735" s="364"/>
      <c r="M735" s="364"/>
      <c r="N735" s="364"/>
      <c r="O735" s="364"/>
      <c r="P735" s="364"/>
      <c r="Q735" s="364"/>
      <c r="R735" s="364"/>
      <c r="S735" s="364"/>
      <c r="T735" s="364"/>
      <c r="U735" s="364"/>
      <c r="V735" s="364"/>
      <c r="W735" s="364"/>
      <c r="X735" s="364"/>
      <c r="Y735" s="364"/>
      <c r="Z735" s="364"/>
    </row>
    <row r="736" spans="1:26" ht="15.75" customHeight="1" x14ac:dyDescent="0.25">
      <c r="A736" s="364"/>
      <c r="B736" s="364"/>
      <c r="C736" s="364"/>
      <c r="D736" s="364"/>
      <c r="E736" s="364"/>
      <c r="F736" s="364"/>
      <c r="G736" s="364"/>
      <c r="H736" s="364"/>
      <c r="I736" s="364"/>
      <c r="J736" s="364"/>
      <c r="K736" s="364"/>
      <c r="L736" s="364"/>
      <c r="M736" s="364"/>
      <c r="N736" s="364"/>
      <c r="O736" s="364"/>
      <c r="P736" s="364"/>
      <c r="Q736" s="364"/>
      <c r="R736" s="364"/>
      <c r="S736" s="364"/>
      <c r="T736" s="364"/>
      <c r="U736" s="364"/>
      <c r="V736" s="364"/>
      <c r="W736" s="364"/>
      <c r="X736" s="364"/>
      <c r="Y736" s="364"/>
      <c r="Z736" s="364"/>
    </row>
    <row r="737" spans="1:26" ht="15.75" customHeight="1" x14ac:dyDescent="0.25">
      <c r="A737" s="364"/>
      <c r="B737" s="364"/>
      <c r="C737" s="364"/>
      <c r="D737" s="364"/>
      <c r="E737" s="364"/>
      <c r="F737" s="364"/>
      <c r="G737" s="364"/>
      <c r="H737" s="364"/>
      <c r="I737" s="364"/>
      <c r="J737" s="364"/>
      <c r="K737" s="364"/>
      <c r="L737" s="364"/>
      <c r="M737" s="364"/>
      <c r="N737" s="364"/>
      <c r="O737" s="364"/>
      <c r="P737" s="364"/>
      <c r="Q737" s="364"/>
      <c r="R737" s="364"/>
      <c r="S737" s="364"/>
      <c r="T737" s="364"/>
      <c r="U737" s="364"/>
      <c r="V737" s="364"/>
      <c r="W737" s="364"/>
      <c r="X737" s="364"/>
      <c r="Y737" s="364"/>
      <c r="Z737" s="364"/>
    </row>
    <row r="738" spans="1:26" ht="15.75" customHeight="1" x14ac:dyDescent="0.25">
      <c r="A738" s="364"/>
      <c r="B738" s="364"/>
      <c r="C738" s="364"/>
      <c r="D738" s="364"/>
      <c r="E738" s="364"/>
      <c r="F738" s="364"/>
      <c r="G738" s="364"/>
      <c r="H738" s="364"/>
      <c r="I738" s="364"/>
      <c r="J738" s="364"/>
      <c r="K738" s="364"/>
      <c r="L738" s="364"/>
      <c r="M738" s="364"/>
      <c r="N738" s="364"/>
      <c r="O738" s="364"/>
      <c r="P738" s="364"/>
      <c r="Q738" s="364"/>
      <c r="R738" s="364"/>
      <c r="S738" s="364"/>
      <c r="T738" s="364"/>
      <c r="U738" s="364"/>
      <c r="V738" s="364"/>
      <c r="W738" s="364"/>
      <c r="X738" s="364"/>
      <c r="Y738" s="364"/>
      <c r="Z738" s="364"/>
    </row>
    <row r="739" spans="1:26" ht="15.75" customHeight="1" x14ac:dyDescent="0.25">
      <c r="A739" s="364"/>
      <c r="B739" s="364"/>
      <c r="C739" s="364"/>
      <c r="D739" s="364"/>
      <c r="E739" s="364"/>
      <c r="F739" s="364"/>
      <c r="G739" s="364"/>
      <c r="H739" s="364"/>
      <c r="I739" s="364"/>
      <c r="J739" s="364"/>
      <c r="K739" s="364"/>
      <c r="L739" s="364"/>
      <c r="M739" s="364"/>
      <c r="N739" s="364"/>
      <c r="O739" s="364"/>
      <c r="P739" s="364"/>
      <c r="Q739" s="364"/>
      <c r="R739" s="364"/>
      <c r="S739" s="364"/>
      <c r="T739" s="364"/>
      <c r="U739" s="364"/>
      <c r="V739" s="364"/>
      <c r="W739" s="364"/>
      <c r="X739" s="364"/>
      <c r="Y739" s="364"/>
      <c r="Z739" s="364"/>
    </row>
    <row r="740" spans="1:26" ht="15.75" customHeight="1" x14ac:dyDescent="0.25">
      <c r="A740" s="364"/>
      <c r="B740" s="364"/>
      <c r="C740" s="364"/>
      <c r="D740" s="364"/>
      <c r="E740" s="364"/>
      <c r="F740" s="364"/>
      <c r="G740" s="364"/>
      <c r="H740" s="364"/>
      <c r="I740" s="364"/>
      <c r="J740" s="364"/>
      <c r="K740" s="364"/>
      <c r="L740" s="364"/>
      <c r="M740" s="364"/>
      <c r="N740" s="364"/>
      <c r="O740" s="364"/>
      <c r="P740" s="364"/>
      <c r="Q740" s="364"/>
      <c r="R740" s="364"/>
      <c r="S740" s="364"/>
      <c r="T740" s="364"/>
      <c r="U740" s="364"/>
      <c r="V740" s="364"/>
      <c r="W740" s="364"/>
      <c r="X740" s="364"/>
      <c r="Y740" s="364"/>
      <c r="Z740" s="364"/>
    </row>
    <row r="741" spans="1:26" ht="15.75" customHeight="1" x14ac:dyDescent="0.25">
      <c r="A741" s="364"/>
      <c r="B741" s="364"/>
      <c r="C741" s="364"/>
      <c r="D741" s="364"/>
      <c r="E741" s="364"/>
      <c r="F741" s="364"/>
      <c r="G741" s="364"/>
      <c r="H741" s="364"/>
      <c r="I741" s="364"/>
      <c r="J741" s="364"/>
      <c r="K741" s="364"/>
      <c r="L741" s="364"/>
      <c r="M741" s="364"/>
      <c r="N741" s="364"/>
      <c r="O741" s="364"/>
      <c r="P741" s="364"/>
      <c r="Q741" s="364"/>
      <c r="R741" s="364"/>
      <c r="S741" s="364"/>
      <c r="T741" s="364"/>
      <c r="U741" s="364"/>
      <c r="V741" s="364"/>
      <c r="W741" s="364"/>
      <c r="X741" s="364"/>
      <c r="Y741" s="364"/>
      <c r="Z741" s="364"/>
    </row>
    <row r="742" spans="1:26" ht="15.75" customHeight="1" x14ac:dyDescent="0.25">
      <c r="A742" s="364"/>
      <c r="B742" s="364"/>
      <c r="C742" s="364"/>
      <c r="D742" s="364"/>
      <c r="E742" s="364"/>
      <c r="F742" s="364"/>
      <c r="G742" s="364"/>
      <c r="H742" s="364"/>
      <c r="I742" s="364"/>
      <c r="J742" s="364"/>
      <c r="K742" s="364"/>
      <c r="L742" s="364"/>
      <c r="M742" s="364"/>
      <c r="N742" s="364"/>
      <c r="O742" s="364"/>
      <c r="P742" s="364"/>
      <c r="Q742" s="364"/>
      <c r="R742" s="364"/>
      <c r="S742" s="364"/>
      <c r="T742" s="364"/>
      <c r="U742" s="364"/>
      <c r="V742" s="364"/>
      <c r="W742" s="364"/>
      <c r="X742" s="364"/>
      <c r="Y742" s="364"/>
      <c r="Z742" s="364"/>
    </row>
    <row r="743" spans="1:26" ht="15.75" customHeight="1" x14ac:dyDescent="0.25">
      <c r="A743" s="364"/>
      <c r="B743" s="364"/>
      <c r="C743" s="364"/>
      <c r="D743" s="364"/>
      <c r="E743" s="364"/>
      <c r="F743" s="364"/>
      <c r="G743" s="364"/>
      <c r="H743" s="364"/>
      <c r="I743" s="364"/>
      <c r="J743" s="364"/>
      <c r="K743" s="364"/>
      <c r="L743" s="364"/>
      <c r="M743" s="364"/>
      <c r="N743" s="364"/>
      <c r="O743" s="364"/>
      <c r="P743" s="364"/>
      <c r="Q743" s="364"/>
      <c r="R743" s="364"/>
      <c r="S743" s="364"/>
      <c r="T743" s="364"/>
      <c r="U743" s="364"/>
      <c r="V743" s="364"/>
      <c r="W743" s="364"/>
      <c r="X743" s="364"/>
      <c r="Y743" s="364"/>
      <c r="Z743" s="364"/>
    </row>
    <row r="744" spans="1:26" ht="15.75" customHeight="1" x14ac:dyDescent="0.25">
      <c r="A744" s="364"/>
      <c r="B744" s="364"/>
      <c r="C744" s="364"/>
      <c r="D744" s="364"/>
      <c r="E744" s="364"/>
      <c r="F744" s="364"/>
      <c r="G744" s="364"/>
      <c r="H744" s="364"/>
      <c r="I744" s="364"/>
      <c r="J744" s="364"/>
      <c r="K744" s="364"/>
      <c r="L744" s="364"/>
      <c r="M744" s="364"/>
      <c r="N744" s="364"/>
      <c r="O744" s="364"/>
      <c r="P744" s="364"/>
      <c r="Q744" s="364"/>
      <c r="R744" s="364"/>
      <c r="S744" s="364"/>
      <c r="T744" s="364"/>
      <c r="U744" s="364"/>
      <c r="V744" s="364"/>
      <c r="W744" s="364"/>
      <c r="X744" s="364"/>
      <c r="Y744" s="364"/>
      <c r="Z744" s="364"/>
    </row>
    <row r="745" spans="1:26" ht="15.75" customHeight="1" x14ac:dyDescent="0.25">
      <c r="A745" s="364"/>
      <c r="B745" s="364"/>
      <c r="C745" s="364"/>
      <c r="D745" s="364"/>
      <c r="E745" s="364"/>
      <c r="F745" s="364"/>
      <c r="G745" s="364"/>
      <c r="H745" s="364"/>
      <c r="I745" s="364"/>
      <c r="J745" s="364"/>
      <c r="K745" s="364"/>
      <c r="L745" s="364"/>
      <c r="M745" s="364"/>
      <c r="N745" s="364"/>
      <c r="O745" s="364"/>
      <c r="P745" s="364"/>
      <c r="Q745" s="364"/>
      <c r="R745" s="364"/>
      <c r="S745" s="364"/>
      <c r="T745" s="364"/>
      <c r="U745" s="364"/>
      <c r="V745" s="364"/>
      <c r="W745" s="364"/>
      <c r="X745" s="364"/>
      <c r="Y745" s="364"/>
      <c r="Z745" s="364"/>
    </row>
    <row r="746" spans="1:26" ht="15.75" customHeight="1" x14ac:dyDescent="0.25">
      <c r="A746" s="364"/>
      <c r="B746" s="364"/>
      <c r="C746" s="364"/>
      <c r="D746" s="364"/>
      <c r="E746" s="364"/>
      <c r="F746" s="364"/>
      <c r="G746" s="364"/>
      <c r="H746" s="364"/>
      <c r="I746" s="364"/>
      <c r="J746" s="364"/>
      <c r="K746" s="364"/>
      <c r="L746" s="364"/>
      <c r="M746" s="364"/>
      <c r="N746" s="364"/>
      <c r="O746" s="364"/>
      <c r="P746" s="364"/>
      <c r="Q746" s="364"/>
      <c r="R746" s="364"/>
      <c r="S746" s="364"/>
      <c r="T746" s="364"/>
      <c r="U746" s="364"/>
      <c r="V746" s="364"/>
      <c r="W746" s="364"/>
      <c r="X746" s="364"/>
      <c r="Y746" s="364"/>
      <c r="Z746" s="364"/>
    </row>
    <row r="747" spans="1:26" ht="15.75" customHeight="1" x14ac:dyDescent="0.25">
      <c r="A747" s="364"/>
      <c r="B747" s="364"/>
      <c r="C747" s="364"/>
      <c r="D747" s="364"/>
      <c r="E747" s="364"/>
      <c r="F747" s="364"/>
      <c r="G747" s="364"/>
      <c r="H747" s="364"/>
      <c r="I747" s="364"/>
      <c r="J747" s="364"/>
      <c r="K747" s="364"/>
      <c r="L747" s="364"/>
      <c r="M747" s="364"/>
      <c r="N747" s="364"/>
      <c r="O747" s="364"/>
      <c r="P747" s="364"/>
      <c r="Q747" s="364"/>
      <c r="R747" s="364"/>
      <c r="S747" s="364"/>
      <c r="T747" s="364"/>
      <c r="U747" s="364"/>
      <c r="V747" s="364"/>
      <c r="W747" s="364"/>
      <c r="X747" s="364"/>
      <c r="Y747" s="364"/>
      <c r="Z747" s="364"/>
    </row>
    <row r="748" spans="1:26" ht="15.75" customHeight="1" x14ac:dyDescent="0.25">
      <c r="A748" s="364"/>
      <c r="B748" s="364"/>
      <c r="C748" s="364"/>
      <c r="D748" s="364"/>
      <c r="E748" s="364"/>
      <c r="F748" s="364"/>
      <c r="G748" s="364"/>
      <c r="H748" s="364"/>
      <c r="I748" s="364"/>
      <c r="J748" s="364"/>
      <c r="K748" s="364"/>
      <c r="L748" s="364"/>
      <c r="M748" s="364"/>
      <c r="N748" s="364"/>
      <c r="O748" s="364"/>
      <c r="P748" s="364"/>
      <c r="Q748" s="364"/>
      <c r="R748" s="364"/>
      <c r="S748" s="364"/>
      <c r="T748" s="364"/>
      <c r="U748" s="364"/>
      <c r="V748" s="364"/>
      <c r="W748" s="364"/>
      <c r="X748" s="364"/>
      <c r="Y748" s="364"/>
      <c r="Z748" s="364"/>
    </row>
    <row r="749" spans="1:26" ht="15.75" customHeight="1" x14ac:dyDescent="0.25">
      <c r="A749" s="364"/>
      <c r="B749" s="364"/>
      <c r="C749" s="364"/>
      <c r="D749" s="364"/>
      <c r="E749" s="364"/>
      <c r="F749" s="364"/>
      <c r="G749" s="364"/>
      <c r="H749" s="364"/>
      <c r="I749" s="364"/>
      <c r="J749" s="364"/>
      <c r="K749" s="364"/>
      <c r="L749" s="364"/>
      <c r="M749" s="364"/>
      <c r="N749" s="364"/>
      <c r="O749" s="364"/>
      <c r="P749" s="364"/>
      <c r="Q749" s="364"/>
      <c r="R749" s="364"/>
      <c r="S749" s="364"/>
      <c r="T749" s="364"/>
      <c r="U749" s="364"/>
      <c r="V749" s="364"/>
      <c r="W749" s="364"/>
      <c r="X749" s="364"/>
      <c r="Y749" s="364"/>
      <c r="Z749" s="364"/>
    </row>
    <row r="750" spans="1:26" ht="15.75" customHeight="1" x14ac:dyDescent="0.25">
      <c r="A750" s="364"/>
      <c r="B750" s="364"/>
      <c r="C750" s="364"/>
      <c r="D750" s="364"/>
      <c r="E750" s="364"/>
      <c r="F750" s="364"/>
      <c r="G750" s="364"/>
      <c r="H750" s="364"/>
      <c r="I750" s="364"/>
      <c r="J750" s="364"/>
      <c r="K750" s="364"/>
      <c r="L750" s="364"/>
      <c r="M750" s="364"/>
      <c r="N750" s="364"/>
      <c r="O750" s="364"/>
      <c r="P750" s="364"/>
      <c r="Q750" s="364"/>
      <c r="R750" s="364"/>
      <c r="S750" s="364"/>
      <c r="T750" s="364"/>
      <c r="U750" s="364"/>
      <c r="V750" s="364"/>
      <c r="W750" s="364"/>
      <c r="X750" s="364"/>
      <c r="Y750" s="364"/>
      <c r="Z750" s="364"/>
    </row>
    <row r="751" spans="1:26" ht="15.75" customHeight="1" x14ac:dyDescent="0.25">
      <c r="A751" s="364"/>
      <c r="B751" s="364"/>
      <c r="C751" s="364"/>
      <c r="D751" s="364"/>
      <c r="E751" s="364"/>
      <c r="F751" s="364"/>
      <c r="G751" s="364"/>
      <c r="H751" s="364"/>
      <c r="I751" s="364"/>
      <c r="J751" s="364"/>
      <c r="K751" s="364"/>
      <c r="L751" s="364"/>
      <c r="M751" s="364"/>
      <c r="N751" s="364"/>
      <c r="O751" s="364"/>
      <c r="P751" s="364"/>
      <c r="Q751" s="364"/>
      <c r="R751" s="364"/>
      <c r="S751" s="364"/>
      <c r="T751" s="364"/>
      <c r="U751" s="364"/>
      <c r="V751" s="364"/>
      <c r="W751" s="364"/>
      <c r="X751" s="364"/>
      <c r="Y751" s="364"/>
      <c r="Z751" s="364"/>
    </row>
    <row r="752" spans="1:26" ht="15.75" customHeight="1" x14ac:dyDescent="0.25">
      <c r="A752" s="364"/>
      <c r="B752" s="364"/>
      <c r="C752" s="364"/>
      <c r="D752" s="364"/>
      <c r="E752" s="364"/>
      <c r="F752" s="364"/>
      <c r="G752" s="364"/>
      <c r="H752" s="364"/>
      <c r="I752" s="364"/>
      <c r="J752" s="364"/>
      <c r="K752" s="364"/>
      <c r="L752" s="364"/>
      <c r="M752" s="364"/>
      <c r="N752" s="364"/>
      <c r="O752" s="364"/>
      <c r="P752" s="364"/>
      <c r="Q752" s="364"/>
      <c r="R752" s="364"/>
      <c r="S752" s="364"/>
      <c r="T752" s="364"/>
      <c r="U752" s="364"/>
      <c r="V752" s="364"/>
      <c r="W752" s="364"/>
      <c r="X752" s="364"/>
      <c r="Y752" s="364"/>
      <c r="Z752" s="364"/>
    </row>
    <row r="753" spans="1:26" ht="15.75" customHeight="1" x14ac:dyDescent="0.25">
      <c r="A753" s="364"/>
      <c r="B753" s="364"/>
      <c r="C753" s="364"/>
      <c r="D753" s="364"/>
      <c r="E753" s="364"/>
      <c r="F753" s="364"/>
      <c r="G753" s="364"/>
      <c r="H753" s="364"/>
      <c r="I753" s="364"/>
      <c r="J753" s="364"/>
      <c r="K753" s="364"/>
      <c r="L753" s="364"/>
      <c r="M753" s="364"/>
      <c r="N753" s="364"/>
      <c r="O753" s="364"/>
      <c r="P753" s="364"/>
      <c r="Q753" s="364"/>
      <c r="R753" s="364"/>
      <c r="S753" s="364"/>
      <c r="T753" s="364"/>
      <c r="U753" s="364"/>
      <c r="V753" s="364"/>
      <c r="W753" s="364"/>
      <c r="X753" s="364"/>
      <c r="Y753" s="364"/>
      <c r="Z753" s="364"/>
    </row>
    <row r="754" spans="1:26" ht="15.75" customHeight="1" x14ac:dyDescent="0.25">
      <c r="A754" s="364"/>
      <c r="B754" s="364"/>
      <c r="C754" s="364"/>
      <c r="D754" s="364"/>
      <c r="E754" s="364"/>
      <c r="F754" s="364"/>
      <c r="G754" s="364"/>
      <c r="H754" s="364"/>
      <c r="I754" s="364"/>
      <c r="J754" s="364"/>
      <c r="K754" s="364"/>
      <c r="L754" s="364"/>
      <c r="M754" s="364"/>
      <c r="N754" s="364"/>
      <c r="O754" s="364"/>
      <c r="P754" s="364"/>
      <c r="Q754" s="364"/>
      <c r="R754" s="364"/>
      <c r="S754" s="364"/>
      <c r="T754" s="364"/>
      <c r="U754" s="364"/>
      <c r="V754" s="364"/>
      <c r="W754" s="364"/>
      <c r="X754" s="364"/>
      <c r="Y754" s="364"/>
      <c r="Z754" s="364"/>
    </row>
    <row r="755" spans="1:26" ht="15.75" customHeight="1" x14ac:dyDescent="0.25">
      <c r="A755" s="364"/>
      <c r="B755" s="364"/>
      <c r="C755" s="364"/>
      <c r="D755" s="364"/>
      <c r="E755" s="364"/>
      <c r="F755" s="364"/>
      <c r="G755" s="364"/>
      <c r="H755" s="364"/>
      <c r="I755" s="364"/>
      <c r="J755" s="364"/>
      <c r="K755" s="364"/>
      <c r="L755" s="364"/>
      <c r="M755" s="364"/>
      <c r="N755" s="364"/>
      <c r="O755" s="364"/>
      <c r="P755" s="364"/>
      <c r="Q755" s="364"/>
      <c r="R755" s="364"/>
      <c r="S755" s="364"/>
      <c r="T755" s="364"/>
      <c r="U755" s="364"/>
      <c r="V755" s="364"/>
      <c r="W755" s="364"/>
      <c r="X755" s="364"/>
      <c r="Y755" s="364"/>
      <c r="Z755" s="364"/>
    </row>
    <row r="756" spans="1:26" ht="15.75" customHeight="1" x14ac:dyDescent="0.25">
      <c r="A756" s="364"/>
      <c r="B756" s="364"/>
      <c r="C756" s="364"/>
      <c r="D756" s="364"/>
      <c r="E756" s="364"/>
      <c r="F756" s="364"/>
      <c r="G756" s="364"/>
      <c r="H756" s="364"/>
      <c r="I756" s="364"/>
      <c r="J756" s="364"/>
      <c r="K756" s="364"/>
      <c r="L756" s="364"/>
      <c r="M756" s="364"/>
      <c r="N756" s="364"/>
      <c r="O756" s="364"/>
      <c r="P756" s="364"/>
      <c r="Q756" s="364"/>
      <c r="R756" s="364"/>
      <c r="S756" s="364"/>
      <c r="T756" s="364"/>
      <c r="U756" s="364"/>
      <c r="V756" s="364"/>
      <c r="W756" s="364"/>
      <c r="X756" s="364"/>
      <c r="Y756" s="364"/>
      <c r="Z756" s="364"/>
    </row>
    <row r="757" spans="1:26" ht="15.75" customHeight="1" x14ac:dyDescent="0.25">
      <c r="A757" s="364"/>
      <c r="B757" s="364"/>
      <c r="C757" s="364"/>
      <c r="D757" s="364"/>
      <c r="E757" s="364"/>
      <c r="F757" s="364"/>
      <c r="G757" s="364"/>
      <c r="H757" s="364"/>
      <c r="I757" s="364"/>
      <c r="J757" s="364"/>
      <c r="K757" s="364"/>
      <c r="L757" s="364"/>
      <c r="M757" s="364"/>
      <c r="N757" s="364"/>
      <c r="O757" s="364"/>
      <c r="P757" s="364"/>
      <c r="Q757" s="364"/>
      <c r="R757" s="364"/>
      <c r="S757" s="364"/>
      <c r="T757" s="364"/>
      <c r="U757" s="364"/>
      <c r="V757" s="364"/>
      <c r="W757" s="364"/>
      <c r="X757" s="364"/>
      <c r="Y757" s="364"/>
      <c r="Z757" s="364"/>
    </row>
    <row r="758" spans="1:26" ht="15.75" customHeight="1" x14ac:dyDescent="0.25">
      <c r="A758" s="364"/>
      <c r="B758" s="364"/>
      <c r="C758" s="364"/>
      <c r="D758" s="364"/>
      <c r="E758" s="364"/>
      <c r="F758" s="364"/>
      <c r="G758" s="364"/>
      <c r="H758" s="364"/>
      <c r="I758" s="364"/>
      <c r="J758" s="364"/>
      <c r="K758" s="364"/>
      <c r="L758" s="364"/>
      <c r="M758" s="364"/>
      <c r="N758" s="364"/>
      <c r="O758" s="364"/>
      <c r="P758" s="364"/>
      <c r="Q758" s="364"/>
      <c r="R758" s="364"/>
      <c r="S758" s="364"/>
      <c r="T758" s="364"/>
      <c r="U758" s="364"/>
      <c r="V758" s="364"/>
      <c r="W758" s="364"/>
      <c r="X758" s="364"/>
      <c r="Y758" s="364"/>
      <c r="Z758" s="364"/>
    </row>
    <row r="759" spans="1:26" ht="15.75" customHeight="1" x14ac:dyDescent="0.25">
      <c r="A759" s="364"/>
      <c r="B759" s="364"/>
      <c r="C759" s="364"/>
      <c r="D759" s="364"/>
      <c r="E759" s="364"/>
      <c r="F759" s="364"/>
      <c r="G759" s="364"/>
      <c r="H759" s="364"/>
      <c r="I759" s="364"/>
      <c r="J759" s="364"/>
      <c r="K759" s="364"/>
      <c r="L759" s="364"/>
      <c r="M759" s="364"/>
      <c r="N759" s="364"/>
      <c r="O759" s="364"/>
      <c r="P759" s="364"/>
      <c r="Q759" s="364"/>
      <c r="R759" s="364"/>
      <c r="S759" s="364"/>
      <c r="T759" s="364"/>
      <c r="U759" s="364"/>
      <c r="V759" s="364"/>
      <c r="W759" s="364"/>
      <c r="X759" s="364"/>
      <c r="Y759" s="364"/>
      <c r="Z759" s="364"/>
    </row>
    <row r="760" spans="1:26" ht="15.75" customHeight="1" x14ac:dyDescent="0.25">
      <c r="A760" s="364"/>
      <c r="B760" s="364"/>
      <c r="C760" s="364"/>
      <c r="D760" s="364"/>
      <c r="E760" s="364"/>
      <c r="F760" s="364"/>
      <c r="G760" s="364"/>
      <c r="H760" s="364"/>
      <c r="I760" s="364"/>
      <c r="J760" s="364"/>
      <c r="K760" s="364"/>
      <c r="L760" s="364"/>
      <c r="M760" s="364"/>
      <c r="N760" s="364"/>
      <c r="O760" s="364"/>
      <c r="P760" s="364"/>
      <c r="Q760" s="364"/>
      <c r="R760" s="364"/>
      <c r="S760" s="364"/>
      <c r="T760" s="364"/>
      <c r="U760" s="364"/>
      <c r="V760" s="364"/>
      <c r="W760" s="364"/>
      <c r="X760" s="364"/>
      <c r="Y760" s="364"/>
      <c r="Z760" s="364"/>
    </row>
    <row r="761" spans="1:26" ht="15.75" customHeight="1" x14ac:dyDescent="0.25">
      <c r="A761" s="364"/>
      <c r="B761" s="364"/>
      <c r="C761" s="364"/>
      <c r="D761" s="364"/>
      <c r="E761" s="364"/>
      <c r="F761" s="364"/>
      <c r="G761" s="364"/>
      <c r="H761" s="364"/>
      <c r="I761" s="364"/>
      <c r="J761" s="364"/>
      <c r="K761" s="364"/>
      <c r="L761" s="364"/>
      <c r="M761" s="364"/>
      <c r="N761" s="364"/>
      <c r="O761" s="364"/>
      <c r="P761" s="364"/>
      <c r="Q761" s="364"/>
      <c r="R761" s="364"/>
      <c r="S761" s="364"/>
      <c r="T761" s="364"/>
      <c r="U761" s="364"/>
      <c r="V761" s="364"/>
      <c r="W761" s="364"/>
      <c r="X761" s="364"/>
      <c r="Y761" s="364"/>
      <c r="Z761" s="364"/>
    </row>
    <row r="762" spans="1:26" ht="15.75" customHeight="1" x14ac:dyDescent="0.25">
      <c r="A762" s="364"/>
      <c r="B762" s="364"/>
      <c r="C762" s="364"/>
      <c r="D762" s="364"/>
      <c r="E762" s="364"/>
      <c r="F762" s="364"/>
      <c r="G762" s="364"/>
      <c r="H762" s="364"/>
      <c r="I762" s="364"/>
      <c r="J762" s="364"/>
      <c r="K762" s="364"/>
      <c r="L762" s="364"/>
      <c r="M762" s="364"/>
      <c r="N762" s="364"/>
      <c r="O762" s="364"/>
      <c r="P762" s="364"/>
      <c r="Q762" s="364"/>
      <c r="R762" s="364"/>
      <c r="S762" s="364"/>
      <c r="T762" s="364"/>
      <c r="U762" s="364"/>
      <c r="V762" s="364"/>
      <c r="W762" s="364"/>
      <c r="X762" s="364"/>
      <c r="Y762" s="364"/>
      <c r="Z762" s="364"/>
    </row>
    <row r="763" spans="1:26" ht="15.75" customHeight="1" x14ac:dyDescent="0.25">
      <c r="A763" s="364"/>
      <c r="B763" s="364"/>
      <c r="C763" s="364"/>
      <c r="D763" s="364"/>
      <c r="E763" s="364"/>
      <c r="F763" s="364"/>
      <c r="G763" s="364"/>
      <c r="H763" s="364"/>
      <c r="I763" s="364"/>
      <c r="J763" s="364"/>
      <c r="K763" s="364"/>
      <c r="L763" s="364"/>
      <c r="M763" s="364"/>
      <c r="N763" s="364"/>
      <c r="O763" s="364"/>
      <c r="P763" s="364"/>
      <c r="Q763" s="364"/>
      <c r="R763" s="364"/>
      <c r="S763" s="364"/>
      <c r="T763" s="364"/>
      <c r="U763" s="364"/>
      <c r="V763" s="364"/>
      <c r="W763" s="364"/>
      <c r="X763" s="364"/>
      <c r="Y763" s="364"/>
      <c r="Z763" s="364"/>
    </row>
    <row r="764" spans="1:26" ht="15.75" customHeight="1" x14ac:dyDescent="0.25">
      <c r="A764" s="364"/>
      <c r="B764" s="364"/>
      <c r="C764" s="364"/>
      <c r="D764" s="364"/>
      <c r="E764" s="364"/>
      <c r="F764" s="364"/>
      <c r="G764" s="364"/>
      <c r="H764" s="364"/>
      <c r="I764" s="364"/>
      <c r="J764" s="364"/>
      <c r="K764" s="364"/>
      <c r="L764" s="364"/>
      <c r="M764" s="364"/>
      <c r="N764" s="364"/>
      <c r="O764" s="364"/>
      <c r="P764" s="364"/>
      <c r="Q764" s="364"/>
      <c r="R764" s="364"/>
      <c r="S764" s="364"/>
      <c r="T764" s="364"/>
      <c r="U764" s="364"/>
      <c r="V764" s="364"/>
      <c r="W764" s="364"/>
      <c r="X764" s="364"/>
      <c r="Y764" s="364"/>
      <c r="Z764" s="364"/>
    </row>
    <row r="765" spans="1:26" ht="15.75" customHeight="1" x14ac:dyDescent="0.25">
      <c r="A765" s="364"/>
      <c r="B765" s="364"/>
      <c r="C765" s="364"/>
      <c r="D765" s="364"/>
      <c r="E765" s="364"/>
      <c r="F765" s="364"/>
      <c r="G765" s="364"/>
      <c r="H765" s="364"/>
      <c r="I765" s="364"/>
      <c r="J765" s="364"/>
      <c r="K765" s="364"/>
      <c r="L765" s="364"/>
      <c r="M765" s="364"/>
      <c r="N765" s="364"/>
      <c r="O765" s="364"/>
      <c r="P765" s="364"/>
      <c r="Q765" s="364"/>
      <c r="R765" s="364"/>
      <c r="S765" s="364"/>
      <c r="T765" s="364"/>
      <c r="U765" s="364"/>
      <c r="V765" s="364"/>
      <c r="W765" s="364"/>
      <c r="X765" s="364"/>
      <c r="Y765" s="364"/>
      <c r="Z765" s="364"/>
    </row>
    <row r="766" spans="1:26" ht="15.75" customHeight="1" x14ac:dyDescent="0.25">
      <c r="A766" s="364"/>
      <c r="B766" s="364"/>
      <c r="C766" s="364"/>
      <c r="D766" s="364"/>
      <c r="E766" s="364"/>
      <c r="F766" s="364"/>
      <c r="G766" s="364"/>
      <c r="H766" s="364"/>
      <c r="I766" s="364"/>
      <c r="J766" s="364"/>
      <c r="K766" s="364"/>
      <c r="L766" s="364"/>
      <c r="M766" s="364"/>
      <c r="N766" s="364"/>
      <c r="O766" s="364"/>
      <c r="P766" s="364"/>
      <c r="Q766" s="364"/>
      <c r="R766" s="364"/>
      <c r="S766" s="364"/>
      <c r="T766" s="364"/>
      <c r="U766" s="364"/>
      <c r="V766" s="364"/>
      <c r="W766" s="364"/>
      <c r="X766" s="364"/>
      <c r="Y766" s="364"/>
      <c r="Z766" s="364"/>
    </row>
    <row r="767" spans="1:26" ht="15.75" customHeight="1" x14ac:dyDescent="0.25">
      <c r="A767" s="364"/>
      <c r="B767" s="364"/>
      <c r="C767" s="364"/>
      <c r="D767" s="364"/>
      <c r="E767" s="364"/>
      <c r="F767" s="364"/>
      <c r="G767" s="364"/>
      <c r="H767" s="364"/>
      <c r="I767" s="364"/>
      <c r="J767" s="364"/>
      <c r="K767" s="364"/>
      <c r="L767" s="364"/>
      <c r="M767" s="364"/>
      <c r="N767" s="364"/>
      <c r="O767" s="364"/>
      <c r="P767" s="364"/>
      <c r="Q767" s="364"/>
      <c r="R767" s="364"/>
      <c r="S767" s="364"/>
      <c r="T767" s="364"/>
      <c r="U767" s="364"/>
      <c r="V767" s="364"/>
      <c r="W767" s="364"/>
      <c r="X767" s="364"/>
      <c r="Y767" s="364"/>
      <c r="Z767" s="364"/>
    </row>
    <row r="768" spans="1:26" ht="15.75" customHeight="1" x14ac:dyDescent="0.25">
      <c r="A768" s="364"/>
      <c r="B768" s="364"/>
      <c r="C768" s="364"/>
      <c r="D768" s="364"/>
      <c r="E768" s="364"/>
      <c r="F768" s="364"/>
      <c r="G768" s="364"/>
      <c r="H768" s="364"/>
      <c r="I768" s="364"/>
      <c r="J768" s="364"/>
      <c r="K768" s="364"/>
      <c r="L768" s="364"/>
      <c r="M768" s="364"/>
      <c r="N768" s="364"/>
      <c r="O768" s="364"/>
      <c r="P768" s="364"/>
      <c r="Q768" s="364"/>
      <c r="R768" s="364"/>
      <c r="S768" s="364"/>
      <c r="T768" s="364"/>
      <c r="U768" s="364"/>
      <c r="V768" s="364"/>
      <c r="W768" s="364"/>
      <c r="X768" s="364"/>
      <c r="Y768" s="364"/>
      <c r="Z768" s="364"/>
    </row>
    <row r="769" spans="1:26" ht="15.75" customHeight="1" x14ac:dyDescent="0.25">
      <c r="A769" s="364"/>
      <c r="B769" s="364"/>
      <c r="C769" s="364"/>
      <c r="D769" s="364"/>
      <c r="E769" s="364"/>
      <c r="F769" s="364"/>
      <c r="G769" s="364"/>
      <c r="H769" s="364"/>
      <c r="I769" s="364"/>
      <c r="J769" s="364"/>
      <c r="K769" s="364"/>
      <c r="L769" s="364"/>
      <c r="M769" s="364"/>
      <c r="N769" s="364"/>
      <c r="O769" s="364"/>
      <c r="P769" s="364"/>
      <c r="Q769" s="364"/>
      <c r="R769" s="364"/>
      <c r="S769" s="364"/>
      <c r="T769" s="364"/>
      <c r="U769" s="364"/>
      <c r="V769" s="364"/>
      <c r="W769" s="364"/>
      <c r="X769" s="364"/>
      <c r="Y769" s="364"/>
      <c r="Z769" s="364"/>
    </row>
    <row r="770" spans="1:26" ht="15.75" customHeight="1" x14ac:dyDescent="0.25">
      <c r="A770" s="364"/>
      <c r="B770" s="364"/>
      <c r="C770" s="364"/>
      <c r="D770" s="364"/>
      <c r="E770" s="364"/>
      <c r="F770" s="364"/>
      <c r="G770" s="364"/>
      <c r="H770" s="364"/>
      <c r="I770" s="364"/>
      <c r="J770" s="364"/>
      <c r="K770" s="364"/>
      <c r="L770" s="364"/>
      <c r="M770" s="364"/>
      <c r="N770" s="364"/>
      <c r="O770" s="364"/>
      <c r="P770" s="364"/>
      <c r="Q770" s="364"/>
      <c r="R770" s="364"/>
      <c r="S770" s="364"/>
      <c r="T770" s="364"/>
      <c r="U770" s="364"/>
      <c r="V770" s="364"/>
      <c r="W770" s="364"/>
      <c r="X770" s="364"/>
      <c r="Y770" s="364"/>
      <c r="Z770" s="364"/>
    </row>
    <row r="771" spans="1:26" ht="15.75" customHeight="1" x14ac:dyDescent="0.25">
      <c r="A771" s="364"/>
      <c r="B771" s="364"/>
      <c r="C771" s="364"/>
      <c r="D771" s="364"/>
      <c r="E771" s="364"/>
      <c r="F771" s="364"/>
      <c r="G771" s="364"/>
      <c r="H771" s="364"/>
      <c r="I771" s="364"/>
      <c r="J771" s="364"/>
      <c r="K771" s="364"/>
      <c r="L771" s="364"/>
      <c r="M771" s="364"/>
      <c r="N771" s="364"/>
      <c r="O771" s="364"/>
      <c r="P771" s="364"/>
      <c r="Q771" s="364"/>
      <c r="R771" s="364"/>
      <c r="S771" s="364"/>
      <c r="T771" s="364"/>
      <c r="U771" s="364"/>
      <c r="V771" s="364"/>
      <c r="W771" s="364"/>
      <c r="X771" s="364"/>
      <c r="Y771" s="364"/>
      <c r="Z771" s="364"/>
    </row>
    <row r="772" spans="1:26" ht="15.75" customHeight="1" x14ac:dyDescent="0.25">
      <c r="A772" s="364"/>
      <c r="B772" s="364"/>
      <c r="C772" s="364"/>
      <c r="D772" s="364"/>
      <c r="E772" s="364"/>
      <c r="F772" s="364"/>
      <c r="G772" s="364"/>
      <c r="H772" s="364"/>
      <c r="I772" s="364"/>
      <c r="J772" s="364"/>
      <c r="K772" s="364"/>
      <c r="L772" s="364"/>
      <c r="M772" s="364"/>
      <c r="N772" s="364"/>
      <c r="O772" s="364"/>
      <c r="P772" s="364"/>
      <c r="Q772" s="364"/>
      <c r="R772" s="364"/>
      <c r="S772" s="364"/>
      <c r="T772" s="364"/>
      <c r="U772" s="364"/>
      <c r="V772" s="364"/>
      <c r="W772" s="364"/>
      <c r="X772" s="364"/>
      <c r="Y772" s="364"/>
      <c r="Z772" s="364"/>
    </row>
    <row r="773" spans="1:26" ht="15.75" customHeight="1" x14ac:dyDescent="0.25">
      <c r="A773" s="364"/>
      <c r="B773" s="364"/>
      <c r="C773" s="364"/>
      <c r="D773" s="364"/>
      <c r="E773" s="364"/>
      <c r="F773" s="364"/>
      <c r="G773" s="364"/>
      <c r="H773" s="364"/>
      <c r="I773" s="364"/>
      <c r="J773" s="364"/>
      <c r="K773" s="364"/>
      <c r="L773" s="364"/>
      <c r="M773" s="364"/>
      <c r="N773" s="364"/>
      <c r="O773" s="364"/>
      <c r="P773" s="364"/>
      <c r="Q773" s="364"/>
      <c r="R773" s="364"/>
      <c r="S773" s="364"/>
      <c r="T773" s="364"/>
      <c r="U773" s="364"/>
      <c r="V773" s="364"/>
      <c r="W773" s="364"/>
      <c r="X773" s="364"/>
      <c r="Y773" s="364"/>
      <c r="Z773" s="364"/>
    </row>
    <row r="774" spans="1:26" ht="15.75" customHeight="1" x14ac:dyDescent="0.25">
      <c r="A774" s="364"/>
      <c r="B774" s="364"/>
      <c r="C774" s="364"/>
      <c r="D774" s="364"/>
      <c r="E774" s="364"/>
      <c r="F774" s="364"/>
      <c r="G774" s="364"/>
      <c r="H774" s="364"/>
      <c r="I774" s="364"/>
      <c r="J774" s="364"/>
      <c r="K774" s="364"/>
      <c r="L774" s="364"/>
      <c r="M774" s="364"/>
      <c r="N774" s="364"/>
      <c r="O774" s="364"/>
      <c r="P774" s="364"/>
      <c r="Q774" s="364"/>
      <c r="R774" s="364"/>
      <c r="S774" s="364"/>
      <c r="T774" s="364"/>
      <c r="U774" s="364"/>
      <c r="V774" s="364"/>
      <c r="W774" s="364"/>
      <c r="X774" s="364"/>
      <c r="Y774" s="364"/>
      <c r="Z774" s="364"/>
    </row>
    <row r="775" spans="1:26" ht="15.75" customHeight="1" x14ac:dyDescent="0.25">
      <c r="A775" s="364"/>
      <c r="B775" s="364"/>
      <c r="C775" s="364"/>
      <c r="D775" s="364"/>
      <c r="E775" s="364"/>
      <c r="F775" s="364"/>
      <c r="G775" s="364"/>
      <c r="H775" s="364"/>
      <c r="I775" s="364"/>
      <c r="J775" s="364"/>
      <c r="K775" s="364"/>
      <c r="L775" s="364"/>
      <c r="M775" s="364"/>
      <c r="N775" s="364"/>
      <c r="O775" s="364"/>
      <c r="P775" s="364"/>
      <c r="Q775" s="364"/>
      <c r="R775" s="364"/>
      <c r="S775" s="364"/>
      <c r="T775" s="364"/>
      <c r="U775" s="364"/>
      <c r="V775" s="364"/>
      <c r="W775" s="364"/>
      <c r="X775" s="364"/>
      <c r="Y775" s="364"/>
      <c r="Z775" s="364"/>
    </row>
    <row r="776" spans="1:26" ht="15.75" customHeight="1" x14ac:dyDescent="0.25">
      <c r="A776" s="364"/>
      <c r="B776" s="364"/>
      <c r="C776" s="364"/>
      <c r="D776" s="364"/>
      <c r="E776" s="364"/>
      <c r="F776" s="364"/>
      <c r="G776" s="364"/>
      <c r="H776" s="364"/>
      <c r="I776" s="364"/>
      <c r="J776" s="364"/>
      <c r="K776" s="364"/>
      <c r="L776" s="364"/>
      <c r="M776" s="364"/>
      <c r="N776" s="364"/>
      <c r="O776" s="364"/>
      <c r="P776" s="364"/>
      <c r="Q776" s="364"/>
      <c r="R776" s="364"/>
      <c r="S776" s="364"/>
      <c r="T776" s="364"/>
      <c r="U776" s="364"/>
      <c r="V776" s="364"/>
      <c r="W776" s="364"/>
      <c r="X776" s="364"/>
      <c r="Y776" s="364"/>
      <c r="Z776" s="364"/>
    </row>
    <row r="777" spans="1:26" ht="15.75" customHeight="1" x14ac:dyDescent="0.25">
      <c r="A777" s="364"/>
      <c r="B777" s="364"/>
      <c r="C777" s="364"/>
      <c r="D777" s="364"/>
      <c r="E777" s="364"/>
      <c r="F777" s="364"/>
      <c r="G777" s="364"/>
      <c r="H777" s="364"/>
      <c r="I777" s="364"/>
      <c r="J777" s="364"/>
      <c r="K777" s="364"/>
      <c r="L777" s="364"/>
      <c r="M777" s="364"/>
      <c r="N777" s="364"/>
      <c r="O777" s="364"/>
      <c r="P777" s="364"/>
      <c r="Q777" s="364"/>
      <c r="R777" s="364"/>
      <c r="S777" s="364"/>
      <c r="T777" s="364"/>
      <c r="U777" s="364"/>
      <c r="V777" s="364"/>
      <c r="W777" s="364"/>
      <c r="X777" s="364"/>
      <c r="Y777" s="364"/>
      <c r="Z777" s="364"/>
    </row>
    <row r="778" spans="1:26" ht="15.75" customHeight="1" x14ac:dyDescent="0.25">
      <c r="A778" s="364"/>
      <c r="B778" s="364"/>
      <c r="C778" s="364"/>
      <c r="D778" s="364"/>
      <c r="E778" s="364"/>
      <c r="F778" s="364"/>
      <c r="G778" s="364"/>
      <c r="H778" s="364"/>
      <c r="I778" s="364"/>
      <c r="J778" s="364"/>
      <c r="K778" s="364"/>
      <c r="L778" s="364"/>
      <c r="M778" s="364"/>
      <c r="N778" s="364"/>
      <c r="O778" s="364"/>
      <c r="P778" s="364"/>
      <c r="Q778" s="364"/>
      <c r="R778" s="364"/>
      <c r="S778" s="364"/>
      <c r="T778" s="364"/>
      <c r="U778" s="364"/>
      <c r="V778" s="364"/>
      <c r="W778" s="364"/>
      <c r="X778" s="364"/>
      <c r="Y778" s="364"/>
      <c r="Z778" s="364"/>
    </row>
    <row r="779" spans="1:26" ht="15.75" customHeight="1" x14ac:dyDescent="0.25">
      <c r="A779" s="364"/>
      <c r="B779" s="364"/>
      <c r="C779" s="364"/>
      <c r="D779" s="364"/>
      <c r="E779" s="364"/>
      <c r="F779" s="364"/>
      <c r="G779" s="364"/>
      <c r="H779" s="364"/>
      <c r="I779" s="364"/>
      <c r="J779" s="364"/>
      <c r="K779" s="364"/>
      <c r="L779" s="364"/>
      <c r="M779" s="364"/>
      <c r="N779" s="364"/>
      <c r="O779" s="364"/>
      <c r="P779" s="364"/>
      <c r="Q779" s="364"/>
      <c r="R779" s="364"/>
      <c r="S779" s="364"/>
      <c r="T779" s="364"/>
      <c r="U779" s="364"/>
      <c r="V779" s="364"/>
      <c r="W779" s="364"/>
      <c r="X779" s="364"/>
      <c r="Y779" s="364"/>
      <c r="Z779" s="364"/>
    </row>
    <row r="780" spans="1:26" ht="15.75" customHeight="1" x14ac:dyDescent="0.25">
      <c r="A780" s="364"/>
      <c r="B780" s="364"/>
      <c r="C780" s="364"/>
      <c r="D780" s="364"/>
      <c r="E780" s="364"/>
      <c r="F780" s="364"/>
      <c r="G780" s="364"/>
      <c r="H780" s="364"/>
      <c r="I780" s="364"/>
      <c r="J780" s="364"/>
      <c r="K780" s="364"/>
      <c r="L780" s="364"/>
      <c r="M780" s="364"/>
      <c r="N780" s="364"/>
      <c r="O780" s="364"/>
      <c r="P780" s="364"/>
      <c r="Q780" s="364"/>
      <c r="R780" s="364"/>
      <c r="S780" s="364"/>
      <c r="T780" s="364"/>
      <c r="U780" s="364"/>
      <c r="V780" s="364"/>
      <c r="W780" s="364"/>
      <c r="X780" s="364"/>
      <c r="Y780" s="364"/>
      <c r="Z780" s="364"/>
    </row>
    <row r="781" spans="1:26" ht="15.75" customHeight="1" x14ac:dyDescent="0.25">
      <c r="A781" s="364"/>
      <c r="B781" s="364"/>
      <c r="C781" s="364"/>
      <c r="D781" s="364"/>
      <c r="E781" s="364"/>
      <c r="F781" s="364"/>
      <c r="G781" s="364"/>
      <c r="H781" s="364"/>
      <c r="I781" s="364"/>
      <c r="J781" s="364"/>
      <c r="K781" s="364"/>
      <c r="L781" s="364"/>
      <c r="M781" s="364"/>
      <c r="N781" s="364"/>
      <c r="O781" s="364"/>
      <c r="P781" s="364"/>
      <c r="Q781" s="364"/>
      <c r="R781" s="364"/>
      <c r="S781" s="364"/>
      <c r="T781" s="364"/>
      <c r="U781" s="364"/>
      <c r="V781" s="364"/>
      <c r="W781" s="364"/>
      <c r="X781" s="364"/>
      <c r="Y781" s="364"/>
      <c r="Z781" s="364"/>
    </row>
    <row r="782" spans="1:26" ht="15.75" customHeight="1" x14ac:dyDescent="0.25">
      <c r="A782" s="364"/>
      <c r="B782" s="364"/>
      <c r="C782" s="364"/>
      <c r="D782" s="364"/>
      <c r="E782" s="364"/>
      <c r="F782" s="364"/>
      <c r="G782" s="364"/>
      <c r="H782" s="364"/>
      <c r="I782" s="364"/>
      <c r="J782" s="364"/>
      <c r="K782" s="364"/>
      <c r="L782" s="364"/>
      <c r="M782" s="364"/>
      <c r="N782" s="364"/>
      <c r="O782" s="364"/>
      <c r="P782" s="364"/>
      <c r="Q782" s="364"/>
      <c r="R782" s="364"/>
      <c r="S782" s="364"/>
      <c r="T782" s="364"/>
      <c r="U782" s="364"/>
      <c r="V782" s="364"/>
      <c r="W782" s="364"/>
      <c r="X782" s="364"/>
      <c r="Y782" s="364"/>
      <c r="Z782" s="364"/>
    </row>
    <row r="783" spans="1:26" ht="15.75" customHeight="1" x14ac:dyDescent="0.25">
      <c r="A783" s="364"/>
      <c r="B783" s="364"/>
      <c r="C783" s="364"/>
      <c r="D783" s="364"/>
      <c r="E783" s="364"/>
      <c r="F783" s="364"/>
      <c r="G783" s="364"/>
      <c r="H783" s="364"/>
      <c r="I783" s="364"/>
      <c r="J783" s="364"/>
      <c r="K783" s="364"/>
      <c r="L783" s="364"/>
      <c r="M783" s="364"/>
      <c r="N783" s="364"/>
      <c r="O783" s="364"/>
      <c r="P783" s="364"/>
      <c r="Q783" s="364"/>
      <c r="R783" s="364"/>
      <c r="S783" s="364"/>
      <c r="T783" s="364"/>
      <c r="U783" s="364"/>
      <c r="V783" s="364"/>
      <c r="W783" s="364"/>
      <c r="X783" s="364"/>
      <c r="Y783" s="364"/>
      <c r="Z783" s="364"/>
    </row>
    <row r="784" spans="1:26" ht="15.75" customHeight="1" x14ac:dyDescent="0.25">
      <c r="A784" s="364"/>
      <c r="B784" s="364"/>
      <c r="C784" s="364"/>
      <c r="D784" s="364"/>
      <c r="E784" s="364"/>
      <c r="F784" s="364"/>
      <c r="G784" s="364"/>
      <c r="H784" s="364"/>
      <c r="I784" s="364"/>
      <c r="J784" s="364"/>
      <c r="K784" s="364"/>
      <c r="L784" s="364"/>
      <c r="M784" s="364"/>
      <c r="N784" s="364"/>
      <c r="O784" s="364"/>
      <c r="P784" s="364"/>
      <c r="Q784" s="364"/>
      <c r="R784" s="364"/>
      <c r="S784" s="364"/>
      <c r="T784" s="364"/>
      <c r="U784" s="364"/>
      <c r="V784" s="364"/>
      <c r="W784" s="364"/>
      <c r="X784" s="364"/>
      <c r="Y784" s="364"/>
      <c r="Z784" s="364"/>
    </row>
    <row r="785" spans="1:26" ht="15.75" customHeight="1" x14ac:dyDescent="0.25">
      <c r="A785" s="364"/>
      <c r="B785" s="364"/>
      <c r="C785" s="364"/>
      <c r="D785" s="364"/>
      <c r="E785" s="364"/>
      <c r="F785" s="364"/>
      <c r="G785" s="364"/>
      <c r="H785" s="364"/>
      <c r="I785" s="364"/>
      <c r="J785" s="364"/>
      <c r="K785" s="364"/>
      <c r="L785" s="364"/>
      <c r="M785" s="364"/>
      <c r="N785" s="364"/>
      <c r="O785" s="364"/>
      <c r="P785" s="364"/>
      <c r="Q785" s="364"/>
      <c r="R785" s="364"/>
      <c r="S785" s="364"/>
      <c r="T785" s="364"/>
      <c r="U785" s="364"/>
      <c r="V785" s="364"/>
      <c r="W785" s="364"/>
      <c r="X785" s="364"/>
      <c r="Y785" s="364"/>
      <c r="Z785" s="364"/>
    </row>
    <row r="786" spans="1:26" ht="15.75" customHeight="1" x14ac:dyDescent="0.25">
      <c r="A786" s="364"/>
      <c r="B786" s="364"/>
      <c r="C786" s="364"/>
      <c r="D786" s="364"/>
      <c r="E786" s="364"/>
      <c r="F786" s="364"/>
      <c r="G786" s="364"/>
      <c r="H786" s="364"/>
      <c r="I786" s="364"/>
      <c r="J786" s="364"/>
      <c r="K786" s="364"/>
      <c r="L786" s="364"/>
      <c r="M786" s="364"/>
      <c r="N786" s="364"/>
      <c r="O786" s="364"/>
      <c r="P786" s="364"/>
      <c r="Q786" s="364"/>
      <c r="R786" s="364"/>
      <c r="S786" s="364"/>
      <c r="T786" s="364"/>
      <c r="U786" s="364"/>
      <c r="V786" s="364"/>
      <c r="W786" s="364"/>
      <c r="X786" s="364"/>
      <c r="Y786" s="364"/>
      <c r="Z786" s="364"/>
    </row>
    <row r="787" spans="1:26" ht="15.75" customHeight="1" x14ac:dyDescent="0.25">
      <c r="A787" s="364"/>
      <c r="B787" s="364"/>
      <c r="C787" s="364"/>
      <c r="D787" s="364"/>
      <c r="E787" s="364"/>
      <c r="F787" s="364"/>
      <c r="G787" s="364"/>
      <c r="H787" s="364"/>
      <c r="I787" s="364"/>
      <c r="J787" s="364"/>
      <c r="K787" s="364"/>
      <c r="L787" s="364"/>
      <c r="M787" s="364"/>
      <c r="N787" s="364"/>
      <c r="O787" s="364"/>
      <c r="P787" s="364"/>
      <c r="Q787" s="364"/>
      <c r="R787" s="364"/>
      <c r="S787" s="364"/>
      <c r="T787" s="364"/>
      <c r="U787" s="364"/>
      <c r="V787" s="364"/>
      <c r="W787" s="364"/>
      <c r="X787" s="364"/>
      <c r="Y787" s="364"/>
      <c r="Z787" s="364"/>
    </row>
    <row r="788" spans="1:26" ht="15.75" customHeight="1" x14ac:dyDescent="0.25">
      <c r="A788" s="364"/>
      <c r="B788" s="364"/>
      <c r="C788" s="364"/>
      <c r="D788" s="364"/>
      <c r="E788" s="364"/>
      <c r="F788" s="364"/>
      <c r="G788" s="364"/>
      <c r="H788" s="364"/>
      <c r="I788" s="364"/>
      <c r="J788" s="364"/>
      <c r="K788" s="364"/>
      <c r="L788" s="364"/>
      <c r="M788" s="364"/>
      <c r="N788" s="364"/>
      <c r="O788" s="364"/>
      <c r="P788" s="364"/>
      <c r="Q788" s="364"/>
      <c r="R788" s="364"/>
      <c r="S788" s="364"/>
      <c r="T788" s="364"/>
      <c r="U788" s="364"/>
      <c r="V788" s="364"/>
      <c r="W788" s="364"/>
      <c r="X788" s="364"/>
      <c r="Y788" s="364"/>
      <c r="Z788" s="364"/>
    </row>
    <row r="789" spans="1:26" ht="15.75" customHeight="1" x14ac:dyDescent="0.25">
      <c r="A789" s="364"/>
      <c r="B789" s="364"/>
      <c r="C789" s="364"/>
      <c r="D789" s="364"/>
      <c r="E789" s="364"/>
      <c r="F789" s="364"/>
      <c r="G789" s="364"/>
      <c r="H789" s="364"/>
      <c r="I789" s="364"/>
      <c r="J789" s="364"/>
      <c r="K789" s="364"/>
      <c r="L789" s="364"/>
      <c r="M789" s="364"/>
      <c r="N789" s="364"/>
      <c r="O789" s="364"/>
      <c r="P789" s="364"/>
      <c r="Q789" s="364"/>
      <c r="R789" s="364"/>
      <c r="S789" s="364"/>
      <c r="T789" s="364"/>
      <c r="U789" s="364"/>
      <c r="V789" s="364"/>
      <c r="W789" s="364"/>
      <c r="X789" s="364"/>
      <c r="Y789" s="364"/>
      <c r="Z789" s="364"/>
    </row>
    <row r="790" spans="1:26" ht="15.75" customHeight="1" x14ac:dyDescent="0.25">
      <c r="A790" s="364"/>
      <c r="B790" s="364"/>
      <c r="C790" s="364"/>
      <c r="D790" s="364"/>
      <c r="E790" s="364"/>
      <c r="F790" s="364"/>
      <c r="G790" s="364"/>
      <c r="H790" s="364"/>
      <c r="I790" s="364"/>
      <c r="J790" s="364"/>
      <c r="K790" s="364"/>
      <c r="L790" s="364"/>
      <c r="M790" s="364"/>
      <c r="N790" s="364"/>
      <c r="O790" s="364"/>
      <c r="P790" s="364"/>
      <c r="Q790" s="364"/>
      <c r="R790" s="364"/>
      <c r="S790" s="364"/>
      <c r="T790" s="364"/>
      <c r="U790" s="364"/>
      <c r="V790" s="364"/>
      <c r="W790" s="364"/>
      <c r="X790" s="364"/>
      <c r="Y790" s="364"/>
      <c r="Z790" s="364"/>
    </row>
    <row r="791" spans="1:26" ht="15.75" customHeight="1" x14ac:dyDescent="0.25">
      <c r="A791" s="364"/>
      <c r="B791" s="364"/>
      <c r="C791" s="364"/>
      <c r="D791" s="364"/>
      <c r="E791" s="364"/>
      <c r="F791" s="364"/>
      <c r="G791" s="364"/>
      <c r="H791" s="364"/>
      <c r="I791" s="364"/>
      <c r="J791" s="364"/>
      <c r="K791" s="364"/>
      <c r="L791" s="364"/>
      <c r="M791" s="364"/>
      <c r="N791" s="364"/>
      <c r="O791" s="364"/>
      <c r="P791" s="364"/>
      <c r="Q791" s="364"/>
      <c r="R791" s="364"/>
      <c r="S791" s="364"/>
      <c r="T791" s="364"/>
      <c r="U791" s="364"/>
      <c r="V791" s="364"/>
      <c r="W791" s="364"/>
      <c r="X791" s="364"/>
      <c r="Y791" s="364"/>
      <c r="Z791" s="364"/>
    </row>
    <row r="792" spans="1:26" ht="15.75" customHeight="1" x14ac:dyDescent="0.25">
      <c r="A792" s="364"/>
      <c r="B792" s="364"/>
      <c r="C792" s="364"/>
      <c r="D792" s="364"/>
      <c r="E792" s="364"/>
      <c r="F792" s="364"/>
      <c r="G792" s="364"/>
      <c r="H792" s="364"/>
      <c r="I792" s="364"/>
      <c r="J792" s="364"/>
      <c r="K792" s="364"/>
      <c r="L792" s="364"/>
      <c r="M792" s="364"/>
      <c r="N792" s="364"/>
      <c r="O792" s="364"/>
      <c r="P792" s="364"/>
      <c r="Q792" s="364"/>
      <c r="R792" s="364"/>
      <c r="S792" s="364"/>
      <c r="T792" s="364"/>
      <c r="U792" s="364"/>
      <c r="V792" s="364"/>
      <c r="W792" s="364"/>
      <c r="X792" s="364"/>
      <c r="Y792" s="364"/>
      <c r="Z792" s="364"/>
    </row>
    <row r="793" spans="1:26" ht="15.75" customHeight="1" x14ac:dyDescent="0.25">
      <c r="A793" s="364"/>
      <c r="B793" s="364"/>
      <c r="C793" s="364"/>
      <c r="D793" s="364"/>
      <c r="E793" s="364"/>
      <c r="F793" s="364"/>
      <c r="G793" s="364"/>
      <c r="H793" s="364"/>
      <c r="I793" s="364"/>
      <c r="J793" s="364"/>
      <c r="K793" s="364"/>
      <c r="L793" s="364"/>
      <c r="M793" s="364"/>
      <c r="N793" s="364"/>
      <c r="O793" s="364"/>
      <c r="P793" s="364"/>
      <c r="Q793" s="364"/>
      <c r="R793" s="364"/>
      <c r="S793" s="364"/>
      <c r="T793" s="364"/>
      <c r="U793" s="364"/>
      <c r="V793" s="364"/>
      <c r="W793" s="364"/>
      <c r="X793" s="364"/>
      <c r="Y793" s="364"/>
      <c r="Z793" s="364"/>
    </row>
    <row r="794" spans="1:26" ht="15.75" customHeight="1" x14ac:dyDescent="0.25">
      <c r="A794" s="364"/>
      <c r="B794" s="364"/>
      <c r="C794" s="364"/>
      <c r="D794" s="364"/>
      <c r="E794" s="364"/>
      <c r="F794" s="364"/>
      <c r="G794" s="364"/>
      <c r="H794" s="364"/>
      <c r="I794" s="364"/>
      <c r="J794" s="364"/>
      <c r="K794" s="364"/>
      <c r="L794" s="364"/>
      <c r="M794" s="364"/>
      <c r="N794" s="364"/>
      <c r="O794" s="364"/>
      <c r="P794" s="364"/>
      <c r="Q794" s="364"/>
      <c r="R794" s="364"/>
      <c r="S794" s="364"/>
      <c r="T794" s="364"/>
      <c r="U794" s="364"/>
      <c r="V794" s="364"/>
      <c r="W794" s="364"/>
      <c r="X794" s="364"/>
      <c r="Y794" s="364"/>
      <c r="Z794" s="364"/>
    </row>
    <row r="795" spans="1:26" ht="15.75" customHeight="1" x14ac:dyDescent="0.25">
      <c r="A795" s="364"/>
      <c r="B795" s="364"/>
      <c r="C795" s="364"/>
      <c r="D795" s="364"/>
      <c r="E795" s="364"/>
      <c r="F795" s="364"/>
      <c r="G795" s="364"/>
      <c r="H795" s="364"/>
      <c r="I795" s="364"/>
      <c r="J795" s="364"/>
      <c r="K795" s="364"/>
      <c r="L795" s="364"/>
      <c r="M795" s="364"/>
      <c r="N795" s="364"/>
      <c r="O795" s="364"/>
      <c r="P795" s="364"/>
      <c r="Q795" s="364"/>
      <c r="R795" s="364"/>
      <c r="S795" s="364"/>
      <c r="T795" s="364"/>
      <c r="U795" s="364"/>
      <c r="V795" s="364"/>
      <c r="W795" s="364"/>
      <c r="X795" s="364"/>
      <c r="Y795" s="364"/>
      <c r="Z795" s="364"/>
    </row>
    <row r="796" spans="1:26" ht="15.75" customHeight="1" x14ac:dyDescent="0.25">
      <c r="A796" s="364"/>
      <c r="B796" s="364"/>
      <c r="C796" s="364"/>
      <c r="D796" s="364"/>
      <c r="E796" s="364"/>
      <c r="F796" s="364"/>
      <c r="G796" s="364"/>
      <c r="H796" s="364"/>
      <c r="I796" s="364"/>
      <c r="J796" s="364"/>
      <c r="K796" s="364"/>
      <c r="L796" s="364"/>
      <c r="M796" s="364"/>
      <c r="N796" s="364"/>
      <c r="O796" s="364"/>
      <c r="P796" s="364"/>
      <c r="Q796" s="364"/>
      <c r="R796" s="364"/>
      <c r="S796" s="364"/>
      <c r="T796" s="364"/>
      <c r="U796" s="364"/>
      <c r="V796" s="364"/>
      <c r="W796" s="364"/>
      <c r="X796" s="364"/>
      <c r="Y796" s="364"/>
      <c r="Z796" s="364"/>
    </row>
    <row r="797" spans="1:26" ht="15.75" customHeight="1" x14ac:dyDescent="0.25">
      <c r="A797" s="364"/>
      <c r="B797" s="364"/>
      <c r="C797" s="364"/>
      <c r="D797" s="364"/>
      <c r="E797" s="364"/>
      <c r="F797" s="364"/>
      <c r="G797" s="364"/>
      <c r="H797" s="364"/>
      <c r="I797" s="364"/>
      <c r="J797" s="364"/>
      <c r="K797" s="364"/>
      <c r="L797" s="364"/>
      <c r="M797" s="364"/>
      <c r="N797" s="364"/>
      <c r="O797" s="364"/>
      <c r="P797" s="364"/>
      <c r="Q797" s="364"/>
      <c r="R797" s="364"/>
      <c r="S797" s="364"/>
      <c r="T797" s="364"/>
      <c r="U797" s="364"/>
      <c r="V797" s="364"/>
      <c r="W797" s="364"/>
      <c r="X797" s="364"/>
      <c r="Y797" s="364"/>
      <c r="Z797" s="364"/>
    </row>
    <row r="798" spans="1:26" ht="15.75" customHeight="1" x14ac:dyDescent="0.25">
      <c r="A798" s="364"/>
      <c r="B798" s="364"/>
      <c r="C798" s="364"/>
      <c r="D798" s="364"/>
      <c r="E798" s="364"/>
      <c r="F798" s="364"/>
      <c r="G798" s="364"/>
      <c r="H798" s="364"/>
      <c r="I798" s="364"/>
      <c r="J798" s="364"/>
      <c r="K798" s="364"/>
      <c r="L798" s="364"/>
      <c r="M798" s="364"/>
      <c r="N798" s="364"/>
      <c r="O798" s="364"/>
      <c r="P798" s="364"/>
      <c r="Q798" s="364"/>
      <c r="R798" s="364"/>
      <c r="S798" s="364"/>
      <c r="T798" s="364"/>
      <c r="U798" s="364"/>
      <c r="V798" s="364"/>
      <c r="W798" s="364"/>
      <c r="X798" s="364"/>
      <c r="Y798" s="364"/>
      <c r="Z798" s="364"/>
    </row>
    <row r="799" spans="1:26" ht="15.75" customHeight="1" x14ac:dyDescent="0.25">
      <c r="A799" s="364"/>
      <c r="B799" s="364"/>
      <c r="C799" s="364"/>
      <c r="D799" s="364"/>
      <c r="E799" s="364"/>
      <c r="F799" s="364"/>
      <c r="G799" s="364"/>
      <c r="H799" s="364"/>
      <c r="I799" s="364"/>
      <c r="J799" s="364"/>
      <c r="K799" s="364"/>
      <c r="L799" s="364"/>
      <c r="M799" s="364"/>
      <c r="N799" s="364"/>
      <c r="O799" s="364"/>
      <c r="P799" s="364"/>
      <c r="Q799" s="364"/>
      <c r="R799" s="364"/>
      <c r="S799" s="364"/>
      <c r="T799" s="364"/>
      <c r="U799" s="364"/>
      <c r="V799" s="364"/>
      <c r="W799" s="364"/>
      <c r="X799" s="364"/>
      <c r="Y799" s="364"/>
      <c r="Z799" s="364"/>
    </row>
    <row r="800" spans="1:26" ht="15.75" customHeight="1" x14ac:dyDescent="0.25">
      <c r="A800" s="364"/>
      <c r="B800" s="364"/>
      <c r="C800" s="364"/>
      <c r="D800" s="364"/>
      <c r="E800" s="364"/>
      <c r="F800" s="364"/>
      <c r="G800" s="364"/>
      <c r="H800" s="364"/>
      <c r="I800" s="364"/>
      <c r="J800" s="364"/>
      <c r="K800" s="364"/>
      <c r="L800" s="364"/>
      <c r="M800" s="364"/>
      <c r="N800" s="364"/>
      <c r="O800" s="364"/>
      <c r="P800" s="364"/>
      <c r="Q800" s="364"/>
      <c r="R800" s="364"/>
      <c r="S800" s="364"/>
      <c r="T800" s="364"/>
      <c r="U800" s="364"/>
      <c r="V800" s="364"/>
      <c r="W800" s="364"/>
      <c r="X800" s="364"/>
      <c r="Y800" s="364"/>
      <c r="Z800" s="364"/>
    </row>
    <row r="801" spans="1:26" ht="15.75" customHeight="1" x14ac:dyDescent="0.25">
      <c r="A801" s="364"/>
      <c r="B801" s="364"/>
      <c r="C801" s="364"/>
      <c r="D801" s="364"/>
      <c r="E801" s="364"/>
      <c r="F801" s="364"/>
      <c r="G801" s="364"/>
      <c r="H801" s="364"/>
      <c r="I801" s="364"/>
      <c r="J801" s="364"/>
      <c r="K801" s="364"/>
      <c r="L801" s="364"/>
      <c r="M801" s="364"/>
      <c r="N801" s="364"/>
      <c r="O801" s="364"/>
      <c r="P801" s="364"/>
      <c r="Q801" s="364"/>
      <c r="R801" s="364"/>
      <c r="S801" s="364"/>
      <c r="T801" s="364"/>
      <c r="U801" s="364"/>
      <c r="V801" s="364"/>
      <c r="W801" s="364"/>
      <c r="X801" s="364"/>
      <c r="Y801" s="364"/>
      <c r="Z801" s="364"/>
    </row>
    <row r="802" spans="1:26" ht="15.75" customHeight="1" x14ac:dyDescent="0.25">
      <c r="A802" s="364"/>
      <c r="B802" s="364"/>
      <c r="C802" s="364"/>
      <c r="D802" s="364"/>
      <c r="E802" s="364"/>
      <c r="F802" s="364"/>
      <c r="G802" s="364"/>
      <c r="H802" s="364"/>
      <c r="I802" s="364"/>
      <c r="J802" s="364"/>
      <c r="K802" s="364"/>
      <c r="L802" s="364"/>
      <c r="M802" s="364"/>
      <c r="N802" s="364"/>
      <c r="O802" s="364"/>
      <c r="P802" s="364"/>
      <c r="Q802" s="364"/>
      <c r="R802" s="364"/>
      <c r="S802" s="364"/>
      <c r="T802" s="364"/>
      <c r="U802" s="364"/>
      <c r="V802" s="364"/>
      <c r="W802" s="364"/>
      <c r="X802" s="364"/>
      <c r="Y802" s="364"/>
      <c r="Z802" s="364"/>
    </row>
    <row r="803" spans="1:26" ht="15.75" customHeight="1" x14ac:dyDescent="0.25">
      <c r="A803" s="364"/>
      <c r="B803" s="364"/>
      <c r="C803" s="364"/>
      <c r="D803" s="364"/>
      <c r="E803" s="364"/>
      <c r="F803" s="364"/>
      <c r="G803" s="364"/>
      <c r="H803" s="364"/>
      <c r="I803" s="364"/>
      <c r="J803" s="364"/>
      <c r="K803" s="364"/>
      <c r="L803" s="364"/>
      <c r="M803" s="364"/>
      <c r="N803" s="364"/>
      <c r="O803" s="364"/>
      <c r="P803" s="364"/>
      <c r="Q803" s="364"/>
      <c r="R803" s="364"/>
      <c r="S803" s="364"/>
      <c r="T803" s="364"/>
      <c r="U803" s="364"/>
      <c r="V803" s="364"/>
      <c r="W803" s="364"/>
      <c r="X803" s="364"/>
      <c r="Y803" s="364"/>
      <c r="Z803" s="364"/>
    </row>
    <row r="804" spans="1:26" ht="15.75" customHeight="1" x14ac:dyDescent="0.25">
      <c r="A804" s="364"/>
      <c r="B804" s="364"/>
      <c r="C804" s="364"/>
      <c r="D804" s="364"/>
      <c r="E804" s="364"/>
      <c r="F804" s="364"/>
      <c r="G804" s="364"/>
      <c r="H804" s="364"/>
      <c r="I804" s="364"/>
      <c r="J804" s="364"/>
      <c r="K804" s="364"/>
      <c r="L804" s="364"/>
      <c r="M804" s="364"/>
      <c r="N804" s="364"/>
      <c r="O804" s="364"/>
      <c r="P804" s="364"/>
      <c r="Q804" s="364"/>
      <c r="R804" s="364"/>
      <c r="S804" s="364"/>
      <c r="T804" s="364"/>
      <c r="U804" s="364"/>
      <c r="V804" s="364"/>
      <c r="W804" s="364"/>
      <c r="X804" s="364"/>
      <c r="Y804" s="364"/>
      <c r="Z804" s="364"/>
    </row>
    <row r="805" spans="1:26" ht="15.75" customHeight="1" x14ac:dyDescent="0.25">
      <c r="A805" s="364"/>
      <c r="B805" s="364"/>
      <c r="C805" s="364"/>
      <c r="D805" s="364"/>
      <c r="E805" s="364"/>
      <c r="F805" s="364"/>
      <c r="G805" s="364"/>
      <c r="H805" s="364"/>
      <c r="I805" s="364"/>
      <c r="J805" s="364"/>
      <c r="K805" s="364"/>
      <c r="L805" s="364"/>
      <c r="M805" s="364"/>
      <c r="N805" s="364"/>
      <c r="O805" s="364"/>
      <c r="P805" s="364"/>
      <c r="Q805" s="364"/>
      <c r="R805" s="364"/>
      <c r="S805" s="364"/>
      <c r="T805" s="364"/>
      <c r="U805" s="364"/>
      <c r="V805" s="364"/>
      <c r="W805" s="364"/>
      <c r="X805" s="364"/>
      <c r="Y805" s="364"/>
      <c r="Z805" s="364"/>
    </row>
    <row r="806" spans="1:26" ht="15.75" customHeight="1" x14ac:dyDescent="0.25">
      <c r="A806" s="364"/>
      <c r="B806" s="364"/>
      <c r="C806" s="364"/>
      <c r="D806" s="364"/>
      <c r="E806" s="364"/>
      <c r="F806" s="364"/>
      <c r="G806" s="364"/>
      <c r="H806" s="364"/>
      <c r="I806" s="364"/>
      <c r="J806" s="364"/>
      <c r="K806" s="364"/>
      <c r="L806" s="364"/>
      <c r="M806" s="364"/>
      <c r="N806" s="364"/>
      <c r="O806" s="364"/>
      <c r="P806" s="364"/>
      <c r="Q806" s="364"/>
      <c r="R806" s="364"/>
      <c r="S806" s="364"/>
      <c r="T806" s="364"/>
      <c r="U806" s="364"/>
      <c r="V806" s="364"/>
      <c r="W806" s="364"/>
      <c r="X806" s="364"/>
      <c r="Y806" s="364"/>
      <c r="Z806" s="364"/>
    </row>
    <row r="807" spans="1:26" ht="15.75" customHeight="1" x14ac:dyDescent="0.25">
      <c r="A807" s="364"/>
      <c r="B807" s="364"/>
      <c r="C807" s="364"/>
      <c r="D807" s="364"/>
      <c r="E807" s="364"/>
      <c r="F807" s="364"/>
      <c r="G807" s="364"/>
      <c r="H807" s="364"/>
      <c r="I807" s="364"/>
      <c r="J807" s="364"/>
      <c r="K807" s="364"/>
      <c r="L807" s="364"/>
      <c r="M807" s="364"/>
      <c r="N807" s="364"/>
      <c r="O807" s="364"/>
      <c r="P807" s="364"/>
      <c r="Q807" s="364"/>
      <c r="R807" s="364"/>
      <c r="S807" s="364"/>
      <c r="T807" s="364"/>
      <c r="U807" s="364"/>
      <c r="V807" s="364"/>
      <c r="W807" s="364"/>
      <c r="X807" s="364"/>
      <c r="Y807" s="364"/>
      <c r="Z807" s="364"/>
    </row>
    <row r="808" spans="1:26" ht="15.75" customHeight="1" x14ac:dyDescent="0.25">
      <c r="A808" s="364"/>
      <c r="B808" s="364"/>
      <c r="C808" s="364"/>
      <c r="D808" s="364"/>
      <c r="E808" s="364"/>
      <c r="F808" s="364"/>
      <c r="G808" s="364"/>
      <c r="H808" s="364"/>
      <c r="I808" s="364"/>
      <c r="J808" s="364"/>
      <c r="K808" s="364"/>
      <c r="L808" s="364"/>
      <c r="M808" s="364"/>
      <c r="N808" s="364"/>
      <c r="O808" s="364"/>
      <c r="P808" s="364"/>
      <c r="Q808" s="364"/>
      <c r="R808" s="364"/>
      <c r="S808" s="364"/>
      <c r="T808" s="364"/>
      <c r="U808" s="364"/>
      <c r="V808" s="364"/>
      <c r="W808" s="364"/>
      <c r="X808" s="364"/>
      <c r="Y808" s="364"/>
      <c r="Z808" s="364"/>
    </row>
    <row r="809" spans="1:26" ht="15.75" customHeight="1" x14ac:dyDescent="0.25">
      <c r="A809" s="364"/>
      <c r="B809" s="364"/>
      <c r="C809" s="364"/>
      <c r="D809" s="364"/>
      <c r="E809" s="364"/>
      <c r="F809" s="364"/>
      <c r="G809" s="364"/>
      <c r="H809" s="364"/>
      <c r="I809" s="364"/>
      <c r="J809" s="364"/>
      <c r="K809" s="364"/>
      <c r="L809" s="364"/>
      <c r="M809" s="364"/>
      <c r="N809" s="364"/>
      <c r="O809" s="364"/>
      <c r="P809" s="364"/>
      <c r="Q809" s="364"/>
      <c r="R809" s="364"/>
      <c r="S809" s="364"/>
      <c r="T809" s="364"/>
      <c r="U809" s="364"/>
      <c r="V809" s="364"/>
      <c r="W809" s="364"/>
      <c r="X809" s="364"/>
      <c r="Y809" s="364"/>
      <c r="Z809" s="364"/>
    </row>
    <row r="810" spans="1:26" ht="15.75" customHeight="1" x14ac:dyDescent="0.25">
      <c r="A810" s="364"/>
      <c r="B810" s="364"/>
      <c r="C810" s="364"/>
      <c r="D810" s="364"/>
      <c r="E810" s="364"/>
      <c r="F810" s="364"/>
      <c r="G810" s="364"/>
      <c r="H810" s="364"/>
      <c r="I810" s="364"/>
      <c r="J810" s="364"/>
      <c r="K810" s="364"/>
      <c r="L810" s="364"/>
      <c r="M810" s="364"/>
      <c r="N810" s="364"/>
      <c r="O810" s="364"/>
      <c r="P810" s="364"/>
      <c r="Q810" s="364"/>
      <c r="R810" s="364"/>
      <c r="S810" s="364"/>
      <c r="T810" s="364"/>
      <c r="U810" s="364"/>
      <c r="V810" s="364"/>
      <c r="W810" s="364"/>
      <c r="X810" s="364"/>
      <c r="Y810" s="364"/>
      <c r="Z810" s="364"/>
    </row>
    <row r="811" spans="1:26" ht="15.75" customHeight="1" x14ac:dyDescent="0.25">
      <c r="A811" s="364"/>
      <c r="B811" s="364"/>
      <c r="C811" s="364"/>
      <c r="D811" s="364"/>
      <c r="E811" s="364"/>
      <c r="F811" s="364"/>
      <c r="G811" s="364"/>
      <c r="H811" s="364"/>
      <c r="I811" s="364"/>
      <c r="J811" s="364"/>
      <c r="K811" s="364"/>
      <c r="L811" s="364"/>
      <c r="M811" s="364"/>
      <c r="N811" s="364"/>
      <c r="O811" s="364"/>
      <c r="P811" s="364"/>
      <c r="Q811" s="364"/>
      <c r="R811" s="364"/>
      <c r="S811" s="364"/>
      <c r="T811" s="364"/>
      <c r="U811" s="364"/>
      <c r="V811" s="364"/>
      <c r="W811" s="364"/>
      <c r="X811" s="364"/>
      <c r="Y811" s="364"/>
      <c r="Z811" s="364"/>
    </row>
    <row r="812" spans="1:26" ht="15.75" customHeight="1" x14ac:dyDescent="0.25">
      <c r="A812" s="364"/>
      <c r="B812" s="364"/>
      <c r="C812" s="364"/>
      <c r="D812" s="364"/>
      <c r="E812" s="364"/>
      <c r="F812" s="364"/>
      <c r="G812" s="364"/>
      <c r="H812" s="364"/>
      <c r="I812" s="364"/>
      <c r="J812" s="364"/>
      <c r="K812" s="364"/>
      <c r="L812" s="364"/>
      <c r="M812" s="364"/>
      <c r="N812" s="364"/>
      <c r="O812" s="364"/>
      <c r="P812" s="364"/>
      <c r="Q812" s="364"/>
      <c r="R812" s="364"/>
      <c r="S812" s="364"/>
      <c r="T812" s="364"/>
      <c r="U812" s="364"/>
      <c r="V812" s="364"/>
      <c r="W812" s="364"/>
      <c r="X812" s="364"/>
      <c r="Y812" s="364"/>
      <c r="Z812" s="364"/>
    </row>
    <row r="813" spans="1:26" ht="15.75" customHeight="1" x14ac:dyDescent="0.25">
      <c r="A813" s="364"/>
      <c r="B813" s="364"/>
      <c r="C813" s="364"/>
      <c r="D813" s="364"/>
      <c r="E813" s="364"/>
      <c r="F813" s="364"/>
      <c r="G813" s="364"/>
      <c r="H813" s="364"/>
      <c r="I813" s="364"/>
      <c r="J813" s="364"/>
      <c r="K813" s="364"/>
      <c r="L813" s="364"/>
      <c r="M813" s="364"/>
      <c r="N813" s="364"/>
      <c r="O813" s="364"/>
      <c r="P813" s="364"/>
      <c r="Q813" s="364"/>
      <c r="R813" s="364"/>
      <c r="S813" s="364"/>
      <c r="T813" s="364"/>
      <c r="U813" s="364"/>
      <c r="V813" s="364"/>
      <c r="W813" s="364"/>
      <c r="X813" s="364"/>
      <c r="Y813" s="364"/>
      <c r="Z813" s="364"/>
    </row>
    <row r="814" spans="1:26" ht="15.75" customHeight="1" x14ac:dyDescent="0.25">
      <c r="A814" s="364"/>
      <c r="B814" s="364"/>
      <c r="C814" s="364"/>
      <c r="D814" s="364"/>
      <c r="E814" s="364"/>
      <c r="F814" s="364"/>
      <c r="G814" s="364"/>
      <c r="H814" s="364"/>
      <c r="I814" s="364"/>
      <c r="J814" s="364"/>
      <c r="K814" s="364"/>
      <c r="L814" s="364"/>
      <c r="M814" s="364"/>
      <c r="N814" s="364"/>
      <c r="O814" s="364"/>
      <c r="P814" s="364"/>
      <c r="Q814" s="364"/>
      <c r="R814" s="364"/>
      <c r="S814" s="364"/>
      <c r="T814" s="364"/>
      <c r="U814" s="364"/>
      <c r="V814" s="364"/>
      <c r="W814" s="364"/>
      <c r="X814" s="364"/>
      <c r="Y814" s="364"/>
      <c r="Z814" s="364"/>
    </row>
    <row r="815" spans="1:26" ht="15.75" customHeight="1" x14ac:dyDescent="0.25">
      <c r="A815" s="364"/>
      <c r="B815" s="364"/>
      <c r="C815" s="364"/>
      <c r="D815" s="364"/>
      <c r="E815" s="364"/>
      <c r="F815" s="364"/>
      <c r="G815" s="364"/>
      <c r="H815" s="364"/>
      <c r="I815" s="364"/>
      <c r="J815" s="364"/>
      <c r="K815" s="364"/>
      <c r="L815" s="364"/>
      <c r="M815" s="364"/>
      <c r="N815" s="364"/>
      <c r="O815" s="364"/>
      <c r="P815" s="364"/>
      <c r="Q815" s="364"/>
      <c r="R815" s="364"/>
      <c r="S815" s="364"/>
      <c r="T815" s="364"/>
      <c r="U815" s="364"/>
      <c r="V815" s="364"/>
      <c r="W815" s="364"/>
      <c r="X815" s="364"/>
      <c r="Y815" s="364"/>
      <c r="Z815" s="364"/>
    </row>
    <row r="816" spans="1:26" ht="15.75" customHeight="1" x14ac:dyDescent="0.25">
      <c r="A816" s="364"/>
      <c r="B816" s="364"/>
      <c r="C816" s="364"/>
      <c r="D816" s="364"/>
      <c r="E816" s="364"/>
      <c r="F816" s="364"/>
      <c r="G816" s="364"/>
      <c r="H816" s="364"/>
      <c r="I816" s="364"/>
      <c r="J816" s="364"/>
      <c r="K816" s="364"/>
      <c r="L816" s="364"/>
      <c r="M816" s="364"/>
      <c r="N816" s="364"/>
      <c r="O816" s="364"/>
      <c r="P816" s="364"/>
      <c r="Q816" s="364"/>
      <c r="R816" s="364"/>
      <c r="S816" s="364"/>
      <c r="T816" s="364"/>
      <c r="U816" s="364"/>
      <c r="V816" s="364"/>
      <c r="W816" s="364"/>
      <c r="X816" s="364"/>
      <c r="Y816" s="364"/>
      <c r="Z816" s="364"/>
    </row>
    <row r="817" spans="1:26" ht="15.75" customHeight="1" x14ac:dyDescent="0.25">
      <c r="A817" s="364"/>
      <c r="B817" s="364"/>
      <c r="C817" s="364"/>
      <c r="D817" s="364"/>
      <c r="E817" s="364"/>
      <c r="F817" s="364"/>
      <c r="G817" s="364"/>
      <c r="H817" s="364"/>
      <c r="I817" s="364"/>
      <c r="J817" s="364"/>
      <c r="K817" s="364"/>
      <c r="L817" s="364"/>
      <c r="M817" s="364"/>
      <c r="N817" s="364"/>
      <c r="O817" s="364"/>
      <c r="P817" s="364"/>
      <c r="Q817" s="364"/>
      <c r="R817" s="364"/>
      <c r="S817" s="364"/>
      <c r="T817" s="364"/>
      <c r="U817" s="364"/>
      <c r="V817" s="364"/>
      <c r="W817" s="364"/>
      <c r="X817" s="364"/>
      <c r="Y817" s="364"/>
      <c r="Z817" s="364"/>
    </row>
    <row r="818" spans="1:26" ht="15.75" customHeight="1" x14ac:dyDescent="0.25">
      <c r="A818" s="364"/>
      <c r="B818" s="364"/>
      <c r="C818" s="364"/>
      <c r="D818" s="364"/>
      <c r="E818" s="364"/>
      <c r="F818" s="364"/>
      <c r="G818" s="364"/>
      <c r="H818" s="364"/>
      <c r="I818" s="364"/>
      <c r="J818" s="364"/>
      <c r="K818" s="364"/>
      <c r="L818" s="364"/>
      <c r="M818" s="364"/>
      <c r="N818" s="364"/>
      <c r="O818" s="364"/>
      <c r="P818" s="364"/>
      <c r="Q818" s="364"/>
      <c r="R818" s="364"/>
      <c r="S818" s="364"/>
      <c r="T818" s="364"/>
      <c r="U818" s="364"/>
      <c r="V818" s="364"/>
      <c r="W818" s="364"/>
      <c r="X818" s="364"/>
      <c r="Y818" s="364"/>
      <c r="Z818" s="364"/>
    </row>
    <row r="819" spans="1:26" ht="15.75" customHeight="1" x14ac:dyDescent="0.25">
      <c r="A819" s="364"/>
      <c r="B819" s="364"/>
      <c r="C819" s="364"/>
      <c r="D819" s="364"/>
      <c r="E819" s="364"/>
      <c r="F819" s="364"/>
      <c r="G819" s="364"/>
      <c r="H819" s="364"/>
      <c r="I819" s="364"/>
      <c r="J819" s="364"/>
      <c r="K819" s="364"/>
      <c r="L819" s="364"/>
      <c r="M819" s="364"/>
      <c r="N819" s="364"/>
      <c r="O819" s="364"/>
      <c r="P819" s="364"/>
      <c r="Q819" s="364"/>
      <c r="R819" s="364"/>
      <c r="S819" s="364"/>
      <c r="T819" s="364"/>
      <c r="U819" s="364"/>
      <c r="V819" s="364"/>
      <c r="W819" s="364"/>
      <c r="X819" s="364"/>
      <c r="Y819" s="364"/>
      <c r="Z819" s="364"/>
    </row>
    <row r="820" spans="1:26" ht="15.75" customHeight="1" x14ac:dyDescent="0.25">
      <c r="A820" s="364"/>
      <c r="B820" s="364"/>
      <c r="C820" s="364"/>
      <c r="D820" s="364"/>
      <c r="E820" s="364"/>
      <c r="F820" s="364"/>
      <c r="G820" s="364"/>
      <c r="H820" s="364"/>
      <c r="I820" s="364"/>
      <c r="J820" s="364"/>
      <c r="K820" s="364"/>
      <c r="L820" s="364"/>
      <c r="M820" s="364"/>
      <c r="N820" s="364"/>
      <c r="O820" s="364"/>
      <c r="P820" s="364"/>
      <c r="Q820" s="364"/>
      <c r="R820" s="364"/>
      <c r="S820" s="364"/>
      <c r="T820" s="364"/>
      <c r="U820" s="364"/>
      <c r="V820" s="364"/>
      <c r="W820" s="364"/>
      <c r="X820" s="364"/>
      <c r="Y820" s="364"/>
      <c r="Z820" s="364"/>
    </row>
    <row r="821" spans="1:26" ht="15.75" customHeight="1" x14ac:dyDescent="0.25">
      <c r="A821" s="364"/>
      <c r="B821" s="364"/>
      <c r="C821" s="364"/>
      <c r="D821" s="364"/>
      <c r="E821" s="364"/>
      <c r="F821" s="364"/>
      <c r="G821" s="364"/>
      <c r="H821" s="364"/>
      <c r="I821" s="364"/>
      <c r="J821" s="364"/>
      <c r="K821" s="364"/>
      <c r="L821" s="364"/>
      <c r="M821" s="364"/>
      <c r="N821" s="364"/>
      <c r="O821" s="364"/>
      <c r="P821" s="364"/>
      <c r="Q821" s="364"/>
      <c r="R821" s="364"/>
      <c r="S821" s="364"/>
      <c r="T821" s="364"/>
      <c r="U821" s="364"/>
      <c r="V821" s="364"/>
      <c r="W821" s="364"/>
      <c r="X821" s="364"/>
      <c r="Y821" s="364"/>
      <c r="Z821" s="364"/>
    </row>
    <row r="822" spans="1:26" ht="15.75" customHeight="1" x14ac:dyDescent="0.25">
      <c r="A822" s="364"/>
      <c r="B822" s="364"/>
      <c r="C822" s="364"/>
      <c r="D822" s="364"/>
      <c r="E822" s="364"/>
      <c r="F822" s="364"/>
      <c r="G822" s="364"/>
      <c r="H822" s="364"/>
      <c r="I822" s="364"/>
      <c r="J822" s="364"/>
      <c r="K822" s="364"/>
      <c r="L822" s="364"/>
      <c r="M822" s="364"/>
      <c r="N822" s="364"/>
      <c r="O822" s="364"/>
      <c r="P822" s="364"/>
      <c r="Q822" s="364"/>
      <c r="R822" s="364"/>
      <c r="S822" s="364"/>
      <c r="T822" s="364"/>
      <c r="U822" s="364"/>
      <c r="V822" s="364"/>
      <c r="W822" s="364"/>
      <c r="X822" s="364"/>
      <c r="Y822" s="364"/>
      <c r="Z822" s="364"/>
    </row>
    <row r="823" spans="1:26" ht="15.75" customHeight="1" x14ac:dyDescent="0.25">
      <c r="A823" s="364"/>
      <c r="B823" s="364"/>
      <c r="C823" s="364"/>
      <c r="D823" s="364"/>
      <c r="E823" s="364"/>
      <c r="F823" s="364"/>
      <c r="G823" s="364"/>
      <c r="H823" s="364"/>
      <c r="I823" s="364"/>
      <c r="J823" s="364"/>
      <c r="K823" s="364"/>
      <c r="L823" s="364"/>
      <c r="M823" s="364"/>
      <c r="N823" s="364"/>
      <c r="O823" s="364"/>
      <c r="P823" s="364"/>
      <c r="Q823" s="364"/>
      <c r="R823" s="364"/>
      <c r="S823" s="364"/>
      <c r="T823" s="364"/>
      <c r="U823" s="364"/>
      <c r="V823" s="364"/>
      <c r="W823" s="364"/>
      <c r="X823" s="364"/>
      <c r="Y823" s="364"/>
      <c r="Z823" s="364"/>
    </row>
    <row r="824" spans="1:26" ht="15.75" customHeight="1" x14ac:dyDescent="0.25">
      <c r="A824" s="364"/>
      <c r="B824" s="364"/>
      <c r="C824" s="364"/>
      <c r="D824" s="364"/>
      <c r="E824" s="364"/>
      <c r="F824" s="364"/>
      <c r="G824" s="364"/>
      <c r="H824" s="364"/>
      <c r="I824" s="364"/>
      <c r="J824" s="364"/>
      <c r="K824" s="364"/>
      <c r="L824" s="364"/>
      <c r="M824" s="364"/>
      <c r="N824" s="364"/>
      <c r="O824" s="364"/>
      <c r="P824" s="364"/>
      <c r="Q824" s="364"/>
      <c r="R824" s="364"/>
      <c r="S824" s="364"/>
      <c r="T824" s="364"/>
      <c r="U824" s="364"/>
      <c r="V824" s="364"/>
      <c r="W824" s="364"/>
      <c r="X824" s="364"/>
      <c r="Y824" s="364"/>
      <c r="Z824" s="364"/>
    </row>
    <row r="825" spans="1:26" ht="15.75" customHeight="1" x14ac:dyDescent="0.25">
      <c r="A825" s="364"/>
      <c r="B825" s="364"/>
      <c r="C825" s="364"/>
      <c r="D825" s="364"/>
      <c r="E825" s="364"/>
      <c r="F825" s="364"/>
      <c r="G825" s="364"/>
      <c r="H825" s="364"/>
      <c r="I825" s="364"/>
      <c r="J825" s="364"/>
      <c r="K825" s="364"/>
      <c r="L825" s="364"/>
      <c r="M825" s="364"/>
      <c r="N825" s="364"/>
      <c r="O825" s="364"/>
      <c r="P825" s="364"/>
      <c r="Q825" s="364"/>
      <c r="R825" s="364"/>
      <c r="S825" s="364"/>
      <c r="T825" s="364"/>
      <c r="U825" s="364"/>
      <c r="V825" s="364"/>
      <c r="W825" s="364"/>
      <c r="X825" s="364"/>
      <c r="Y825" s="364"/>
      <c r="Z825" s="364"/>
    </row>
    <row r="826" spans="1:26" ht="15.75" customHeight="1" x14ac:dyDescent="0.25">
      <c r="A826" s="364"/>
      <c r="B826" s="364"/>
      <c r="C826" s="364"/>
      <c r="D826" s="364"/>
      <c r="E826" s="364"/>
      <c r="F826" s="364"/>
      <c r="G826" s="364"/>
      <c r="H826" s="364"/>
      <c r="I826" s="364"/>
      <c r="J826" s="364"/>
      <c r="K826" s="364"/>
      <c r="L826" s="364"/>
      <c r="M826" s="364"/>
      <c r="N826" s="364"/>
      <c r="O826" s="364"/>
      <c r="P826" s="364"/>
      <c r="Q826" s="364"/>
      <c r="R826" s="364"/>
      <c r="S826" s="364"/>
      <c r="T826" s="364"/>
      <c r="U826" s="364"/>
      <c r="V826" s="364"/>
      <c r="W826" s="364"/>
      <c r="X826" s="364"/>
      <c r="Y826" s="364"/>
      <c r="Z826" s="364"/>
    </row>
    <row r="827" spans="1:26" ht="15.75" customHeight="1" x14ac:dyDescent="0.25">
      <c r="A827" s="364"/>
      <c r="B827" s="364"/>
      <c r="C827" s="364"/>
      <c r="D827" s="364"/>
      <c r="E827" s="364"/>
      <c r="F827" s="364"/>
      <c r="G827" s="364"/>
      <c r="H827" s="364"/>
      <c r="I827" s="364"/>
      <c r="J827" s="364"/>
      <c r="K827" s="364"/>
      <c r="L827" s="364"/>
      <c r="M827" s="364"/>
      <c r="N827" s="364"/>
      <c r="O827" s="364"/>
      <c r="P827" s="364"/>
      <c r="Q827" s="364"/>
      <c r="R827" s="364"/>
      <c r="S827" s="364"/>
      <c r="T827" s="364"/>
      <c r="U827" s="364"/>
      <c r="V827" s="364"/>
      <c r="W827" s="364"/>
      <c r="X827" s="364"/>
      <c r="Y827" s="364"/>
      <c r="Z827" s="364"/>
    </row>
    <row r="828" spans="1:26" ht="15.75" customHeight="1" x14ac:dyDescent="0.25">
      <c r="A828" s="364"/>
      <c r="B828" s="364"/>
      <c r="C828" s="364"/>
      <c r="D828" s="364"/>
      <c r="E828" s="364"/>
      <c r="F828" s="364"/>
      <c r="G828" s="364"/>
      <c r="H828" s="364"/>
      <c r="I828" s="364"/>
      <c r="J828" s="364"/>
      <c r="K828" s="364"/>
      <c r="L828" s="364"/>
      <c r="M828" s="364"/>
      <c r="N828" s="364"/>
      <c r="O828" s="364"/>
      <c r="P828" s="364"/>
      <c r="Q828" s="364"/>
      <c r="R828" s="364"/>
      <c r="S828" s="364"/>
      <c r="T828" s="364"/>
      <c r="U828" s="364"/>
      <c r="V828" s="364"/>
      <c r="W828" s="364"/>
      <c r="X828" s="364"/>
      <c r="Y828" s="364"/>
      <c r="Z828" s="364"/>
    </row>
    <row r="829" spans="1:26" ht="15.75" customHeight="1" x14ac:dyDescent="0.25">
      <c r="A829" s="364"/>
      <c r="B829" s="364"/>
      <c r="C829" s="364"/>
      <c r="D829" s="364"/>
      <c r="E829" s="364"/>
      <c r="F829" s="364"/>
      <c r="G829" s="364"/>
      <c r="H829" s="364"/>
      <c r="I829" s="364"/>
      <c r="J829" s="364"/>
      <c r="K829" s="364"/>
      <c r="L829" s="364"/>
      <c r="M829" s="364"/>
      <c r="N829" s="364"/>
      <c r="O829" s="364"/>
      <c r="P829" s="364"/>
      <c r="Q829" s="364"/>
      <c r="R829" s="364"/>
      <c r="S829" s="364"/>
      <c r="T829" s="364"/>
      <c r="U829" s="364"/>
      <c r="V829" s="364"/>
      <c r="W829" s="364"/>
      <c r="X829" s="364"/>
      <c r="Y829" s="364"/>
      <c r="Z829" s="364"/>
    </row>
    <row r="830" spans="1:26" ht="15.75" customHeight="1" x14ac:dyDescent="0.25">
      <c r="A830" s="364"/>
      <c r="B830" s="364"/>
      <c r="C830" s="364"/>
      <c r="D830" s="364"/>
      <c r="E830" s="364"/>
      <c r="F830" s="364"/>
      <c r="G830" s="364"/>
      <c r="H830" s="364"/>
      <c r="I830" s="364"/>
      <c r="J830" s="364"/>
      <c r="K830" s="364"/>
      <c r="L830" s="364"/>
      <c r="M830" s="364"/>
      <c r="N830" s="364"/>
      <c r="O830" s="364"/>
      <c r="P830" s="364"/>
      <c r="Q830" s="364"/>
      <c r="R830" s="364"/>
      <c r="S830" s="364"/>
      <c r="T830" s="364"/>
      <c r="U830" s="364"/>
      <c r="V830" s="364"/>
      <c r="W830" s="364"/>
      <c r="X830" s="364"/>
      <c r="Y830" s="364"/>
      <c r="Z830" s="364"/>
    </row>
    <row r="831" spans="1:26" ht="15.75" customHeight="1" x14ac:dyDescent="0.25">
      <c r="A831" s="364"/>
      <c r="B831" s="364"/>
      <c r="C831" s="364"/>
      <c r="D831" s="364"/>
      <c r="E831" s="364"/>
      <c r="F831" s="364"/>
      <c r="G831" s="364"/>
      <c r="H831" s="364"/>
      <c r="I831" s="364"/>
      <c r="J831" s="364"/>
      <c r="K831" s="364"/>
      <c r="L831" s="364"/>
      <c r="M831" s="364"/>
      <c r="N831" s="364"/>
      <c r="O831" s="364"/>
      <c r="P831" s="364"/>
      <c r="Q831" s="364"/>
      <c r="R831" s="364"/>
      <c r="S831" s="364"/>
      <c r="T831" s="364"/>
      <c r="U831" s="364"/>
      <c r="V831" s="364"/>
      <c r="W831" s="364"/>
      <c r="X831" s="364"/>
      <c r="Y831" s="364"/>
      <c r="Z831" s="364"/>
    </row>
    <row r="832" spans="1:26" ht="15.75" customHeight="1" x14ac:dyDescent="0.25">
      <c r="A832" s="364"/>
      <c r="B832" s="364"/>
      <c r="C832" s="364"/>
      <c r="D832" s="364"/>
      <c r="E832" s="364"/>
      <c r="F832" s="364"/>
      <c r="G832" s="364"/>
      <c r="H832" s="364"/>
      <c r="I832" s="364"/>
      <c r="J832" s="364"/>
      <c r="K832" s="364"/>
      <c r="L832" s="364"/>
      <c r="M832" s="364"/>
      <c r="N832" s="364"/>
      <c r="O832" s="364"/>
      <c r="P832" s="364"/>
      <c r="Q832" s="364"/>
      <c r="R832" s="364"/>
      <c r="S832" s="364"/>
      <c r="T832" s="364"/>
      <c r="U832" s="364"/>
      <c r="V832" s="364"/>
      <c r="W832" s="364"/>
      <c r="X832" s="364"/>
      <c r="Y832" s="364"/>
      <c r="Z832" s="364"/>
    </row>
    <row r="833" spans="1:26" ht="15.75" customHeight="1" x14ac:dyDescent="0.25">
      <c r="A833" s="364"/>
      <c r="B833" s="364"/>
      <c r="C833" s="364"/>
      <c r="D833" s="364"/>
      <c r="E833" s="364"/>
      <c r="F833" s="364"/>
      <c r="G833" s="364"/>
      <c r="H833" s="364"/>
      <c r="I833" s="364"/>
      <c r="J833" s="364"/>
      <c r="K833" s="364"/>
      <c r="L833" s="364"/>
      <c r="M833" s="364"/>
      <c r="N833" s="364"/>
      <c r="O833" s="364"/>
      <c r="P833" s="364"/>
      <c r="Q833" s="364"/>
      <c r="R833" s="364"/>
      <c r="S833" s="364"/>
      <c r="T833" s="364"/>
      <c r="U833" s="364"/>
      <c r="V833" s="364"/>
      <c r="W833" s="364"/>
      <c r="X833" s="364"/>
      <c r="Y833" s="364"/>
      <c r="Z833" s="364"/>
    </row>
    <row r="834" spans="1:26" ht="15.75" customHeight="1" x14ac:dyDescent="0.25">
      <c r="A834" s="364"/>
      <c r="B834" s="364"/>
      <c r="C834" s="364"/>
      <c r="D834" s="364"/>
      <c r="E834" s="364"/>
      <c r="F834" s="364"/>
      <c r="G834" s="364"/>
      <c r="H834" s="364"/>
      <c r="I834" s="364"/>
      <c r="J834" s="364"/>
      <c r="K834" s="364"/>
      <c r="L834" s="364"/>
      <c r="M834" s="364"/>
      <c r="N834" s="364"/>
      <c r="O834" s="364"/>
      <c r="P834" s="364"/>
      <c r="Q834" s="364"/>
      <c r="R834" s="364"/>
      <c r="S834" s="364"/>
      <c r="T834" s="364"/>
      <c r="U834" s="364"/>
      <c r="V834" s="364"/>
      <c r="W834" s="364"/>
      <c r="X834" s="364"/>
      <c r="Y834" s="364"/>
      <c r="Z834" s="364"/>
    </row>
    <row r="835" spans="1:26" ht="15.75" customHeight="1" x14ac:dyDescent="0.25">
      <c r="A835" s="364"/>
      <c r="B835" s="364"/>
      <c r="C835" s="364"/>
      <c r="D835" s="364"/>
      <c r="E835" s="364"/>
      <c r="F835" s="364"/>
      <c r="G835" s="364"/>
      <c r="H835" s="364"/>
      <c r="I835" s="364"/>
      <c r="J835" s="364"/>
      <c r="K835" s="364"/>
      <c r="L835" s="364"/>
      <c r="M835" s="364"/>
      <c r="N835" s="364"/>
      <c r="O835" s="364"/>
      <c r="P835" s="364"/>
      <c r="Q835" s="364"/>
      <c r="R835" s="364"/>
      <c r="S835" s="364"/>
      <c r="T835" s="364"/>
      <c r="U835" s="364"/>
      <c r="V835" s="364"/>
      <c r="W835" s="364"/>
      <c r="X835" s="364"/>
      <c r="Y835" s="364"/>
      <c r="Z835" s="364"/>
    </row>
    <row r="836" spans="1:26" ht="15.75" customHeight="1" x14ac:dyDescent="0.25">
      <c r="A836" s="364"/>
      <c r="B836" s="364"/>
      <c r="C836" s="364"/>
      <c r="D836" s="364"/>
      <c r="E836" s="364"/>
      <c r="F836" s="364"/>
      <c r="G836" s="364"/>
      <c r="H836" s="364"/>
      <c r="I836" s="364"/>
      <c r="J836" s="364"/>
      <c r="K836" s="364"/>
      <c r="L836" s="364"/>
      <c r="M836" s="364"/>
      <c r="N836" s="364"/>
      <c r="O836" s="364"/>
      <c r="P836" s="364"/>
      <c r="Q836" s="364"/>
      <c r="R836" s="364"/>
      <c r="S836" s="364"/>
      <c r="T836" s="364"/>
      <c r="U836" s="364"/>
      <c r="V836" s="364"/>
      <c r="W836" s="364"/>
      <c r="X836" s="364"/>
      <c r="Y836" s="364"/>
      <c r="Z836" s="364"/>
    </row>
    <row r="837" spans="1:26" ht="15.75" customHeight="1" x14ac:dyDescent="0.25">
      <c r="A837" s="364"/>
      <c r="B837" s="364"/>
      <c r="C837" s="364"/>
      <c r="D837" s="364"/>
      <c r="E837" s="364"/>
      <c r="F837" s="364"/>
      <c r="G837" s="364"/>
      <c r="H837" s="364"/>
      <c r="I837" s="364"/>
      <c r="J837" s="364"/>
      <c r="K837" s="364"/>
      <c r="L837" s="364"/>
      <c r="M837" s="364"/>
      <c r="N837" s="364"/>
      <c r="O837" s="364"/>
      <c r="P837" s="364"/>
      <c r="Q837" s="364"/>
      <c r="R837" s="364"/>
      <c r="S837" s="364"/>
      <c r="T837" s="364"/>
      <c r="U837" s="364"/>
      <c r="V837" s="364"/>
      <c r="W837" s="364"/>
      <c r="X837" s="364"/>
      <c r="Y837" s="364"/>
      <c r="Z837" s="364"/>
    </row>
    <row r="838" spans="1:26" ht="15.75" customHeight="1" x14ac:dyDescent="0.25">
      <c r="A838" s="364"/>
      <c r="B838" s="364"/>
      <c r="C838" s="364"/>
      <c r="D838" s="364"/>
      <c r="E838" s="364"/>
      <c r="F838" s="364"/>
      <c r="G838" s="364"/>
      <c r="H838" s="364"/>
      <c r="I838" s="364"/>
      <c r="J838" s="364"/>
      <c r="K838" s="364"/>
      <c r="L838" s="364"/>
      <c r="M838" s="364"/>
      <c r="N838" s="364"/>
      <c r="O838" s="364"/>
      <c r="P838" s="364"/>
      <c r="Q838" s="364"/>
      <c r="R838" s="364"/>
      <c r="S838" s="364"/>
      <c r="T838" s="364"/>
      <c r="U838" s="364"/>
      <c r="V838" s="364"/>
      <c r="W838" s="364"/>
      <c r="X838" s="364"/>
      <c r="Y838" s="364"/>
      <c r="Z838" s="364"/>
    </row>
    <row r="839" spans="1:26" ht="15.75" customHeight="1" x14ac:dyDescent="0.25">
      <c r="A839" s="364"/>
      <c r="B839" s="364"/>
      <c r="C839" s="364"/>
      <c r="D839" s="364"/>
      <c r="E839" s="364"/>
      <c r="F839" s="364"/>
      <c r="G839" s="364"/>
      <c r="H839" s="364"/>
      <c r="I839" s="364"/>
      <c r="J839" s="364"/>
      <c r="K839" s="364"/>
      <c r="L839" s="364"/>
      <c r="M839" s="364"/>
      <c r="N839" s="364"/>
      <c r="O839" s="364"/>
      <c r="P839" s="364"/>
      <c r="Q839" s="364"/>
      <c r="R839" s="364"/>
      <c r="S839" s="364"/>
      <c r="T839" s="364"/>
      <c r="U839" s="364"/>
      <c r="V839" s="364"/>
      <c r="W839" s="364"/>
      <c r="X839" s="364"/>
      <c r="Y839" s="364"/>
      <c r="Z839" s="364"/>
    </row>
    <row r="840" spans="1:26" ht="15.75" customHeight="1" x14ac:dyDescent="0.25">
      <c r="A840" s="364"/>
      <c r="B840" s="364"/>
      <c r="C840" s="364"/>
      <c r="D840" s="364"/>
      <c r="E840" s="364"/>
      <c r="F840" s="364"/>
      <c r="G840" s="364"/>
      <c r="H840" s="364"/>
      <c r="I840" s="364"/>
      <c r="J840" s="364"/>
      <c r="K840" s="364"/>
      <c r="L840" s="364"/>
      <c r="M840" s="364"/>
      <c r="N840" s="364"/>
      <c r="O840" s="364"/>
      <c r="P840" s="364"/>
      <c r="Q840" s="364"/>
      <c r="R840" s="364"/>
      <c r="S840" s="364"/>
      <c r="T840" s="364"/>
      <c r="U840" s="364"/>
      <c r="V840" s="364"/>
      <c r="W840" s="364"/>
      <c r="X840" s="364"/>
      <c r="Y840" s="364"/>
      <c r="Z840" s="364"/>
    </row>
    <row r="841" spans="1:26" ht="15.75" customHeight="1" x14ac:dyDescent="0.25">
      <c r="A841" s="364"/>
      <c r="B841" s="364"/>
      <c r="C841" s="364"/>
      <c r="D841" s="364"/>
      <c r="E841" s="364"/>
      <c r="F841" s="364"/>
      <c r="G841" s="364"/>
      <c r="H841" s="364"/>
      <c r="I841" s="364"/>
      <c r="J841" s="364"/>
      <c r="K841" s="364"/>
      <c r="L841" s="364"/>
      <c r="M841" s="364"/>
      <c r="N841" s="364"/>
      <c r="O841" s="364"/>
      <c r="P841" s="364"/>
      <c r="Q841" s="364"/>
      <c r="R841" s="364"/>
      <c r="S841" s="364"/>
      <c r="T841" s="364"/>
      <c r="U841" s="364"/>
      <c r="V841" s="364"/>
      <c r="W841" s="364"/>
      <c r="X841" s="364"/>
      <c r="Y841" s="364"/>
      <c r="Z841" s="364"/>
    </row>
    <row r="842" spans="1:26" ht="15.75" customHeight="1" x14ac:dyDescent="0.25">
      <c r="A842" s="364"/>
      <c r="B842" s="364"/>
      <c r="C842" s="364"/>
      <c r="D842" s="364"/>
      <c r="E842" s="364"/>
      <c r="F842" s="364"/>
      <c r="G842" s="364"/>
      <c r="H842" s="364"/>
      <c r="I842" s="364"/>
      <c r="J842" s="364"/>
      <c r="K842" s="364"/>
      <c r="L842" s="364"/>
      <c r="M842" s="364"/>
      <c r="N842" s="364"/>
      <c r="O842" s="364"/>
      <c r="P842" s="364"/>
      <c r="Q842" s="364"/>
      <c r="R842" s="364"/>
      <c r="S842" s="364"/>
      <c r="T842" s="364"/>
      <c r="U842" s="364"/>
      <c r="V842" s="364"/>
      <c r="W842" s="364"/>
      <c r="X842" s="364"/>
      <c r="Y842" s="364"/>
      <c r="Z842" s="364"/>
    </row>
    <row r="843" spans="1:26" ht="15.75" customHeight="1" x14ac:dyDescent="0.25">
      <c r="A843" s="364"/>
      <c r="B843" s="364"/>
      <c r="C843" s="364"/>
      <c r="D843" s="364"/>
      <c r="E843" s="364"/>
      <c r="F843" s="364"/>
      <c r="G843" s="364"/>
      <c r="H843" s="364"/>
      <c r="I843" s="364"/>
      <c r="J843" s="364"/>
      <c r="K843" s="364"/>
      <c r="L843" s="364"/>
      <c r="M843" s="364"/>
      <c r="N843" s="364"/>
      <c r="O843" s="364"/>
      <c r="P843" s="364"/>
      <c r="Q843" s="364"/>
      <c r="R843" s="364"/>
      <c r="S843" s="364"/>
      <c r="T843" s="364"/>
      <c r="U843" s="364"/>
      <c r="V843" s="364"/>
      <c r="W843" s="364"/>
      <c r="X843" s="364"/>
      <c r="Y843" s="364"/>
      <c r="Z843" s="364"/>
    </row>
    <row r="844" spans="1:26" ht="15.75" customHeight="1" x14ac:dyDescent="0.25">
      <c r="A844" s="364"/>
      <c r="B844" s="364"/>
      <c r="C844" s="364"/>
      <c r="D844" s="364"/>
      <c r="E844" s="364"/>
      <c r="F844" s="364"/>
      <c r="G844" s="364"/>
      <c r="H844" s="364"/>
      <c r="I844" s="364"/>
      <c r="J844" s="364"/>
      <c r="K844" s="364"/>
      <c r="L844" s="364"/>
      <c r="M844" s="364"/>
      <c r="N844" s="364"/>
      <c r="O844" s="364"/>
      <c r="P844" s="364"/>
      <c r="Q844" s="364"/>
      <c r="R844" s="364"/>
      <c r="S844" s="364"/>
      <c r="T844" s="364"/>
      <c r="U844" s="364"/>
      <c r="V844" s="364"/>
      <c r="W844" s="364"/>
      <c r="X844" s="364"/>
      <c r="Y844" s="364"/>
      <c r="Z844" s="364"/>
    </row>
    <row r="845" spans="1:26" ht="15.75" customHeight="1" x14ac:dyDescent="0.25">
      <c r="A845" s="364"/>
      <c r="B845" s="364"/>
      <c r="C845" s="364"/>
      <c r="D845" s="364"/>
      <c r="E845" s="364"/>
      <c r="F845" s="364"/>
      <c r="G845" s="364"/>
      <c r="H845" s="364"/>
      <c r="I845" s="364"/>
      <c r="J845" s="364"/>
      <c r="K845" s="364"/>
      <c r="L845" s="364"/>
      <c r="M845" s="364"/>
      <c r="N845" s="364"/>
      <c r="O845" s="364"/>
      <c r="P845" s="364"/>
      <c r="Q845" s="364"/>
      <c r="R845" s="364"/>
      <c r="S845" s="364"/>
      <c r="T845" s="364"/>
      <c r="U845" s="364"/>
      <c r="V845" s="364"/>
      <c r="W845" s="364"/>
      <c r="X845" s="364"/>
      <c r="Y845" s="364"/>
      <c r="Z845" s="364"/>
    </row>
    <row r="846" spans="1:26" ht="15.75" customHeight="1" x14ac:dyDescent="0.25">
      <c r="A846" s="364"/>
      <c r="B846" s="364"/>
      <c r="C846" s="364"/>
      <c r="D846" s="364"/>
      <c r="E846" s="364"/>
      <c r="F846" s="364"/>
      <c r="G846" s="364"/>
      <c r="H846" s="364"/>
      <c r="I846" s="364"/>
      <c r="J846" s="364"/>
      <c r="K846" s="364"/>
      <c r="L846" s="364"/>
      <c r="M846" s="364"/>
      <c r="N846" s="364"/>
      <c r="O846" s="364"/>
      <c r="P846" s="364"/>
      <c r="Q846" s="364"/>
      <c r="R846" s="364"/>
      <c r="S846" s="364"/>
      <c r="T846" s="364"/>
      <c r="U846" s="364"/>
      <c r="V846" s="364"/>
      <c r="W846" s="364"/>
      <c r="X846" s="364"/>
      <c r="Y846" s="364"/>
      <c r="Z846" s="364"/>
    </row>
    <row r="847" spans="1:26" ht="15.75" customHeight="1" x14ac:dyDescent="0.25">
      <c r="A847" s="364"/>
      <c r="B847" s="364"/>
      <c r="C847" s="364"/>
      <c r="D847" s="364"/>
      <c r="E847" s="364"/>
      <c r="F847" s="364"/>
      <c r="G847" s="364"/>
      <c r="H847" s="364"/>
      <c r="I847" s="364"/>
      <c r="J847" s="364"/>
      <c r="K847" s="364"/>
      <c r="L847" s="364"/>
      <c r="M847" s="364"/>
      <c r="N847" s="364"/>
      <c r="O847" s="364"/>
      <c r="P847" s="364"/>
      <c r="Q847" s="364"/>
      <c r="R847" s="364"/>
      <c r="S847" s="364"/>
      <c r="T847" s="364"/>
      <c r="U847" s="364"/>
      <c r="V847" s="364"/>
      <c r="W847" s="364"/>
      <c r="X847" s="364"/>
      <c r="Y847" s="364"/>
      <c r="Z847" s="364"/>
    </row>
    <row r="848" spans="1:26" ht="15.75" customHeight="1" x14ac:dyDescent="0.25">
      <c r="A848" s="364"/>
      <c r="B848" s="364"/>
      <c r="C848" s="364"/>
      <c r="D848" s="364"/>
      <c r="E848" s="364"/>
      <c r="F848" s="364"/>
      <c r="G848" s="364"/>
      <c r="H848" s="364"/>
      <c r="I848" s="364"/>
      <c r="J848" s="364"/>
      <c r="K848" s="364"/>
      <c r="L848" s="364"/>
      <c r="M848" s="364"/>
      <c r="N848" s="364"/>
      <c r="O848" s="364"/>
      <c r="P848" s="364"/>
      <c r="Q848" s="364"/>
      <c r="R848" s="364"/>
      <c r="S848" s="364"/>
      <c r="T848" s="364"/>
      <c r="U848" s="364"/>
      <c r="V848" s="364"/>
      <c r="W848" s="364"/>
      <c r="X848" s="364"/>
      <c r="Y848" s="364"/>
      <c r="Z848" s="364"/>
    </row>
    <row r="849" spans="1:26" ht="15.75" customHeight="1" x14ac:dyDescent="0.25">
      <c r="A849" s="364"/>
      <c r="B849" s="364"/>
      <c r="C849" s="364"/>
      <c r="D849" s="364"/>
      <c r="E849" s="364"/>
      <c r="F849" s="364"/>
      <c r="G849" s="364"/>
      <c r="H849" s="364"/>
      <c r="I849" s="364"/>
      <c r="J849" s="364"/>
      <c r="K849" s="364"/>
      <c r="L849" s="364"/>
      <c r="M849" s="364"/>
      <c r="N849" s="364"/>
      <c r="O849" s="364"/>
      <c r="P849" s="364"/>
      <c r="Q849" s="364"/>
      <c r="R849" s="364"/>
      <c r="S849" s="364"/>
      <c r="T849" s="364"/>
      <c r="U849" s="364"/>
      <c r="V849" s="364"/>
      <c r="W849" s="364"/>
      <c r="X849" s="364"/>
      <c r="Y849" s="364"/>
      <c r="Z849" s="364"/>
    </row>
    <row r="850" spans="1:26" ht="15.75" customHeight="1" x14ac:dyDescent="0.25">
      <c r="A850" s="364"/>
      <c r="B850" s="364"/>
      <c r="C850" s="364"/>
      <c r="D850" s="364"/>
      <c r="E850" s="364"/>
      <c r="F850" s="364"/>
      <c r="G850" s="364"/>
      <c r="H850" s="364"/>
      <c r="I850" s="364"/>
      <c r="J850" s="364"/>
      <c r="K850" s="364"/>
      <c r="L850" s="364"/>
      <c r="M850" s="364"/>
      <c r="N850" s="364"/>
      <c r="O850" s="364"/>
      <c r="P850" s="364"/>
      <c r="Q850" s="364"/>
      <c r="R850" s="364"/>
      <c r="S850" s="364"/>
      <c r="T850" s="364"/>
      <c r="U850" s="364"/>
      <c r="V850" s="364"/>
      <c r="W850" s="364"/>
      <c r="X850" s="364"/>
      <c r="Y850" s="364"/>
      <c r="Z850" s="364"/>
    </row>
    <row r="851" spans="1:26" ht="15.75" customHeight="1" x14ac:dyDescent="0.25">
      <c r="A851" s="364"/>
      <c r="B851" s="364"/>
      <c r="C851" s="364"/>
      <c r="D851" s="364"/>
      <c r="E851" s="364"/>
      <c r="F851" s="364"/>
      <c r="G851" s="364"/>
      <c r="H851" s="364"/>
      <c r="I851" s="364"/>
      <c r="J851" s="364"/>
      <c r="K851" s="364"/>
      <c r="L851" s="364"/>
      <c r="M851" s="364"/>
      <c r="N851" s="364"/>
      <c r="O851" s="364"/>
      <c r="P851" s="364"/>
      <c r="Q851" s="364"/>
      <c r="R851" s="364"/>
      <c r="S851" s="364"/>
      <c r="T851" s="364"/>
      <c r="U851" s="364"/>
      <c r="V851" s="364"/>
      <c r="W851" s="364"/>
      <c r="X851" s="364"/>
      <c r="Y851" s="364"/>
      <c r="Z851" s="364"/>
    </row>
    <row r="852" spans="1:26" ht="15.75" customHeight="1" x14ac:dyDescent="0.25">
      <c r="A852" s="364"/>
      <c r="B852" s="364"/>
      <c r="C852" s="364"/>
      <c r="D852" s="364"/>
      <c r="E852" s="364"/>
      <c r="F852" s="364"/>
      <c r="G852" s="364"/>
      <c r="H852" s="364"/>
      <c r="I852" s="364"/>
      <c r="J852" s="364"/>
      <c r="K852" s="364"/>
      <c r="L852" s="364"/>
      <c r="M852" s="364"/>
      <c r="N852" s="364"/>
      <c r="O852" s="364"/>
      <c r="P852" s="364"/>
      <c r="Q852" s="364"/>
      <c r="R852" s="364"/>
      <c r="S852" s="364"/>
      <c r="T852" s="364"/>
      <c r="U852" s="364"/>
      <c r="V852" s="364"/>
      <c r="W852" s="364"/>
      <c r="X852" s="364"/>
      <c r="Y852" s="364"/>
      <c r="Z852" s="364"/>
    </row>
    <row r="853" spans="1:26" ht="15.75" customHeight="1" x14ac:dyDescent="0.25">
      <c r="A853" s="364"/>
      <c r="B853" s="364"/>
      <c r="C853" s="364"/>
      <c r="D853" s="364"/>
      <c r="E853" s="364"/>
      <c r="F853" s="364"/>
      <c r="G853" s="364"/>
      <c r="H853" s="364"/>
      <c r="I853" s="364"/>
      <c r="J853" s="364"/>
      <c r="K853" s="364"/>
      <c r="L853" s="364"/>
      <c r="M853" s="364"/>
      <c r="N853" s="364"/>
      <c r="O853" s="364"/>
      <c r="P853" s="364"/>
      <c r="Q853" s="364"/>
      <c r="R853" s="364"/>
      <c r="S853" s="364"/>
      <c r="T853" s="364"/>
      <c r="U853" s="364"/>
      <c r="V853" s="364"/>
      <c r="W853" s="364"/>
      <c r="X853" s="364"/>
      <c r="Y853" s="364"/>
      <c r="Z853" s="364"/>
    </row>
    <row r="854" spans="1:26" ht="15.75" customHeight="1" x14ac:dyDescent="0.25">
      <c r="A854" s="364"/>
      <c r="B854" s="364"/>
      <c r="C854" s="364"/>
      <c r="D854" s="364"/>
      <c r="E854" s="364"/>
      <c r="F854" s="364"/>
      <c r="G854" s="364"/>
      <c r="H854" s="364"/>
      <c r="I854" s="364"/>
      <c r="J854" s="364"/>
      <c r="K854" s="364"/>
      <c r="L854" s="364"/>
      <c r="M854" s="364"/>
      <c r="N854" s="364"/>
      <c r="O854" s="364"/>
      <c r="P854" s="364"/>
      <c r="Q854" s="364"/>
      <c r="R854" s="364"/>
      <c r="S854" s="364"/>
      <c r="T854" s="364"/>
      <c r="U854" s="364"/>
      <c r="V854" s="364"/>
      <c r="W854" s="364"/>
      <c r="X854" s="364"/>
      <c r="Y854" s="364"/>
      <c r="Z854" s="364"/>
    </row>
    <row r="855" spans="1:26" ht="15.75" customHeight="1" x14ac:dyDescent="0.25">
      <c r="A855" s="364"/>
      <c r="B855" s="364"/>
      <c r="C855" s="364"/>
      <c r="D855" s="364"/>
      <c r="E855" s="364"/>
      <c r="F855" s="364"/>
      <c r="G855" s="364"/>
      <c r="H855" s="364"/>
      <c r="I855" s="364"/>
      <c r="J855" s="364"/>
      <c r="K855" s="364"/>
      <c r="L855" s="364"/>
      <c r="M855" s="364"/>
      <c r="N855" s="364"/>
      <c r="O855" s="364"/>
      <c r="P855" s="364"/>
      <c r="Q855" s="364"/>
      <c r="R855" s="364"/>
      <c r="S855" s="364"/>
      <c r="T855" s="364"/>
      <c r="U855" s="364"/>
      <c r="V855" s="364"/>
      <c r="W855" s="364"/>
      <c r="X855" s="364"/>
      <c r="Y855" s="364"/>
      <c r="Z855" s="364"/>
    </row>
    <row r="856" spans="1:26" ht="15.75" customHeight="1" x14ac:dyDescent="0.25">
      <c r="A856" s="364"/>
      <c r="B856" s="364"/>
      <c r="C856" s="364"/>
      <c r="D856" s="364"/>
      <c r="E856" s="364"/>
      <c r="F856" s="364"/>
      <c r="G856" s="364"/>
      <c r="H856" s="364"/>
      <c r="I856" s="364"/>
      <c r="J856" s="364"/>
      <c r="K856" s="364"/>
      <c r="L856" s="364"/>
      <c r="M856" s="364"/>
      <c r="N856" s="364"/>
      <c r="O856" s="364"/>
      <c r="P856" s="364"/>
      <c r="Q856" s="364"/>
      <c r="R856" s="364"/>
      <c r="S856" s="364"/>
      <c r="T856" s="364"/>
      <c r="U856" s="364"/>
      <c r="V856" s="364"/>
      <c r="W856" s="364"/>
      <c r="X856" s="364"/>
      <c r="Y856" s="364"/>
      <c r="Z856" s="364"/>
    </row>
    <row r="857" spans="1:26" ht="15.75" customHeight="1" x14ac:dyDescent="0.25">
      <c r="A857" s="364"/>
      <c r="B857" s="364"/>
      <c r="C857" s="364"/>
      <c r="D857" s="364"/>
      <c r="E857" s="364"/>
      <c r="F857" s="364"/>
      <c r="G857" s="364"/>
      <c r="H857" s="364"/>
      <c r="I857" s="364"/>
      <c r="J857" s="364"/>
      <c r="K857" s="364"/>
      <c r="L857" s="364"/>
      <c r="M857" s="364"/>
      <c r="N857" s="364"/>
      <c r="O857" s="364"/>
      <c r="P857" s="364"/>
      <c r="Q857" s="364"/>
      <c r="R857" s="364"/>
      <c r="S857" s="364"/>
      <c r="T857" s="364"/>
      <c r="U857" s="364"/>
      <c r="V857" s="364"/>
      <c r="W857" s="364"/>
      <c r="X857" s="364"/>
      <c r="Y857" s="364"/>
      <c r="Z857" s="364"/>
    </row>
    <row r="858" spans="1:26" ht="15.75" customHeight="1" x14ac:dyDescent="0.25">
      <c r="A858" s="364"/>
      <c r="B858" s="364"/>
      <c r="C858" s="364"/>
      <c r="D858" s="364"/>
      <c r="E858" s="364"/>
      <c r="F858" s="364"/>
      <c r="G858" s="364"/>
      <c r="H858" s="364"/>
      <c r="I858" s="364"/>
      <c r="J858" s="364"/>
      <c r="K858" s="364"/>
      <c r="L858" s="364"/>
      <c r="M858" s="364"/>
      <c r="N858" s="364"/>
      <c r="O858" s="364"/>
      <c r="P858" s="364"/>
      <c r="Q858" s="364"/>
      <c r="R858" s="364"/>
      <c r="S858" s="364"/>
      <c r="T858" s="364"/>
      <c r="U858" s="364"/>
      <c r="V858" s="364"/>
      <c r="W858" s="364"/>
      <c r="X858" s="364"/>
      <c r="Y858" s="364"/>
      <c r="Z858" s="364"/>
    </row>
    <row r="859" spans="1:26" ht="15.75" customHeight="1" x14ac:dyDescent="0.25">
      <c r="A859" s="364"/>
      <c r="B859" s="364"/>
      <c r="C859" s="364"/>
      <c r="D859" s="364"/>
      <c r="E859" s="364"/>
      <c r="F859" s="364"/>
      <c r="G859" s="364"/>
      <c r="H859" s="364"/>
      <c r="I859" s="364"/>
      <c r="J859" s="364"/>
      <c r="K859" s="364"/>
      <c r="L859" s="364"/>
      <c r="M859" s="364"/>
      <c r="N859" s="364"/>
      <c r="O859" s="364"/>
      <c r="P859" s="364"/>
      <c r="Q859" s="364"/>
      <c r="R859" s="364"/>
      <c r="S859" s="364"/>
      <c r="T859" s="364"/>
      <c r="U859" s="364"/>
      <c r="V859" s="364"/>
      <c r="W859" s="364"/>
      <c r="X859" s="364"/>
      <c r="Y859" s="364"/>
      <c r="Z859" s="364"/>
    </row>
    <row r="860" spans="1:26" ht="15.75" customHeight="1" x14ac:dyDescent="0.25">
      <c r="A860" s="364"/>
      <c r="B860" s="364"/>
      <c r="C860" s="364"/>
      <c r="D860" s="364"/>
      <c r="E860" s="364"/>
      <c r="F860" s="364"/>
      <c r="G860" s="364"/>
      <c r="H860" s="364"/>
      <c r="I860" s="364"/>
      <c r="J860" s="364"/>
      <c r="K860" s="364"/>
      <c r="L860" s="364"/>
      <c r="M860" s="364"/>
      <c r="N860" s="364"/>
      <c r="O860" s="364"/>
      <c r="P860" s="364"/>
      <c r="Q860" s="364"/>
      <c r="R860" s="364"/>
      <c r="S860" s="364"/>
      <c r="T860" s="364"/>
      <c r="U860" s="364"/>
      <c r="V860" s="364"/>
      <c r="W860" s="364"/>
      <c r="X860" s="364"/>
      <c r="Y860" s="364"/>
      <c r="Z860" s="364"/>
    </row>
    <row r="861" spans="1:26" ht="15.75" customHeight="1" x14ac:dyDescent="0.25">
      <c r="A861" s="364"/>
      <c r="B861" s="364"/>
      <c r="C861" s="364"/>
      <c r="D861" s="364"/>
      <c r="E861" s="364"/>
      <c r="F861" s="364"/>
      <c r="G861" s="364"/>
      <c r="H861" s="364"/>
      <c r="I861" s="364"/>
      <c r="J861" s="364"/>
      <c r="K861" s="364"/>
      <c r="L861" s="364"/>
      <c r="M861" s="364"/>
      <c r="N861" s="364"/>
      <c r="O861" s="364"/>
      <c r="P861" s="364"/>
      <c r="Q861" s="364"/>
      <c r="R861" s="364"/>
      <c r="S861" s="364"/>
      <c r="T861" s="364"/>
      <c r="U861" s="364"/>
      <c r="V861" s="364"/>
      <c r="W861" s="364"/>
      <c r="X861" s="364"/>
      <c r="Y861" s="364"/>
      <c r="Z861" s="364"/>
    </row>
    <row r="862" spans="1:26" ht="15.75" customHeight="1" x14ac:dyDescent="0.25">
      <c r="A862" s="364"/>
      <c r="B862" s="364"/>
      <c r="C862" s="364"/>
      <c r="D862" s="364"/>
      <c r="E862" s="364"/>
      <c r="F862" s="364"/>
      <c r="G862" s="364"/>
      <c r="H862" s="364"/>
      <c r="I862" s="364"/>
      <c r="J862" s="364"/>
      <c r="K862" s="364"/>
      <c r="L862" s="364"/>
      <c r="M862" s="364"/>
      <c r="N862" s="364"/>
      <c r="O862" s="364"/>
      <c r="P862" s="364"/>
      <c r="Q862" s="364"/>
      <c r="R862" s="364"/>
      <c r="S862" s="364"/>
      <c r="T862" s="364"/>
      <c r="U862" s="364"/>
      <c r="V862" s="364"/>
      <c r="W862" s="364"/>
      <c r="X862" s="364"/>
      <c r="Y862" s="364"/>
      <c r="Z862" s="364"/>
    </row>
    <row r="863" spans="1:26" ht="15.75" customHeight="1" x14ac:dyDescent="0.25">
      <c r="A863" s="364"/>
      <c r="B863" s="364"/>
      <c r="C863" s="364"/>
      <c r="D863" s="364"/>
      <c r="E863" s="364"/>
      <c r="F863" s="364"/>
      <c r="G863" s="364"/>
      <c r="H863" s="364"/>
      <c r="I863" s="364"/>
      <c r="J863" s="364"/>
      <c r="K863" s="364"/>
      <c r="L863" s="364"/>
      <c r="M863" s="364"/>
      <c r="N863" s="364"/>
      <c r="O863" s="364"/>
      <c r="P863" s="364"/>
      <c r="Q863" s="364"/>
      <c r="R863" s="364"/>
      <c r="S863" s="364"/>
      <c r="T863" s="364"/>
      <c r="U863" s="364"/>
      <c r="V863" s="364"/>
      <c r="W863" s="364"/>
      <c r="X863" s="364"/>
      <c r="Y863" s="364"/>
      <c r="Z863" s="364"/>
    </row>
    <row r="864" spans="1:26" ht="15.75" customHeight="1" x14ac:dyDescent="0.25">
      <c r="A864" s="364"/>
      <c r="B864" s="364"/>
      <c r="C864" s="364"/>
      <c r="D864" s="364"/>
      <c r="E864" s="364"/>
      <c r="F864" s="364"/>
      <c r="G864" s="364"/>
      <c r="H864" s="364"/>
      <c r="I864" s="364"/>
      <c r="J864" s="364"/>
      <c r="K864" s="364"/>
      <c r="L864" s="364"/>
      <c r="M864" s="364"/>
      <c r="N864" s="364"/>
      <c r="O864" s="364"/>
      <c r="P864" s="364"/>
      <c r="Q864" s="364"/>
      <c r="R864" s="364"/>
      <c r="S864" s="364"/>
      <c r="T864" s="364"/>
      <c r="U864" s="364"/>
      <c r="V864" s="364"/>
      <c r="W864" s="364"/>
      <c r="X864" s="364"/>
      <c r="Y864" s="364"/>
      <c r="Z864" s="364"/>
    </row>
    <row r="865" spans="1:26" ht="15.75" customHeight="1" x14ac:dyDescent="0.25">
      <c r="A865" s="364"/>
      <c r="B865" s="364"/>
      <c r="C865" s="364"/>
      <c r="D865" s="364"/>
      <c r="E865" s="364"/>
      <c r="F865" s="364"/>
      <c r="G865" s="364"/>
      <c r="H865" s="364"/>
      <c r="I865" s="364"/>
      <c r="J865" s="364"/>
      <c r="K865" s="364"/>
      <c r="L865" s="364"/>
      <c r="M865" s="364"/>
      <c r="N865" s="364"/>
      <c r="O865" s="364"/>
      <c r="P865" s="364"/>
      <c r="Q865" s="364"/>
      <c r="R865" s="364"/>
      <c r="S865" s="364"/>
      <c r="T865" s="364"/>
      <c r="U865" s="364"/>
      <c r="V865" s="364"/>
      <c r="W865" s="364"/>
      <c r="X865" s="364"/>
      <c r="Y865" s="364"/>
      <c r="Z865" s="364"/>
    </row>
    <row r="866" spans="1:26" ht="15.75" customHeight="1" x14ac:dyDescent="0.25">
      <c r="A866" s="364"/>
      <c r="B866" s="364"/>
      <c r="C866" s="364"/>
      <c r="D866" s="364"/>
      <c r="E866" s="364"/>
      <c r="F866" s="364"/>
      <c r="G866" s="364"/>
      <c r="H866" s="364"/>
      <c r="I866" s="364"/>
      <c r="J866" s="364"/>
      <c r="K866" s="364"/>
      <c r="L866" s="364"/>
      <c r="M866" s="364"/>
      <c r="N866" s="364"/>
      <c r="O866" s="364"/>
      <c r="P866" s="364"/>
      <c r="Q866" s="364"/>
      <c r="R866" s="364"/>
      <c r="S866" s="364"/>
      <c r="T866" s="364"/>
      <c r="U866" s="364"/>
      <c r="V866" s="364"/>
      <c r="W866" s="364"/>
      <c r="X866" s="364"/>
      <c r="Y866" s="364"/>
      <c r="Z866" s="364"/>
    </row>
    <row r="867" spans="1:26" ht="15.75" customHeight="1" x14ac:dyDescent="0.25">
      <c r="A867" s="364"/>
      <c r="B867" s="364"/>
      <c r="C867" s="364"/>
      <c r="D867" s="364"/>
      <c r="E867" s="364"/>
      <c r="F867" s="364"/>
      <c r="G867" s="364"/>
      <c r="H867" s="364"/>
      <c r="I867" s="364"/>
      <c r="J867" s="364"/>
      <c r="K867" s="364"/>
      <c r="L867" s="364"/>
      <c r="M867" s="364"/>
      <c r="N867" s="364"/>
      <c r="O867" s="364"/>
      <c r="P867" s="364"/>
      <c r="Q867" s="364"/>
      <c r="R867" s="364"/>
      <c r="S867" s="364"/>
      <c r="T867" s="364"/>
      <c r="U867" s="364"/>
      <c r="V867" s="364"/>
      <c r="W867" s="364"/>
      <c r="X867" s="364"/>
      <c r="Y867" s="364"/>
      <c r="Z867" s="364"/>
    </row>
    <row r="868" spans="1:26" ht="15.75" customHeight="1" x14ac:dyDescent="0.25">
      <c r="A868" s="364"/>
      <c r="B868" s="364"/>
      <c r="C868" s="364"/>
      <c r="D868" s="364"/>
      <c r="E868" s="364"/>
      <c r="F868" s="364"/>
      <c r="G868" s="364"/>
      <c r="H868" s="364"/>
      <c r="I868" s="364"/>
      <c r="J868" s="364"/>
      <c r="K868" s="364"/>
      <c r="L868" s="364"/>
      <c r="M868" s="364"/>
      <c r="N868" s="364"/>
      <c r="O868" s="364"/>
      <c r="P868" s="364"/>
      <c r="Q868" s="364"/>
      <c r="R868" s="364"/>
      <c r="S868" s="364"/>
      <c r="T868" s="364"/>
      <c r="U868" s="364"/>
      <c r="V868" s="364"/>
      <c r="W868" s="364"/>
      <c r="X868" s="364"/>
      <c r="Y868" s="364"/>
      <c r="Z868" s="364"/>
    </row>
    <row r="869" spans="1:26" ht="15.75" customHeight="1" x14ac:dyDescent="0.25">
      <c r="A869" s="364"/>
      <c r="B869" s="364"/>
      <c r="C869" s="364"/>
      <c r="D869" s="364"/>
      <c r="E869" s="364"/>
      <c r="F869" s="364"/>
      <c r="G869" s="364"/>
      <c r="H869" s="364"/>
      <c r="I869" s="364"/>
      <c r="J869" s="364"/>
      <c r="K869" s="364"/>
      <c r="L869" s="364"/>
      <c r="M869" s="364"/>
      <c r="N869" s="364"/>
      <c r="O869" s="364"/>
      <c r="P869" s="364"/>
      <c r="Q869" s="364"/>
      <c r="R869" s="364"/>
      <c r="S869" s="364"/>
      <c r="T869" s="364"/>
      <c r="U869" s="364"/>
      <c r="V869" s="364"/>
      <c r="W869" s="364"/>
      <c r="X869" s="364"/>
      <c r="Y869" s="364"/>
      <c r="Z869" s="364"/>
    </row>
    <row r="870" spans="1:26" ht="15.75" customHeight="1" x14ac:dyDescent="0.25">
      <c r="A870" s="364"/>
      <c r="B870" s="364"/>
      <c r="C870" s="364"/>
      <c r="D870" s="364"/>
      <c r="E870" s="364"/>
      <c r="F870" s="364"/>
      <c r="G870" s="364"/>
      <c r="H870" s="364"/>
      <c r="I870" s="364"/>
      <c r="J870" s="364"/>
      <c r="K870" s="364"/>
      <c r="L870" s="364"/>
      <c r="M870" s="364"/>
      <c r="N870" s="364"/>
      <c r="O870" s="364"/>
      <c r="P870" s="364"/>
      <c r="Q870" s="364"/>
      <c r="R870" s="364"/>
      <c r="S870" s="364"/>
      <c r="T870" s="364"/>
      <c r="U870" s="364"/>
      <c r="V870" s="364"/>
      <c r="W870" s="364"/>
      <c r="X870" s="364"/>
      <c r="Y870" s="364"/>
      <c r="Z870" s="364"/>
    </row>
    <row r="871" spans="1:26" ht="15.75" customHeight="1" x14ac:dyDescent="0.25">
      <c r="A871" s="364"/>
      <c r="B871" s="364"/>
      <c r="C871" s="364"/>
      <c r="D871" s="364"/>
      <c r="E871" s="364"/>
      <c r="F871" s="364"/>
      <c r="G871" s="364"/>
      <c r="H871" s="364"/>
      <c r="I871" s="364"/>
      <c r="J871" s="364"/>
      <c r="K871" s="364"/>
      <c r="L871" s="364"/>
      <c r="M871" s="364"/>
      <c r="N871" s="364"/>
      <c r="O871" s="364"/>
      <c r="P871" s="364"/>
      <c r="Q871" s="364"/>
      <c r="R871" s="364"/>
      <c r="S871" s="364"/>
      <c r="T871" s="364"/>
      <c r="U871" s="364"/>
      <c r="V871" s="364"/>
      <c r="W871" s="364"/>
      <c r="X871" s="364"/>
      <c r="Y871" s="364"/>
      <c r="Z871" s="364"/>
    </row>
    <row r="872" spans="1:26" ht="15.75" customHeight="1" x14ac:dyDescent="0.25">
      <c r="A872" s="364"/>
      <c r="B872" s="364"/>
      <c r="C872" s="364"/>
      <c r="D872" s="364"/>
      <c r="E872" s="364"/>
      <c r="F872" s="364"/>
      <c r="G872" s="364"/>
      <c r="H872" s="364"/>
      <c r="I872" s="364"/>
      <c r="J872" s="364"/>
      <c r="K872" s="364"/>
      <c r="L872" s="364"/>
      <c r="M872" s="364"/>
      <c r="N872" s="364"/>
      <c r="O872" s="364"/>
      <c r="P872" s="364"/>
      <c r="Q872" s="364"/>
      <c r="R872" s="364"/>
      <c r="S872" s="364"/>
      <c r="T872" s="364"/>
      <c r="U872" s="364"/>
      <c r="V872" s="364"/>
      <c r="W872" s="364"/>
      <c r="X872" s="364"/>
      <c r="Y872" s="364"/>
      <c r="Z872" s="364"/>
    </row>
    <row r="873" spans="1:26" ht="15.75" customHeight="1" x14ac:dyDescent="0.25">
      <c r="A873" s="364"/>
      <c r="B873" s="364"/>
      <c r="C873" s="364"/>
      <c r="D873" s="364"/>
      <c r="E873" s="364"/>
      <c r="F873" s="364"/>
      <c r="G873" s="364"/>
      <c r="H873" s="364"/>
      <c r="I873" s="364"/>
      <c r="J873" s="364"/>
      <c r="K873" s="364"/>
      <c r="L873" s="364"/>
      <c r="M873" s="364"/>
      <c r="N873" s="364"/>
      <c r="O873" s="364"/>
      <c r="P873" s="364"/>
      <c r="Q873" s="364"/>
      <c r="R873" s="364"/>
      <c r="S873" s="364"/>
      <c r="T873" s="364"/>
      <c r="U873" s="364"/>
      <c r="V873" s="364"/>
      <c r="W873" s="364"/>
      <c r="X873" s="364"/>
      <c r="Y873" s="364"/>
      <c r="Z873" s="364"/>
    </row>
    <row r="874" spans="1:26" ht="15.75" customHeight="1" x14ac:dyDescent="0.25">
      <c r="A874" s="364"/>
      <c r="B874" s="364"/>
      <c r="C874" s="364"/>
      <c r="D874" s="364"/>
      <c r="E874" s="364"/>
      <c r="F874" s="364"/>
      <c r="G874" s="364"/>
      <c r="H874" s="364"/>
      <c r="I874" s="364"/>
      <c r="J874" s="364"/>
      <c r="K874" s="364"/>
      <c r="L874" s="364"/>
      <c r="M874" s="364"/>
      <c r="N874" s="364"/>
      <c r="O874" s="364"/>
      <c r="P874" s="364"/>
      <c r="Q874" s="364"/>
      <c r="R874" s="364"/>
      <c r="S874" s="364"/>
      <c r="T874" s="364"/>
      <c r="U874" s="364"/>
      <c r="V874" s="364"/>
      <c r="W874" s="364"/>
      <c r="X874" s="364"/>
      <c r="Y874" s="364"/>
      <c r="Z874" s="364"/>
    </row>
    <row r="875" spans="1:26" ht="15.75" customHeight="1" x14ac:dyDescent="0.25">
      <c r="A875" s="364"/>
      <c r="B875" s="364"/>
      <c r="C875" s="364"/>
      <c r="D875" s="364"/>
      <c r="E875" s="364"/>
      <c r="F875" s="364"/>
      <c r="G875" s="364"/>
      <c r="H875" s="364"/>
      <c r="I875" s="364"/>
      <c r="J875" s="364"/>
      <c r="K875" s="364"/>
      <c r="L875" s="364"/>
      <c r="M875" s="364"/>
      <c r="N875" s="364"/>
      <c r="O875" s="364"/>
      <c r="P875" s="364"/>
      <c r="Q875" s="364"/>
      <c r="R875" s="364"/>
      <c r="S875" s="364"/>
      <c r="T875" s="364"/>
      <c r="U875" s="364"/>
      <c r="V875" s="364"/>
      <c r="W875" s="364"/>
      <c r="X875" s="364"/>
      <c r="Y875" s="364"/>
      <c r="Z875" s="364"/>
    </row>
    <row r="876" spans="1:26" ht="15.75" customHeight="1" x14ac:dyDescent="0.25">
      <c r="A876" s="364"/>
      <c r="B876" s="364"/>
      <c r="C876" s="364"/>
      <c r="D876" s="364"/>
      <c r="E876" s="364"/>
      <c r="F876" s="364"/>
      <c r="G876" s="364"/>
      <c r="H876" s="364"/>
      <c r="I876" s="364"/>
      <c r="J876" s="364"/>
      <c r="K876" s="364"/>
      <c r="L876" s="364"/>
      <c r="M876" s="364"/>
      <c r="N876" s="364"/>
      <c r="O876" s="364"/>
      <c r="P876" s="364"/>
      <c r="Q876" s="364"/>
      <c r="R876" s="364"/>
      <c r="S876" s="364"/>
      <c r="T876" s="364"/>
      <c r="U876" s="364"/>
      <c r="V876" s="364"/>
      <c r="W876" s="364"/>
      <c r="X876" s="364"/>
      <c r="Y876" s="364"/>
      <c r="Z876" s="364"/>
    </row>
    <row r="877" spans="1:26" ht="15.75" customHeight="1" x14ac:dyDescent="0.25">
      <c r="A877" s="364"/>
      <c r="B877" s="364"/>
      <c r="C877" s="364"/>
      <c r="D877" s="364"/>
      <c r="E877" s="364"/>
      <c r="F877" s="364"/>
      <c r="G877" s="364"/>
      <c r="H877" s="364"/>
      <c r="I877" s="364"/>
      <c r="J877" s="364"/>
      <c r="K877" s="364"/>
      <c r="L877" s="364"/>
      <c r="M877" s="364"/>
      <c r="N877" s="364"/>
      <c r="O877" s="364"/>
      <c r="P877" s="364"/>
      <c r="Q877" s="364"/>
      <c r="R877" s="364"/>
      <c r="S877" s="364"/>
      <c r="T877" s="364"/>
      <c r="U877" s="364"/>
      <c r="V877" s="364"/>
      <c r="W877" s="364"/>
      <c r="X877" s="364"/>
      <c r="Y877" s="364"/>
      <c r="Z877" s="364"/>
    </row>
    <row r="878" spans="1:26" ht="15.75" customHeight="1" x14ac:dyDescent="0.25">
      <c r="A878" s="364"/>
      <c r="B878" s="364"/>
      <c r="C878" s="364"/>
      <c r="D878" s="364"/>
      <c r="E878" s="364"/>
      <c r="F878" s="364"/>
      <c r="G878" s="364"/>
      <c r="H878" s="364"/>
      <c r="I878" s="364"/>
      <c r="J878" s="364"/>
      <c r="K878" s="364"/>
      <c r="L878" s="364"/>
      <c r="M878" s="364"/>
      <c r="N878" s="364"/>
      <c r="O878" s="364"/>
      <c r="P878" s="364"/>
      <c r="Q878" s="364"/>
      <c r="R878" s="364"/>
      <c r="S878" s="364"/>
      <c r="T878" s="364"/>
      <c r="U878" s="364"/>
      <c r="V878" s="364"/>
      <c r="W878" s="364"/>
      <c r="X878" s="364"/>
      <c r="Y878" s="364"/>
      <c r="Z878" s="364"/>
    </row>
    <row r="879" spans="1:26" ht="15.75" customHeight="1" x14ac:dyDescent="0.25">
      <c r="A879" s="364"/>
      <c r="B879" s="364"/>
      <c r="C879" s="364"/>
      <c r="D879" s="364"/>
      <c r="E879" s="364"/>
      <c r="F879" s="364"/>
      <c r="G879" s="364"/>
      <c r="H879" s="364"/>
      <c r="I879" s="364"/>
      <c r="J879" s="364"/>
      <c r="K879" s="364"/>
      <c r="L879" s="364"/>
      <c r="M879" s="364"/>
      <c r="N879" s="364"/>
      <c r="O879" s="364"/>
      <c r="P879" s="364"/>
      <c r="Q879" s="364"/>
      <c r="R879" s="364"/>
      <c r="S879" s="364"/>
      <c r="T879" s="364"/>
      <c r="U879" s="364"/>
      <c r="V879" s="364"/>
      <c r="W879" s="364"/>
      <c r="X879" s="364"/>
      <c r="Y879" s="364"/>
      <c r="Z879" s="364"/>
    </row>
    <row r="880" spans="1:26" ht="15.75" customHeight="1" x14ac:dyDescent="0.25">
      <c r="A880" s="364"/>
      <c r="B880" s="364"/>
      <c r="C880" s="364"/>
      <c r="D880" s="364"/>
      <c r="E880" s="364"/>
      <c r="F880" s="364"/>
      <c r="G880" s="364"/>
      <c r="H880" s="364"/>
      <c r="I880" s="364"/>
      <c r="J880" s="364"/>
      <c r="K880" s="364"/>
      <c r="L880" s="364"/>
      <c r="M880" s="364"/>
      <c r="N880" s="364"/>
      <c r="O880" s="364"/>
      <c r="P880" s="364"/>
      <c r="Q880" s="364"/>
      <c r="R880" s="364"/>
      <c r="S880" s="364"/>
      <c r="T880" s="364"/>
      <c r="U880" s="364"/>
      <c r="V880" s="364"/>
      <c r="W880" s="364"/>
      <c r="X880" s="364"/>
      <c r="Y880" s="364"/>
      <c r="Z880" s="364"/>
    </row>
    <row r="881" spans="1:26" ht="15.75" customHeight="1" x14ac:dyDescent="0.25">
      <c r="A881" s="364"/>
      <c r="B881" s="364"/>
      <c r="C881" s="364"/>
      <c r="D881" s="364"/>
      <c r="E881" s="364"/>
      <c r="F881" s="364"/>
      <c r="G881" s="364"/>
      <c r="H881" s="364"/>
      <c r="I881" s="364"/>
      <c r="J881" s="364"/>
      <c r="K881" s="364"/>
      <c r="L881" s="364"/>
      <c r="M881" s="364"/>
      <c r="N881" s="364"/>
      <c r="O881" s="364"/>
      <c r="P881" s="364"/>
      <c r="Q881" s="364"/>
      <c r="R881" s="364"/>
      <c r="S881" s="364"/>
      <c r="T881" s="364"/>
      <c r="U881" s="364"/>
      <c r="V881" s="364"/>
      <c r="W881" s="364"/>
      <c r="X881" s="364"/>
      <c r="Y881" s="364"/>
      <c r="Z881" s="364"/>
    </row>
    <row r="882" spans="1:26" ht="15.75" customHeight="1" x14ac:dyDescent="0.25">
      <c r="A882" s="364"/>
      <c r="B882" s="364"/>
      <c r="C882" s="364"/>
      <c r="D882" s="364"/>
      <c r="E882" s="364"/>
      <c r="F882" s="364"/>
      <c r="G882" s="364"/>
      <c r="H882" s="364"/>
      <c r="I882" s="364"/>
      <c r="J882" s="364"/>
      <c r="K882" s="364"/>
      <c r="L882" s="364"/>
      <c r="M882" s="364"/>
      <c r="N882" s="364"/>
      <c r="O882" s="364"/>
      <c r="P882" s="364"/>
      <c r="Q882" s="364"/>
      <c r="R882" s="364"/>
      <c r="S882" s="364"/>
      <c r="T882" s="364"/>
      <c r="U882" s="364"/>
      <c r="V882" s="364"/>
      <c r="W882" s="364"/>
      <c r="X882" s="364"/>
      <c r="Y882" s="364"/>
      <c r="Z882" s="364"/>
    </row>
    <row r="883" spans="1:26" ht="15.75" customHeight="1" x14ac:dyDescent="0.25">
      <c r="A883" s="364"/>
      <c r="B883" s="364"/>
      <c r="C883" s="364"/>
      <c r="D883" s="364"/>
      <c r="E883" s="364"/>
      <c r="F883" s="364"/>
      <c r="G883" s="364"/>
      <c r="H883" s="364"/>
      <c r="I883" s="364"/>
      <c r="J883" s="364"/>
      <c r="K883" s="364"/>
      <c r="L883" s="364"/>
      <c r="M883" s="364"/>
      <c r="N883" s="364"/>
      <c r="O883" s="364"/>
      <c r="P883" s="364"/>
      <c r="Q883" s="364"/>
      <c r="R883" s="364"/>
      <c r="S883" s="364"/>
      <c r="T883" s="364"/>
      <c r="U883" s="364"/>
      <c r="V883" s="364"/>
      <c r="W883" s="364"/>
      <c r="X883" s="364"/>
      <c r="Y883" s="364"/>
      <c r="Z883" s="364"/>
    </row>
    <row r="884" spans="1:26" ht="15.75" customHeight="1" x14ac:dyDescent="0.25">
      <c r="A884" s="364"/>
      <c r="B884" s="364"/>
      <c r="C884" s="364"/>
      <c r="D884" s="364"/>
      <c r="E884" s="364"/>
      <c r="F884" s="364"/>
      <c r="G884" s="364"/>
      <c r="H884" s="364"/>
      <c r="I884" s="364"/>
      <c r="J884" s="364"/>
      <c r="K884" s="364"/>
      <c r="L884" s="364"/>
      <c r="M884" s="364"/>
      <c r="N884" s="364"/>
      <c r="O884" s="364"/>
      <c r="P884" s="364"/>
      <c r="Q884" s="364"/>
      <c r="R884" s="364"/>
      <c r="S884" s="364"/>
      <c r="T884" s="364"/>
      <c r="U884" s="364"/>
      <c r="V884" s="364"/>
      <c r="W884" s="364"/>
      <c r="X884" s="364"/>
      <c r="Y884" s="364"/>
      <c r="Z884" s="364"/>
    </row>
    <row r="885" spans="1:26" ht="15.75" customHeight="1" x14ac:dyDescent="0.25">
      <c r="A885" s="364"/>
      <c r="B885" s="364"/>
      <c r="C885" s="364"/>
      <c r="D885" s="364"/>
      <c r="E885" s="364"/>
      <c r="F885" s="364"/>
      <c r="G885" s="364"/>
      <c r="H885" s="364"/>
      <c r="I885" s="364"/>
      <c r="J885" s="364"/>
      <c r="K885" s="364"/>
      <c r="L885" s="364"/>
      <c r="M885" s="364"/>
      <c r="N885" s="364"/>
      <c r="O885" s="364"/>
      <c r="P885" s="364"/>
      <c r="Q885" s="364"/>
      <c r="R885" s="364"/>
      <c r="S885" s="364"/>
      <c r="T885" s="364"/>
      <c r="U885" s="364"/>
      <c r="V885" s="364"/>
      <c r="W885" s="364"/>
      <c r="X885" s="364"/>
      <c r="Y885" s="364"/>
      <c r="Z885" s="364"/>
    </row>
    <row r="886" spans="1:26" ht="15.75" customHeight="1" x14ac:dyDescent="0.25">
      <c r="A886" s="364"/>
      <c r="B886" s="364"/>
      <c r="C886" s="364"/>
      <c r="D886" s="364"/>
      <c r="E886" s="364"/>
      <c r="F886" s="364"/>
      <c r="G886" s="364"/>
      <c r="H886" s="364"/>
      <c r="I886" s="364"/>
      <c r="J886" s="364"/>
      <c r="K886" s="364"/>
      <c r="L886" s="364"/>
      <c r="M886" s="364"/>
      <c r="N886" s="364"/>
      <c r="O886" s="364"/>
      <c r="P886" s="364"/>
      <c r="Q886" s="364"/>
      <c r="R886" s="364"/>
      <c r="S886" s="364"/>
      <c r="T886" s="364"/>
      <c r="U886" s="364"/>
      <c r="V886" s="364"/>
      <c r="W886" s="364"/>
      <c r="X886" s="364"/>
      <c r="Y886" s="364"/>
      <c r="Z886" s="364"/>
    </row>
    <row r="887" spans="1:26" ht="15.75" customHeight="1" x14ac:dyDescent="0.25">
      <c r="A887" s="364"/>
      <c r="B887" s="364"/>
      <c r="C887" s="364"/>
      <c r="D887" s="364"/>
      <c r="E887" s="364"/>
      <c r="F887" s="364"/>
      <c r="G887" s="364"/>
      <c r="H887" s="364"/>
      <c r="I887" s="364"/>
      <c r="J887" s="364"/>
      <c r="K887" s="364"/>
      <c r="L887" s="364"/>
      <c r="M887" s="364"/>
      <c r="N887" s="364"/>
      <c r="O887" s="364"/>
      <c r="P887" s="364"/>
      <c r="Q887" s="364"/>
      <c r="R887" s="364"/>
      <c r="S887" s="364"/>
      <c r="T887" s="364"/>
      <c r="U887" s="364"/>
      <c r="V887" s="364"/>
      <c r="W887" s="364"/>
      <c r="X887" s="364"/>
      <c r="Y887" s="364"/>
      <c r="Z887" s="364"/>
    </row>
    <row r="888" spans="1:26" ht="15.75" customHeight="1" x14ac:dyDescent="0.25">
      <c r="A888" s="364"/>
      <c r="B888" s="364"/>
      <c r="C888" s="364"/>
      <c r="D888" s="364"/>
      <c r="E888" s="364"/>
      <c r="F888" s="364"/>
      <c r="G888" s="364"/>
      <c r="H888" s="364"/>
      <c r="I888" s="364"/>
      <c r="J888" s="364"/>
      <c r="K888" s="364"/>
      <c r="L888" s="364"/>
      <c r="M888" s="364"/>
      <c r="N888" s="364"/>
      <c r="O888" s="364"/>
      <c r="P888" s="364"/>
      <c r="Q888" s="364"/>
      <c r="R888" s="364"/>
      <c r="S888" s="364"/>
      <c r="T888" s="364"/>
      <c r="U888" s="364"/>
      <c r="V888" s="364"/>
      <c r="W888" s="364"/>
      <c r="X888" s="364"/>
      <c r="Y888" s="364"/>
      <c r="Z888" s="364"/>
    </row>
    <row r="889" spans="1:26" ht="15.75" customHeight="1" x14ac:dyDescent="0.25">
      <c r="A889" s="364"/>
      <c r="B889" s="364"/>
      <c r="C889" s="364"/>
      <c r="D889" s="364"/>
      <c r="E889" s="364"/>
      <c r="F889" s="364"/>
      <c r="G889" s="364"/>
      <c r="H889" s="364"/>
      <c r="I889" s="364"/>
      <c r="J889" s="364"/>
      <c r="K889" s="364"/>
      <c r="L889" s="364"/>
      <c r="M889" s="364"/>
      <c r="N889" s="364"/>
      <c r="O889" s="364"/>
      <c r="P889" s="364"/>
      <c r="Q889" s="364"/>
      <c r="R889" s="364"/>
      <c r="S889" s="364"/>
      <c r="T889" s="364"/>
      <c r="U889" s="364"/>
      <c r="V889" s="364"/>
      <c r="W889" s="364"/>
      <c r="X889" s="364"/>
      <c r="Y889" s="364"/>
      <c r="Z889" s="364"/>
    </row>
    <row r="890" spans="1:26" ht="15.75" customHeight="1" x14ac:dyDescent="0.25">
      <c r="A890" s="364"/>
      <c r="B890" s="364"/>
      <c r="C890" s="364"/>
      <c r="D890" s="364"/>
      <c r="E890" s="364"/>
      <c r="F890" s="364"/>
      <c r="G890" s="364"/>
      <c r="H890" s="364"/>
      <c r="I890" s="364"/>
      <c r="J890" s="364"/>
      <c r="K890" s="364"/>
      <c r="L890" s="364"/>
      <c r="M890" s="364"/>
      <c r="N890" s="364"/>
      <c r="O890" s="364"/>
      <c r="P890" s="364"/>
      <c r="Q890" s="364"/>
      <c r="R890" s="364"/>
      <c r="S890" s="364"/>
      <c r="T890" s="364"/>
      <c r="U890" s="364"/>
      <c r="V890" s="364"/>
      <c r="W890" s="364"/>
      <c r="X890" s="364"/>
      <c r="Y890" s="364"/>
      <c r="Z890" s="364"/>
    </row>
    <row r="891" spans="1:26" ht="15.75" customHeight="1" x14ac:dyDescent="0.25">
      <c r="A891" s="364"/>
      <c r="B891" s="364"/>
      <c r="C891" s="364"/>
      <c r="D891" s="364"/>
      <c r="E891" s="364"/>
      <c r="F891" s="364"/>
      <c r="G891" s="364"/>
      <c r="H891" s="364"/>
      <c r="I891" s="364"/>
      <c r="J891" s="364"/>
      <c r="K891" s="364"/>
      <c r="L891" s="364"/>
      <c r="M891" s="364"/>
      <c r="N891" s="364"/>
      <c r="O891" s="364"/>
      <c r="P891" s="364"/>
      <c r="Q891" s="364"/>
      <c r="R891" s="364"/>
      <c r="S891" s="364"/>
      <c r="T891" s="364"/>
      <c r="U891" s="364"/>
      <c r="V891" s="364"/>
      <c r="W891" s="364"/>
      <c r="X891" s="364"/>
      <c r="Y891" s="364"/>
      <c r="Z891" s="364"/>
    </row>
    <row r="892" spans="1:26" ht="15.75" customHeight="1" x14ac:dyDescent="0.25">
      <c r="A892" s="364"/>
      <c r="B892" s="364"/>
      <c r="C892" s="364"/>
      <c r="D892" s="364"/>
      <c r="E892" s="364"/>
      <c r="F892" s="364"/>
      <c r="G892" s="364"/>
      <c r="H892" s="364"/>
      <c r="I892" s="364"/>
      <c r="J892" s="364"/>
      <c r="K892" s="364"/>
      <c r="L892" s="364"/>
      <c r="M892" s="364"/>
      <c r="N892" s="364"/>
      <c r="O892" s="364"/>
      <c r="P892" s="364"/>
      <c r="Q892" s="364"/>
      <c r="R892" s="364"/>
      <c r="S892" s="364"/>
      <c r="T892" s="364"/>
      <c r="U892" s="364"/>
      <c r="V892" s="364"/>
      <c r="W892" s="364"/>
      <c r="X892" s="364"/>
      <c r="Y892" s="364"/>
      <c r="Z892" s="364"/>
    </row>
    <row r="893" spans="1:26" ht="15.75" customHeight="1" x14ac:dyDescent="0.25">
      <c r="A893" s="364"/>
      <c r="B893" s="364"/>
      <c r="C893" s="364"/>
      <c r="D893" s="364"/>
      <c r="E893" s="364"/>
      <c r="F893" s="364"/>
      <c r="G893" s="364"/>
      <c r="H893" s="364"/>
      <c r="I893" s="364"/>
      <c r="J893" s="364"/>
      <c r="K893" s="364"/>
      <c r="L893" s="364"/>
      <c r="M893" s="364"/>
      <c r="N893" s="364"/>
      <c r="O893" s="364"/>
      <c r="P893" s="364"/>
      <c r="Q893" s="364"/>
      <c r="R893" s="364"/>
      <c r="S893" s="364"/>
      <c r="T893" s="364"/>
      <c r="U893" s="364"/>
      <c r="V893" s="364"/>
      <c r="W893" s="364"/>
      <c r="X893" s="364"/>
      <c r="Y893" s="364"/>
      <c r="Z893" s="364"/>
    </row>
    <row r="894" spans="1:26" ht="15.75" customHeight="1" x14ac:dyDescent="0.25">
      <c r="A894" s="364"/>
      <c r="B894" s="364"/>
      <c r="C894" s="364"/>
      <c r="D894" s="364"/>
      <c r="E894" s="364"/>
      <c r="F894" s="364"/>
      <c r="G894" s="364"/>
      <c r="H894" s="364"/>
      <c r="I894" s="364"/>
      <c r="J894" s="364"/>
      <c r="K894" s="364"/>
      <c r="L894" s="364"/>
      <c r="M894" s="364"/>
      <c r="N894" s="364"/>
      <c r="O894" s="364"/>
      <c r="P894" s="364"/>
      <c r="Q894" s="364"/>
      <c r="R894" s="364"/>
      <c r="S894" s="364"/>
      <c r="T894" s="364"/>
      <c r="U894" s="364"/>
      <c r="V894" s="364"/>
      <c r="W894" s="364"/>
      <c r="X894" s="364"/>
      <c r="Y894" s="364"/>
      <c r="Z894" s="364"/>
    </row>
    <row r="895" spans="1:26" ht="15.75" customHeight="1" x14ac:dyDescent="0.25">
      <c r="A895" s="364"/>
      <c r="B895" s="364"/>
      <c r="C895" s="364"/>
      <c r="D895" s="364"/>
      <c r="E895" s="364"/>
      <c r="F895" s="364"/>
      <c r="G895" s="364"/>
      <c r="H895" s="364"/>
      <c r="I895" s="364"/>
      <c r="J895" s="364"/>
      <c r="K895" s="364"/>
      <c r="L895" s="364"/>
      <c r="M895" s="364"/>
      <c r="N895" s="364"/>
      <c r="O895" s="364"/>
      <c r="P895" s="364"/>
      <c r="Q895" s="364"/>
      <c r="R895" s="364"/>
      <c r="S895" s="364"/>
      <c r="T895" s="364"/>
      <c r="U895" s="364"/>
      <c r="V895" s="364"/>
      <c r="W895" s="364"/>
      <c r="X895" s="364"/>
      <c r="Y895" s="364"/>
      <c r="Z895" s="364"/>
    </row>
    <row r="896" spans="1:26" ht="15.75" customHeight="1" x14ac:dyDescent="0.25">
      <c r="A896" s="364"/>
      <c r="B896" s="364"/>
      <c r="C896" s="364"/>
      <c r="D896" s="364"/>
      <c r="E896" s="364"/>
      <c r="F896" s="364"/>
      <c r="G896" s="364"/>
      <c r="H896" s="364"/>
      <c r="I896" s="364"/>
      <c r="J896" s="364"/>
      <c r="K896" s="364"/>
      <c r="L896" s="364"/>
      <c r="M896" s="364"/>
      <c r="N896" s="364"/>
      <c r="O896" s="364"/>
      <c r="P896" s="364"/>
      <c r="Q896" s="364"/>
      <c r="R896" s="364"/>
      <c r="S896" s="364"/>
      <c r="T896" s="364"/>
      <c r="U896" s="364"/>
      <c r="V896" s="364"/>
      <c r="W896" s="364"/>
      <c r="X896" s="364"/>
      <c r="Y896" s="364"/>
      <c r="Z896" s="364"/>
    </row>
    <row r="897" spans="1:26" ht="15.75" customHeight="1" x14ac:dyDescent="0.25">
      <c r="A897" s="364"/>
      <c r="B897" s="364"/>
      <c r="C897" s="364"/>
      <c r="D897" s="364"/>
      <c r="E897" s="364"/>
      <c r="F897" s="364"/>
      <c r="G897" s="364"/>
      <c r="H897" s="364"/>
      <c r="I897" s="364"/>
      <c r="J897" s="364"/>
      <c r="K897" s="364"/>
      <c r="L897" s="364"/>
      <c r="M897" s="364"/>
      <c r="N897" s="364"/>
      <c r="O897" s="364"/>
      <c r="P897" s="364"/>
      <c r="Q897" s="364"/>
      <c r="R897" s="364"/>
      <c r="S897" s="364"/>
      <c r="T897" s="364"/>
      <c r="U897" s="364"/>
      <c r="V897" s="364"/>
      <c r="W897" s="364"/>
      <c r="X897" s="364"/>
      <c r="Y897" s="364"/>
      <c r="Z897" s="364"/>
    </row>
    <row r="898" spans="1:26" ht="15.75" customHeight="1" x14ac:dyDescent="0.25">
      <c r="A898" s="364"/>
      <c r="B898" s="364"/>
      <c r="C898" s="364"/>
      <c r="D898" s="364"/>
      <c r="E898" s="364"/>
      <c r="F898" s="364"/>
      <c r="G898" s="364"/>
      <c r="H898" s="364"/>
      <c r="I898" s="364"/>
      <c r="J898" s="364"/>
      <c r="K898" s="364"/>
      <c r="L898" s="364"/>
      <c r="M898" s="364"/>
      <c r="N898" s="364"/>
      <c r="O898" s="364"/>
      <c r="P898" s="364"/>
      <c r="Q898" s="364"/>
      <c r="R898" s="364"/>
      <c r="S898" s="364"/>
      <c r="T898" s="364"/>
      <c r="U898" s="364"/>
      <c r="V898" s="364"/>
      <c r="W898" s="364"/>
      <c r="X898" s="364"/>
      <c r="Y898" s="364"/>
      <c r="Z898" s="364"/>
    </row>
    <row r="899" spans="1:26" ht="15.75" customHeight="1" x14ac:dyDescent="0.25">
      <c r="A899" s="364"/>
      <c r="B899" s="364"/>
      <c r="C899" s="364"/>
      <c r="D899" s="364"/>
      <c r="E899" s="364"/>
      <c r="F899" s="364"/>
      <c r="G899" s="364"/>
      <c r="H899" s="364"/>
      <c r="I899" s="364"/>
      <c r="J899" s="364"/>
      <c r="K899" s="364"/>
      <c r="L899" s="364"/>
      <c r="M899" s="364"/>
      <c r="N899" s="364"/>
      <c r="O899" s="364"/>
      <c r="P899" s="364"/>
      <c r="Q899" s="364"/>
      <c r="R899" s="364"/>
      <c r="S899" s="364"/>
      <c r="T899" s="364"/>
      <c r="U899" s="364"/>
      <c r="V899" s="364"/>
      <c r="W899" s="364"/>
      <c r="X899" s="364"/>
      <c r="Y899" s="364"/>
      <c r="Z899" s="364"/>
    </row>
    <row r="900" spans="1:26" ht="15.75" customHeight="1" x14ac:dyDescent="0.25">
      <c r="A900" s="364"/>
      <c r="B900" s="364"/>
      <c r="C900" s="364"/>
      <c r="D900" s="364"/>
      <c r="E900" s="364"/>
      <c r="F900" s="364"/>
      <c r="G900" s="364"/>
      <c r="H900" s="364"/>
      <c r="I900" s="364"/>
      <c r="J900" s="364"/>
      <c r="K900" s="364"/>
      <c r="L900" s="364"/>
      <c r="M900" s="364"/>
      <c r="N900" s="364"/>
      <c r="O900" s="364"/>
      <c r="P900" s="364"/>
      <c r="Q900" s="364"/>
      <c r="R900" s="364"/>
      <c r="S900" s="364"/>
      <c r="T900" s="364"/>
      <c r="U900" s="364"/>
      <c r="V900" s="364"/>
      <c r="W900" s="364"/>
      <c r="X900" s="364"/>
      <c r="Y900" s="364"/>
      <c r="Z900" s="364"/>
    </row>
    <row r="901" spans="1:26" ht="15.75" customHeight="1" x14ac:dyDescent="0.25">
      <c r="A901" s="364"/>
      <c r="B901" s="364"/>
      <c r="C901" s="364"/>
      <c r="D901" s="364"/>
      <c r="E901" s="364"/>
      <c r="F901" s="364"/>
      <c r="G901" s="364"/>
      <c r="H901" s="364"/>
      <c r="I901" s="364"/>
      <c r="J901" s="364"/>
      <c r="K901" s="364"/>
      <c r="L901" s="364"/>
      <c r="M901" s="364"/>
      <c r="N901" s="364"/>
      <c r="O901" s="364"/>
      <c r="P901" s="364"/>
      <c r="Q901" s="364"/>
      <c r="R901" s="364"/>
      <c r="S901" s="364"/>
      <c r="T901" s="364"/>
      <c r="U901" s="364"/>
      <c r="V901" s="364"/>
      <c r="W901" s="364"/>
      <c r="X901" s="364"/>
      <c r="Y901" s="364"/>
      <c r="Z901" s="364"/>
    </row>
    <row r="902" spans="1:26" ht="15.75" customHeight="1" x14ac:dyDescent="0.25">
      <c r="A902" s="364"/>
      <c r="B902" s="364"/>
      <c r="C902" s="364"/>
      <c r="D902" s="364"/>
      <c r="E902" s="364"/>
      <c r="F902" s="364"/>
      <c r="G902" s="364"/>
      <c r="H902" s="364"/>
      <c r="I902" s="364"/>
      <c r="J902" s="364"/>
      <c r="K902" s="364"/>
      <c r="L902" s="364"/>
      <c r="M902" s="364"/>
      <c r="N902" s="364"/>
      <c r="O902" s="364"/>
      <c r="P902" s="364"/>
      <c r="Q902" s="364"/>
      <c r="R902" s="364"/>
      <c r="S902" s="364"/>
      <c r="T902" s="364"/>
      <c r="U902" s="364"/>
      <c r="V902" s="364"/>
      <c r="W902" s="364"/>
      <c r="X902" s="364"/>
      <c r="Y902" s="364"/>
      <c r="Z902" s="364"/>
    </row>
    <row r="903" spans="1:26" ht="15.75" customHeight="1" x14ac:dyDescent="0.25">
      <c r="A903" s="364"/>
      <c r="B903" s="364"/>
      <c r="C903" s="364"/>
      <c r="D903" s="364"/>
      <c r="E903" s="364"/>
      <c r="F903" s="364"/>
      <c r="G903" s="364"/>
      <c r="H903" s="364"/>
      <c r="I903" s="364"/>
      <c r="J903" s="364"/>
      <c r="K903" s="364"/>
      <c r="L903" s="364"/>
      <c r="M903" s="364"/>
      <c r="N903" s="364"/>
      <c r="O903" s="364"/>
      <c r="P903" s="364"/>
      <c r="Q903" s="364"/>
      <c r="R903" s="364"/>
      <c r="S903" s="364"/>
      <c r="T903" s="364"/>
      <c r="U903" s="364"/>
      <c r="V903" s="364"/>
      <c r="W903" s="364"/>
      <c r="X903" s="364"/>
      <c r="Y903" s="364"/>
      <c r="Z903" s="364"/>
    </row>
    <row r="904" spans="1:26" ht="15.75" customHeight="1" x14ac:dyDescent="0.25">
      <c r="A904" s="364"/>
      <c r="B904" s="364"/>
      <c r="C904" s="364"/>
      <c r="D904" s="364"/>
      <c r="E904" s="364"/>
      <c r="F904" s="364"/>
      <c r="G904" s="364"/>
      <c r="H904" s="364"/>
      <c r="I904" s="364"/>
      <c r="J904" s="364"/>
      <c r="K904" s="364"/>
      <c r="L904" s="364"/>
      <c r="M904" s="364"/>
      <c r="N904" s="364"/>
      <c r="O904" s="364"/>
      <c r="P904" s="364"/>
      <c r="Q904" s="364"/>
      <c r="R904" s="364"/>
      <c r="S904" s="364"/>
      <c r="T904" s="364"/>
      <c r="U904" s="364"/>
      <c r="V904" s="364"/>
      <c r="W904" s="364"/>
      <c r="X904" s="364"/>
      <c r="Y904" s="364"/>
      <c r="Z904" s="364"/>
    </row>
    <row r="905" spans="1:26" ht="15.75" customHeight="1" x14ac:dyDescent="0.25">
      <c r="A905" s="364"/>
      <c r="B905" s="364"/>
      <c r="C905" s="364"/>
      <c r="D905" s="364"/>
      <c r="E905" s="364"/>
      <c r="F905" s="364"/>
      <c r="G905" s="364"/>
      <c r="H905" s="364"/>
      <c r="I905" s="364"/>
      <c r="J905" s="364"/>
      <c r="K905" s="364"/>
      <c r="L905" s="364"/>
      <c r="M905" s="364"/>
      <c r="N905" s="364"/>
      <c r="O905" s="364"/>
      <c r="P905" s="364"/>
      <c r="Q905" s="364"/>
      <c r="R905" s="364"/>
      <c r="S905" s="364"/>
      <c r="T905" s="364"/>
      <c r="U905" s="364"/>
      <c r="V905" s="364"/>
      <c r="W905" s="364"/>
      <c r="X905" s="364"/>
      <c r="Y905" s="364"/>
      <c r="Z905" s="364"/>
    </row>
    <row r="906" spans="1:26" ht="15.75" customHeight="1" x14ac:dyDescent="0.25">
      <c r="A906" s="364"/>
      <c r="B906" s="364"/>
      <c r="C906" s="364"/>
      <c r="D906" s="364"/>
      <c r="E906" s="364"/>
      <c r="F906" s="364"/>
      <c r="G906" s="364"/>
      <c r="H906" s="364"/>
      <c r="I906" s="364"/>
      <c r="J906" s="364"/>
      <c r="K906" s="364"/>
      <c r="L906" s="364"/>
      <c r="M906" s="364"/>
      <c r="N906" s="364"/>
      <c r="O906" s="364"/>
      <c r="P906" s="364"/>
      <c r="Q906" s="364"/>
      <c r="R906" s="364"/>
      <c r="S906" s="364"/>
      <c r="T906" s="364"/>
      <c r="U906" s="364"/>
      <c r="V906" s="364"/>
      <c r="W906" s="364"/>
      <c r="X906" s="364"/>
      <c r="Y906" s="364"/>
      <c r="Z906" s="364"/>
    </row>
    <row r="907" spans="1:26" ht="15.75" customHeight="1" x14ac:dyDescent="0.25">
      <c r="A907" s="364"/>
      <c r="B907" s="364"/>
      <c r="C907" s="364"/>
      <c r="D907" s="364"/>
      <c r="E907" s="364"/>
      <c r="F907" s="364"/>
      <c r="G907" s="364"/>
      <c r="H907" s="364"/>
      <c r="I907" s="364"/>
      <c r="J907" s="364"/>
      <c r="K907" s="364"/>
      <c r="L907" s="364"/>
      <c r="M907" s="364"/>
      <c r="N907" s="364"/>
      <c r="O907" s="364"/>
      <c r="P907" s="364"/>
      <c r="Q907" s="364"/>
      <c r="R907" s="364"/>
      <c r="S907" s="364"/>
      <c r="T907" s="364"/>
      <c r="U907" s="364"/>
      <c r="V907" s="364"/>
      <c r="W907" s="364"/>
      <c r="X907" s="364"/>
      <c r="Y907" s="364"/>
      <c r="Z907" s="364"/>
    </row>
    <row r="908" spans="1:26" ht="15.75" customHeight="1" x14ac:dyDescent="0.25">
      <c r="A908" s="364"/>
      <c r="B908" s="364"/>
      <c r="C908" s="364"/>
      <c r="D908" s="364"/>
      <c r="E908" s="364"/>
      <c r="F908" s="364"/>
      <c r="G908" s="364"/>
      <c r="H908" s="364"/>
      <c r="I908" s="364"/>
      <c r="J908" s="364"/>
      <c r="K908" s="364"/>
      <c r="L908" s="364"/>
      <c r="M908" s="364"/>
      <c r="N908" s="364"/>
      <c r="O908" s="364"/>
      <c r="P908" s="364"/>
      <c r="Q908" s="364"/>
      <c r="R908" s="364"/>
      <c r="S908" s="364"/>
      <c r="T908" s="364"/>
      <c r="U908" s="364"/>
      <c r="V908" s="364"/>
      <c r="W908" s="364"/>
      <c r="X908" s="364"/>
      <c r="Y908" s="364"/>
      <c r="Z908" s="364"/>
    </row>
    <row r="909" spans="1:26" ht="15.75" customHeight="1" x14ac:dyDescent="0.25">
      <c r="A909" s="364"/>
      <c r="B909" s="364"/>
      <c r="C909" s="364"/>
      <c r="D909" s="364"/>
      <c r="E909" s="364"/>
      <c r="F909" s="364"/>
      <c r="G909" s="364"/>
      <c r="H909" s="364"/>
      <c r="I909" s="364"/>
      <c r="J909" s="364"/>
      <c r="K909" s="364"/>
      <c r="L909" s="364"/>
      <c r="M909" s="364"/>
      <c r="N909" s="364"/>
      <c r="O909" s="364"/>
      <c r="P909" s="364"/>
      <c r="Q909" s="364"/>
      <c r="R909" s="364"/>
      <c r="S909" s="364"/>
      <c r="T909" s="364"/>
      <c r="U909" s="364"/>
      <c r="V909" s="364"/>
      <c r="W909" s="364"/>
      <c r="X909" s="364"/>
      <c r="Y909" s="364"/>
      <c r="Z909" s="364"/>
    </row>
    <row r="910" spans="1:26" ht="15.75" customHeight="1" x14ac:dyDescent="0.25">
      <c r="A910" s="364"/>
      <c r="B910" s="364"/>
      <c r="C910" s="364"/>
      <c r="D910" s="364"/>
      <c r="E910" s="364"/>
      <c r="F910" s="364"/>
      <c r="G910" s="364"/>
      <c r="H910" s="364"/>
      <c r="I910" s="364"/>
      <c r="J910" s="364"/>
      <c r="K910" s="364"/>
      <c r="L910" s="364"/>
      <c r="M910" s="364"/>
      <c r="N910" s="364"/>
      <c r="O910" s="364"/>
      <c r="P910" s="364"/>
      <c r="Q910" s="364"/>
      <c r="R910" s="364"/>
      <c r="S910" s="364"/>
      <c r="T910" s="364"/>
      <c r="U910" s="364"/>
      <c r="V910" s="364"/>
      <c r="W910" s="364"/>
      <c r="X910" s="364"/>
      <c r="Y910" s="364"/>
      <c r="Z910" s="364"/>
    </row>
    <row r="911" spans="1:26" ht="15.75" customHeight="1" x14ac:dyDescent="0.25">
      <c r="A911" s="364"/>
      <c r="B911" s="364"/>
      <c r="C911" s="364"/>
      <c r="D911" s="364"/>
      <c r="E911" s="364"/>
      <c r="F911" s="364"/>
      <c r="G911" s="364"/>
      <c r="H911" s="364"/>
      <c r="I911" s="364"/>
      <c r="J911" s="364"/>
      <c r="K911" s="364"/>
      <c r="L911" s="364"/>
      <c r="M911" s="364"/>
      <c r="N911" s="364"/>
      <c r="O911" s="364"/>
      <c r="P911" s="364"/>
      <c r="Q911" s="364"/>
      <c r="R911" s="364"/>
      <c r="S911" s="364"/>
      <c r="T911" s="364"/>
      <c r="U911" s="364"/>
      <c r="V911" s="364"/>
      <c r="W911" s="364"/>
      <c r="X911" s="364"/>
      <c r="Y911" s="364"/>
      <c r="Z911" s="364"/>
    </row>
    <row r="912" spans="1:26" ht="15.75" customHeight="1" x14ac:dyDescent="0.25">
      <c r="A912" s="364"/>
      <c r="B912" s="364"/>
      <c r="C912" s="364"/>
      <c r="D912" s="364"/>
      <c r="E912" s="364"/>
      <c r="F912" s="364"/>
      <c r="G912" s="364"/>
      <c r="H912" s="364"/>
      <c r="I912" s="364"/>
      <c r="J912" s="364"/>
      <c r="K912" s="364"/>
      <c r="L912" s="364"/>
      <c r="M912" s="364"/>
      <c r="N912" s="364"/>
      <c r="O912" s="364"/>
      <c r="P912" s="364"/>
      <c r="Q912" s="364"/>
      <c r="R912" s="364"/>
      <c r="S912" s="364"/>
      <c r="T912" s="364"/>
      <c r="U912" s="364"/>
      <c r="V912" s="364"/>
      <c r="W912" s="364"/>
      <c r="X912" s="364"/>
      <c r="Y912" s="364"/>
      <c r="Z912" s="364"/>
    </row>
    <row r="913" spans="1:26" ht="15.75" customHeight="1" x14ac:dyDescent="0.25">
      <c r="A913" s="364"/>
      <c r="B913" s="364"/>
      <c r="C913" s="364"/>
      <c r="D913" s="364"/>
      <c r="E913" s="364"/>
      <c r="F913" s="364"/>
      <c r="G913" s="364"/>
      <c r="H913" s="364"/>
      <c r="I913" s="364"/>
      <c r="J913" s="364"/>
      <c r="K913" s="364"/>
      <c r="L913" s="364"/>
      <c r="M913" s="364"/>
      <c r="N913" s="364"/>
      <c r="O913" s="364"/>
      <c r="P913" s="364"/>
      <c r="Q913" s="364"/>
      <c r="R913" s="364"/>
      <c r="S913" s="364"/>
      <c r="T913" s="364"/>
      <c r="U913" s="364"/>
      <c r="V913" s="364"/>
      <c r="W913" s="364"/>
      <c r="X913" s="364"/>
      <c r="Y913" s="364"/>
      <c r="Z913" s="364"/>
    </row>
    <row r="914" spans="1:26" ht="15.75" customHeight="1" x14ac:dyDescent="0.25">
      <c r="A914" s="364"/>
      <c r="B914" s="364"/>
      <c r="C914" s="364"/>
      <c r="D914" s="364"/>
      <c r="E914" s="364"/>
      <c r="F914" s="364"/>
      <c r="G914" s="364"/>
      <c r="H914" s="364"/>
      <c r="I914" s="364"/>
      <c r="J914" s="364"/>
      <c r="K914" s="364"/>
      <c r="L914" s="364"/>
      <c r="M914" s="364"/>
      <c r="N914" s="364"/>
      <c r="O914" s="364"/>
      <c r="P914" s="364"/>
      <c r="Q914" s="364"/>
      <c r="R914" s="364"/>
      <c r="S914" s="364"/>
      <c r="T914" s="364"/>
      <c r="U914" s="364"/>
      <c r="V914" s="364"/>
      <c r="W914" s="364"/>
      <c r="X914" s="364"/>
      <c r="Y914" s="364"/>
      <c r="Z914" s="364"/>
    </row>
    <row r="915" spans="1:26" ht="15.75" customHeight="1" x14ac:dyDescent="0.25">
      <c r="A915" s="364"/>
      <c r="B915" s="364"/>
      <c r="C915" s="364"/>
      <c r="D915" s="364"/>
      <c r="E915" s="364"/>
      <c r="F915" s="364"/>
      <c r="G915" s="364"/>
      <c r="H915" s="364"/>
      <c r="I915" s="364"/>
      <c r="J915" s="364"/>
      <c r="K915" s="364"/>
      <c r="L915" s="364"/>
      <c r="M915" s="364"/>
      <c r="N915" s="364"/>
      <c r="O915" s="364"/>
      <c r="P915" s="364"/>
      <c r="Q915" s="364"/>
      <c r="R915" s="364"/>
      <c r="S915" s="364"/>
      <c r="T915" s="364"/>
      <c r="U915" s="364"/>
      <c r="V915" s="364"/>
      <c r="W915" s="364"/>
      <c r="X915" s="364"/>
      <c r="Y915" s="364"/>
      <c r="Z915" s="364"/>
    </row>
    <row r="916" spans="1:26" ht="15.75" customHeight="1" x14ac:dyDescent="0.25">
      <c r="A916" s="364"/>
      <c r="B916" s="364"/>
      <c r="C916" s="364"/>
      <c r="D916" s="364"/>
      <c r="E916" s="364"/>
      <c r="F916" s="364"/>
      <c r="G916" s="364"/>
      <c r="H916" s="364"/>
      <c r="I916" s="364"/>
      <c r="J916" s="364"/>
      <c r="K916" s="364"/>
      <c r="L916" s="364"/>
      <c r="M916" s="364"/>
      <c r="N916" s="364"/>
      <c r="O916" s="364"/>
      <c r="P916" s="364"/>
      <c r="Q916" s="364"/>
      <c r="R916" s="364"/>
      <c r="S916" s="364"/>
      <c r="T916" s="364"/>
      <c r="U916" s="364"/>
      <c r="V916" s="364"/>
      <c r="W916" s="364"/>
      <c r="X916" s="364"/>
      <c r="Y916" s="364"/>
      <c r="Z916" s="364"/>
    </row>
    <row r="917" spans="1:26" ht="15.75" customHeight="1" x14ac:dyDescent="0.25">
      <c r="A917" s="364"/>
      <c r="B917" s="364"/>
      <c r="C917" s="364"/>
      <c r="D917" s="364"/>
      <c r="E917" s="364"/>
      <c r="F917" s="364"/>
      <c r="G917" s="364"/>
      <c r="H917" s="364"/>
      <c r="I917" s="364"/>
      <c r="J917" s="364"/>
      <c r="K917" s="364"/>
      <c r="L917" s="364"/>
      <c r="M917" s="364"/>
      <c r="N917" s="364"/>
      <c r="O917" s="364"/>
      <c r="P917" s="364"/>
      <c r="Q917" s="364"/>
      <c r="R917" s="364"/>
      <c r="S917" s="364"/>
      <c r="T917" s="364"/>
      <c r="U917" s="364"/>
      <c r="V917" s="364"/>
      <c r="W917" s="364"/>
      <c r="X917" s="364"/>
      <c r="Y917" s="364"/>
      <c r="Z917" s="364"/>
    </row>
    <row r="918" spans="1:26" ht="15.75" customHeight="1" x14ac:dyDescent="0.25">
      <c r="A918" s="364"/>
      <c r="B918" s="364"/>
      <c r="C918" s="364"/>
      <c r="D918" s="364"/>
      <c r="E918" s="364"/>
      <c r="F918" s="364"/>
      <c r="G918" s="364"/>
      <c r="H918" s="364"/>
      <c r="I918" s="364"/>
      <c r="J918" s="364"/>
      <c r="K918" s="364"/>
      <c r="L918" s="364"/>
      <c r="M918" s="364"/>
      <c r="N918" s="364"/>
      <c r="O918" s="364"/>
      <c r="P918" s="364"/>
      <c r="Q918" s="364"/>
      <c r="R918" s="364"/>
      <c r="S918" s="364"/>
      <c r="T918" s="364"/>
      <c r="U918" s="364"/>
      <c r="V918" s="364"/>
      <c r="W918" s="364"/>
      <c r="X918" s="364"/>
      <c r="Y918" s="364"/>
      <c r="Z918" s="364"/>
    </row>
    <row r="919" spans="1:26" ht="15.75" customHeight="1" x14ac:dyDescent="0.25">
      <c r="A919" s="364"/>
      <c r="B919" s="364"/>
      <c r="C919" s="364"/>
      <c r="D919" s="364"/>
      <c r="E919" s="364"/>
      <c r="F919" s="364"/>
      <c r="G919" s="364"/>
      <c r="H919" s="364"/>
      <c r="I919" s="364"/>
      <c r="J919" s="364"/>
      <c r="K919" s="364"/>
      <c r="L919" s="364"/>
      <c r="M919" s="364"/>
      <c r="N919" s="364"/>
      <c r="O919" s="364"/>
      <c r="P919" s="364"/>
      <c r="Q919" s="364"/>
      <c r="R919" s="364"/>
      <c r="S919" s="364"/>
      <c r="T919" s="364"/>
      <c r="U919" s="364"/>
      <c r="V919" s="364"/>
      <c r="W919" s="364"/>
      <c r="X919" s="364"/>
      <c r="Y919" s="364"/>
      <c r="Z919" s="364"/>
    </row>
    <row r="920" spans="1:26" ht="15.75" customHeight="1" x14ac:dyDescent="0.25">
      <c r="A920" s="364"/>
      <c r="B920" s="364"/>
      <c r="C920" s="364"/>
      <c r="D920" s="364"/>
      <c r="E920" s="364"/>
      <c r="F920" s="364"/>
      <c r="G920" s="364"/>
      <c r="H920" s="364"/>
      <c r="I920" s="364"/>
      <c r="J920" s="364"/>
      <c r="K920" s="364"/>
      <c r="L920" s="364"/>
      <c r="M920" s="364"/>
      <c r="N920" s="364"/>
      <c r="O920" s="364"/>
      <c r="P920" s="364"/>
      <c r="Q920" s="364"/>
      <c r="R920" s="364"/>
      <c r="S920" s="364"/>
      <c r="T920" s="364"/>
      <c r="U920" s="364"/>
      <c r="V920" s="364"/>
      <c r="W920" s="364"/>
      <c r="X920" s="364"/>
      <c r="Y920" s="364"/>
      <c r="Z920" s="364"/>
    </row>
    <row r="921" spans="1:26" ht="15.75" customHeight="1" x14ac:dyDescent="0.25">
      <c r="A921" s="364"/>
      <c r="B921" s="364"/>
      <c r="C921" s="364"/>
      <c r="D921" s="364"/>
      <c r="E921" s="364"/>
      <c r="F921" s="364"/>
      <c r="G921" s="364"/>
      <c r="H921" s="364"/>
      <c r="I921" s="364"/>
      <c r="J921" s="364"/>
      <c r="K921" s="364"/>
      <c r="L921" s="364"/>
      <c r="M921" s="364"/>
      <c r="N921" s="364"/>
      <c r="O921" s="364"/>
      <c r="P921" s="364"/>
      <c r="Q921" s="364"/>
      <c r="R921" s="364"/>
      <c r="S921" s="364"/>
      <c r="T921" s="364"/>
      <c r="U921" s="364"/>
      <c r="V921" s="364"/>
      <c r="W921" s="364"/>
      <c r="X921" s="364"/>
      <c r="Y921" s="364"/>
      <c r="Z921" s="364"/>
    </row>
    <row r="922" spans="1:26" ht="15.75" customHeight="1" x14ac:dyDescent="0.25">
      <c r="A922" s="364"/>
      <c r="B922" s="364"/>
      <c r="C922" s="364"/>
      <c r="D922" s="364"/>
      <c r="E922" s="364"/>
      <c r="F922" s="364"/>
      <c r="G922" s="364"/>
      <c r="H922" s="364"/>
      <c r="I922" s="364"/>
      <c r="J922" s="364"/>
      <c r="K922" s="364"/>
      <c r="L922" s="364"/>
      <c r="M922" s="364"/>
      <c r="N922" s="364"/>
      <c r="O922" s="364"/>
      <c r="P922" s="364"/>
      <c r="Q922" s="364"/>
      <c r="R922" s="364"/>
      <c r="S922" s="364"/>
      <c r="T922" s="364"/>
      <c r="U922" s="364"/>
      <c r="V922" s="364"/>
      <c r="W922" s="364"/>
      <c r="X922" s="364"/>
      <c r="Y922" s="364"/>
      <c r="Z922" s="364"/>
    </row>
    <row r="923" spans="1:26" ht="15.75" customHeight="1" x14ac:dyDescent="0.25">
      <c r="A923" s="364"/>
      <c r="B923" s="364"/>
      <c r="C923" s="364"/>
      <c r="D923" s="364"/>
      <c r="E923" s="364"/>
      <c r="F923" s="364"/>
      <c r="G923" s="364"/>
      <c r="H923" s="364"/>
      <c r="I923" s="364"/>
      <c r="J923" s="364"/>
      <c r="K923" s="364"/>
      <c r="L923" s="364"/>
      <c r="M923" s="364"/>
      <c r="N923" s="364"/>
      <c r="O923" s="364"/>
      <c r="P923" s="364"/>
      <c r="Q923" s="364"/>
      <c r="R923" s="364"/>
      <c r="S923" s="364"/>
      <c r="T923" s="364"/>
      <c r="U923" s="364"/>
      <c r="V923" s="364"/>
      <c r="W923" s="364"/>
      <c r="X923" s="364"/>
      <c r="Y923" s="364"/>
      <c r="Z923" s="364"/>
    </row>
    <row r="924" spans="1:26" ht="15.75" customHeight="1" x14ac:dyDescent="0.25">
      <c r="A924" s="364"/>
      <c r="B924" s="364"/>
      <c r="C924" s="364"/>
      <c r="D924" s="364"/>
      <c r="E924" s="364"/>
      <c r="F924" s="364"/>
      <c r="G924" s="364"/>
      <c r="H924" s="364"/>
      <c r="I924" s="364"/>
      <c r="J924" s="364"/>
      <c r="K924" s="364"/>
      <c r="L924" s="364"/>
      <c r="M924" s="364"/>
      <c r="N924" s="364"/>
      <c r="O924" s="364"/>
      <c r="P924" s="364"/>
      <c r="Q924" s="364"/>
      <c r="R924" s="364"/>
      <c r="S924" s="364"/>
      <c r="T924" s="364"/>
      <c r="U924" s="364"/>
      <c r="V924" s="364"/>
      <c r="W924" s="364"/>
      <c r="X924" s="364"/>
      <c r="Y924" s="364"/>
      <c r="Z924" s="364"/>
    </row>
    <row r="925" spans="1:26" ht="15.75" customHeight="1" x14ac:dyDescent="0.25">
      <c r="A925" s="364"/>
      <c r="B925" s="364"/>
      <c r="C925" s="364"/>
      <c r="D925" s="364"/>
      <c r="E925" s="364"/>
      <c r="F925" s="364"/>
      <c r="G925" s="364"/>
      <c r="H925" s="364"/>
      <c r="I925" s="364"/>
      <c r="J925" s="364"/>
      <c r="K925" s="364"/>
      <c r="L925" s="364"/>
      <c r="M925" s="364"/>
      <c r="N925" s="364"/>
      <c r="O925" s="364"/>
      <c r="P925" s="364"/>
      <c r="Q925" s="364"/>
      <c r="R925" s="364"/>
      <c r="S925" s="364"/>
      <c r="T925" s="364"/>
      <c r="U925" s="364"/>
      <c r="V925" s="364"/>
      <c r="W925" s="364"/>
      <c r="X925" s="364"/>
      <c r="Y925" s="364"/>
      <c r="Z925" s="364"/>
    </row>
    <row r="926" spans="1:26" ht="15.75" customHeight="1" x14ac:dyDescent="0.25">
      <c r="A926" s="364"/>
      <c r="B926" s="364"/>
      <c r="C926" s="364"/>
      <c r="D926" s="364"/>
      <c r="E926" s="364"/>
      <c r="F926" s="364"/>
      <c r="G926" s="364"/>
      <c r="H926" s="364"/>
      <c r="I926" s="364"/>
      <c r="J926" s="364"/>
      <c r="K926" s="364"/>
      <c r="L926" s="364"/>
      <c r="M926" s="364"/>
      <c r="N926" s="364"/>
      <c r="O926" s="364"/>
      <c r="P926" s="364"/>
      <c r="Q926" s="364"/>
      <c r="R926" s="364"/>
      <c r="S926" s="364"/>
      <c r="T926" s="364"/>
      <c r="U926" s="364"/>
      <c r="V926" s="364"/>
      <c r="W926" s="364"/>
      <c r="X926" s="364"/>
      <c r="Y926" s="364"/>
      <c r="Z926" s="364"/>
    </row>
    <row r="927" spans="1:26" ht="15.75" customHeight="1" x14ac:dyDescent="0.25">
      <c r="A927" s="364"/>
      <c r="B927" s="364"/>
      <c r="C927" s="364"/>
      <c r="D927" s="364"/>
      <c r="E927" s="364"/>
      <c r="F927" s="364"/>
      <c r="G927" s="364"/>
      <c r="H927" s="364"/>
      <c r="I927" s="364"/>
      <c r="J927" s="364"/>
      <c r="K927" s="364"/>
      <c r="L927" s="364"/>
      <c r="M927" s="364"/>
      <c r="N927" s="364"/>
      <c r="O927" s="364"/>
      <c r="P927" s="364"/>
      <c r="Q927" s="364"/>
      <c r="R927" s="364"/>
      <c r="S927" s="364"/>
      <c r="T927" s="364"/>
      <c r="U927" s="364"/>
      <c r="V927" s="364"/>
      <c r="W927" s="364"/>
      <c r="X927" s="364"/>
      <c r="Y927" s="364"/>
      <c r="Z927" s="364"/>
    </row>
    <row r="928" spans="1:26" ht="15.75" customHeight="1" x14ac:dyDescent="0.25">
      <c r="A928" s="364"/>
      <c r="B928" s="364"/>
      <c r="C928" s="364"/>
      <c r="D928" s="364"/>
      <c r="E928" s="364"/>
      <c r="F928" s="364"/>
      <c r="G928" s="364"/>
      <c r="H928" s="364"/>
      <c r="I928" s="364"/>
      <c r="J928" s="364"/>
      <c r="K928" s="364"/>
      <c r="L928" s="364"/>
      <c r="M928" s="364"/>
      <c r="N928" s="364"/>
      <c r="O928" s="364"/>
      <c r="P928" s="364"/>
      <c r="Q928" s="364"/>
      <c r="R928" s="364"/>
      <c r="S928" s="364"/>
      <c r="T928" s="364"/>
      <c r="U928" s="364"/>
      <c r="V928" s="364"/>
      <c r="W928" s="364"/>
      <c r="X928" s="364"/>
      <c r="Y928" s="364"/>
      <c r="Z928" s="364"/>
    </row>
    <row r="929" spans="1:26" ht="15.75" customHeight="1" x14ac:dyDescent="0.25">
      <c r="A929" s="364"/>
      <c r="B929" s="364"/>
      <c r="C929" s="364"/>
      <c r="D929" s="364"/>
      <c r="E929" s="364"/>
      <c r="F929" s="364"/>
      <c r="G929" s="364"/>
      <c r="H929" s="364"/>
      <c r="I929" s="364"/>
      <c r="J929" s="364"/>
      <c r="K929" s="364"/>
      <c r="L929" s="364"/>
      <c r="M929" s="364"/>
      <c r="N929" s="364"/>
      <c r="O929" s="364"/>
      <c r="P929" s="364"/>
      <c r="Q929" s="364"/>
      <c r="R929" s="364"/>
      <c r="S929" s="364"/>
      <c r="T929" s="364"/>
      <c r="U929" s="364"/>
      <c r="V929" s="364"/>
      <c r="W929" s="364"/>
      <c r="X929" s="364"/>
      <c r="Y929" s="364"/>
      <c r="Z929" s="364"/>
    </row>
    <row r="930" spans="1:26" ht="15.75" customHeight="1" x14ac:dyDescent="0.25">
      <c r="A930" s="364"/>
      <c r="B930" s="364"/>
      <c r="C930" s="364"/>
      <c r="D930" s="364"/>
      <c r="E930" s="364"/>
      <c r="F930" s="364"/>
      <c r="G930" s="364"/>
      <c r="H930" s="364"/>
      <c r="I930" s="364"/>
      <c r="J930" s="364"/>
      <c r="K930" s="364"/>
      <c r="L930" s="364"/>
      <c r="M930" s="364"/>
      <c r="N930" s="364"/>
      <c r="O930" s="364"/>
      <c r="P930" s="364"/>
      <c r="Q930" s="364"/>
      <c r="R930" s="364"/>
      <c r="S930" s="364"/>
      <c r="T930" s="364"/>
      <c r="U930" s="364"/>
      <c r="V930" s="364"/>
      <c r="W930" s="364"/>
      <c r="X930" s="364"/>
      <c r="Y930" s="364"/>
      <c r="Z930" s="364"/>
    </row>
    <row r="931" spans="1:26" ht="15.75" customHeight="1" x14ac:dyDescent="0.25">
      <c r="A931" s="364"/>
      <c r="B931" s="364"/>
      <c r="C931" s="364"/>
      <c r="D931" s="364"/>
      <c r="E931" s="364"/>
      <c r="F931" s="364"/>
      <c r="G931" s="364"/>
      <c r="H931" s="364"/>
      <c r="I931" s="364"/>
      <c r="J931" s="364"/>
      <c r="K931" s="364"/>
      <c r="L931" s="364"/>
      <c r="M931" s="364"/>
      <c r="N931" s="364"/>
      <c r="O931" s="364"/>
      <c r="P931" s="364"/>
      <c r="Q931" s="364"/>
      <c r="R931" s="364"/>
      <c r="S931" s="364"/>
      <c r="T931" s="364"/>
      <c r="U931" s="364"/>
      <c r="V931" s="364"/>
      <c r="W931" s="364"/>
      <c r="X931" s="364"/>
      <c r="Y931" s="364"/>
      <c r="Z931" s="364"/>
    </row>
    <row r="932" spans="1:26" ht="15.75" customHeight="1" x14ac:dyDescent="0.25">
      <c r="A932" s="364"/>
      <c r="B932" s="364"/>
      <c r="C932" s="364"/>
      <c r="D932" s="364"/>
      <c r="E932" s="364"/>
      <c r="F932" s="364"/>
      <c r="G932" s="364"/>
      <c r="H932" s="364"/>
      <c r="I932" s="364"/>
      <c r="J932" s="364"/>
      <c r="K932" s="364"/>
      <c r="L932" s="364"/>
      <c r="M932" s="364"/>
      <c r="N932" s="364"/>
      <c r="O932" s="364"/>
      <c r="P932" s="364"/>
      <c r="Q932" s="364"/>
      <c r="R932" s="364"/>
      <c r="S932" s="364"/>
      <c r="T932" s="364"/>
      <c r="U932" s="364"/>
      <c r="V932" s="364"/>
      <c r="W932" s="364"/>
      <c r="X932" s="364"/>
      <c r="Y932" s="364"/>
      <c r="Z932" s="364"/>
    </row>
    <row r="933" spans="1:26" ht="15.75" customHeight="1" x14ac:dyDescent="0.25">
      <c r="A933" s="364"/>
      <c r="B933" s="364"/>
      <c r="C933" s="364"/>
      <c r="D933" s="364"/>
      <c r="E933" s="364"/>
      <c r="F933" s="364"/>
      <c r="G933" s="364"/>
      <c r="H933" s="364"/>
      <c r="I933" s="364"/>
      <c r="J933" s="364"/>
      <c r="K933" s="364"/>
      <c r="L933" s="364"/>
      <c r="M933" s="364"/>
      <c r="N933" s="364"/>
      <c r="O933" s="364"/>
      <c r="P933" s="364"/>
      <c r="Q933" s="364"/>
      <c r="R933" s="364"/>
      <c r="S933" s="364"/>
      <c r="T933" s="364"/>
      <c r="U933" s="364"/>
      <c r="V933" s="364"/>
      <c r="W933" s="364"/>
      <c r="X933" s="364"/>
      <c r="Y933" s="364"/>
      <c r="Z933" s="364"/>
    </row>
    <row r="934" spans="1:26" ht="15.75" customHeight="1" x14ac:dyDescent="0.25">
      <c r="A934" s="364"/>
      <c r="B934" s="364"/>
      <c r="C934" s="364"/>
      <c r="D934" s="364"/>
      <c r="E934" s="364"/>
      <c r="F934" s="364"/>
      <c r="G934" s="364"/>
      <c r="H934" s="364"/>
      <c r="I934" s="364"/>
      <c r="J934" s="364"/>
      <c r="K934" s="364"/>
      <c r="L934" s="364"/>
      <c r="M934" s="364"/>
      <c r="N934" s="364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</row>
    <row r="935" spans="1:26" ht="15.75" customHeight="1" x14ac:dyDescent="0.25">
      <c r="A935" s="364"/>
      <c r="B935" s="364"/>
      <c r="C935" s="364"/>
      <c r="D935" s="364"/>
      <c r="E935" s="364"/>
      <c r="F935" s="364"/>
      <c r="G935" s="364"/>
      <c r="H935" s="364"/>
      <c r="I935" s="364"/>
      <c r="J935" s="364"/>
      <c r="K935" s="364"/>
      <c r="L935" s="364"/>
      <c r="M935" s="364"/>
      <c r="N935" s="364"/>
      <c r="O935" s="364"/>
      <c r="P935" s="364"/>
      <c r="Q935" s="364"/>
      <c r="R935" s="364"/>
      <c r="S935" s="364"/>
      <c r="T935" s="364"/>
      <c r="U935" s="364"/>
      <c r="V935" s="364"/>
      <c r="W935" s="364"/>
      <c r="X935" s="364"/>
      <c r="Y935" s="364"/>
      <c r="Z935" s="364"/>
    </row>
    <row r="936" spans="1:26" ht="15.75" customHeight="1" x14ac:dyDescent="0.25">
      <c r="A936" s="364"/>
      <c r="B936" s="364"/>
      <c r="C936" s="364"/>
      <c r="D936" s="364"/>
      <c r="E936" s="364"/>
      <c r="F936" s="364"/>
      <c r="G936" s="364"/>
      <c r="H936" s="364"/>
      <c r="I936" s="364"/>
      <c r="J936" s="364"/>
      <c r="K936" s="364"/>
      <c r="L936" s="364"/>
      <c r="M936" s="364"/>
      <c r="N936" s="364"/>
      <c r="O936" s="364"/>
      <c r="P936" s="364"/>
      <c r="Q936" s="364"/>
      <c r="R936" s="364"/>
      <c r="S936" s="364"/>
      <c r="T936" s="364"/>
      <c r="U936" s="364"/>
      <c r="V936" s="364"/>
      <c r="W936" s="364"/>
      <c r="X936" s="364"/>
      <c r="Y936" s="364"/>
      <c r="Z936" s="364"/>
    </row>
    <row r="937" spans="1:26" ht="15.75" customHeight="1" x14ac:dyDescent="0.25">
      <c r="A937" s="364"/>
      <c r="B937" s="364"/>
      <c r="C937" s="364"/>
      <c r="D937" s="364"/>
      <c r="E937" s="364"/>
      <c r="F937" s="364"/>
      <c r="G937" s="364"/>
      <c r="H937" s="364"/>
      <c r="I937" s="364"/>
      <c r="J937" s="364"/>
      <c r="K937" s="364"/>
      <c r="L937" s="364"/>
      <c r="M937" s="364"/>
      <c r="N937" s="364"/>
      <c r="O937" s="364"/>
      <c r="P937" s="364"/>
      <c r="Q937" s="364"/>
      <c r="R937" s="364"/>
      <c r="S937" s="364"/>
      <c r="T937" s="364"/>
      <c r="U937" s="364"/>
      <c r="V937" s="364"/>
      <c r="W937" s="364"/>
      <c r="X937" s="364"/>
      <c r="Y937" s="364"/>
      <c r="Z937" s="364"/>
    </row>
    <row r="938" spans="1:26" ht="15.75" customHeight="1" x14ac:dyDescent="0.25">
      <c r="A938" s="364"/>
      <c r="B938" s="364"/>
      <c r="C938" s="364"/>
      <c r="D938" s="364"/>
      <c r="E938" s="364"/>
      <c r="F938" s="364"/>
      <c r="G938" s="364"/>
      <c r="H938" s="364"/>
      <c r="I938" s="364"/>
      <c r="J938" s="364"/>
      <c r="K938" s="364"/>
      <c r="L938" s="364"/>
      <c r="M938" s="364"/>
      <c r="N938" s="364"/>
      <c r="O938" s="364"/>
      <c r="P938" s="364"/>
      <c r="Q938" s="364"/>
      <c r="R938" s="364"/>
      <c r="S938" s="364"/>
      <c r="T938" s="364"/>
      <c r="U938" s="364"/>
      <c r="V938" s="364"/>
      <c r="W938" s="364"/>
      <c r="X938" s="364"/>
      <c r="Y938" s="364"/>
      <c r="Z938" s="364"/>
    </row>
    <row r="939" spans="1:26" ht="15.75" customHeight="1" x14ac:dyDescent="0.25">
      <c r="A939" s="364"/>
      <c r="B939" s="364"/>
      <c r="C939" s="364"/>
      <c r="D939" s="364"/>
      <c r="E939" s="364"/>
      <c r="F939" s="364"/>
      <c r="G939" s="364"/>
      <c r="H939" s="364"/>
      <c r="I939" s="364"/>
      <c r="J939" s="364"/>
      <c r="K939" s="364"/>
      <c r="L939" s="364"/>
      <c r="M939" s="364"/>
      <c r="N939" s="364"/>
      <c r="O939" s="364"/>
      <c r="P939" s="364"/>
      <c r="Q939" s="364"/>
      <c r="R939" s="364"/>
      <c r="S939" s="364"/>
      <c r="T939" s="364"/>
      <c r="U939" s="364"/>
      <c r="V939" s="364"/>
      <c r="W939" s="364"/>
      <c r="X939" s="364"/>
      <c r="Y939" s="364"/>
      <c r="Z939" s="364"/>
    </row>
    <row r="940" spans="1:26" ht="15.75" customHeight="1" x14ac:dyDescent="0.25">
      <c r="A940" s="364"/>
      <c r="B940" s="364"/>
      <c r="C940" s="364"/>
      <c r="D940" s="364"/>
      <c r="E940" s="364"/>
      <c r="F940" s="364"/>
      <c r="G940" s="364"/>
      <c r="H940" s="364"/>
      <c r="I940" s="364"/>
      <c r="J940" s="364"/>
      <c r="K940" s="364"/>
      <c r="L940" s="364"/>
      <c r="M940" s="364"/>
      <c r="N940" s="364"/>
      <c r="O940" s="364"/>
      <c r="P940" s="364"/>
      <c r="Q940" s="364"/>
      <c r="R940" s="364"/>
      <c r="S940" s="364"/>
      <c r="T940" s="364"/>
      <c r="U940" s="364"/>
      <c r="V940" s="364"/>
      <c r="W940" s="364"/>
      <c r="X940" s="364"/>
      <c r="Y940" s="364"/>
      <c r="Z940" s="364"/>
    </row>
    <row r="941" spans="1:26" ht="15.75" customHeight="1" x14ac:dyDescent="0.25">
      <c r="A941" s="364"/>
      <c r="B941" s="364"/>
      <c r="C941" s="364"/>
      <c r="D941" s="364"/>
      <c r="E941" s="364"/>
      <c r="F941" s="364"/>
      <c r="G941" s="364"/>
      <c r="H941" s="364"/>
      <c r="I941" s="364"/>
      <c r="J941" s="364"/>
      <c r="K941" s="364"/>
      <c r="L941" s="364"/>
      <c r="M941" s="364"/>
      <c r="N941" s="364"/>
      <c r="O941" s="364"/>
      <c r="P941" s="364"/>
      <c r="Q941" s="364"/>
      <c r="R941" s="364"/>
      <c r="S941" s="364"/>
      <c r="T941" s="364"/>
      <c r="U941" s="364"/>
      <c r="V941" s="364"/>
      <c r="W941" s="364"/>
      <c r="X941" s="364"/>
      <c r="Y941" s="364"/>
      <c r="Z941" s="364"/>
    </row>
    <row r="942" spans="1:26" ht="15.75" customHeight="1" x14ac:dyDescent="0.25">
      <c r="A942" s="364"/>
      <c r="B942" s="364"/>
      <c r="C942" s="364"/>
      <c r="D942" s="364"/>
      <c r="E942" s="364"/>
      <c r="F942" s="364"/>
      <c r="G942" s="364"/>
      <c r="H942" s="364"/>
      <c r="I942" s="364"/>
      <c r="J942" s="364"/>
      <c r="K942" s="364"/>
      <c r="L942" s="364"/>
      <c r="M942" s="364"/>
      <c r="N942" s="364"/>
      <c r="O942" s="364"/>
      <c r="P942" s="364"/>
      <c r="Q942" s="364"/>
      <c r="R942" s="364"/>
      <c r="S942" s="364"/>
      <c r="T942" s="364"/>
      <c r="U942" s="364"/>
      <c r="V942" s="364"/>
      <c r="W942" s="364"/>
      <c r="X942" s="364"/>
      <c r="Y942" s="364"/>
      <c r="Z942" s="364"/>
    </row>
    <row r="943" spans="1:26" ht="15.75" customHeight="1" x14ac:dyDescent="0.25">
      <c r="A943" s="364"/>
      <c r="B943" s="364"/>
      <c r="C943" s="364"/>
      <c r="D943" s="364"/>
      <c r="E943" s="364"/>
      <c r="F943" s="364"/>
      <c r="G943" s="364"/>
      <c r="H943" s="364"/>
      <c r="I943" s="364"/>
      <c r="J943" s="364"/>
      <c r="K943" s="364"/>
      <c r="L943" s="364"/>
      <c r="M943" s="364"/>
      <c r="N943" s="364"/>
      <c r="O943" s="364"/>
      <c r="P943" s="364"/>
      <c r="Q943" s="364"/>
      <c r="R943" s="364"/>
      <c r="S943" s="364"/>
      <c r="T943" s="364"/>
      <c r="U943" s="364"/>
      <c r="V943" s="364"/>
      <c r="W943" s="364"/>
      <c r="X943" s="364"/>
      <c r="Y943" s="364"/>
      <c r="Z943" s="364"/>
    </row>
    <row r="944" spans="1:26" ht="15.75" customHeight="1" x14ac:dyDescent="0.25">
      <c r="A944" s="364"/>
      <c r="B944" s="364"/>
      <c r="C944" s="364"/>
      <c r="D944" s="364"/>
      <c r="E944" s="364"/>
      <c r="F944" s="364"/>
      <c r="G944" s="364"/>
      <c r="H944" s="364"/>
      <c r="I944" s="364"/>
      <c r="J944" s="364"/>
      <c r="K944" s="364"/>
      <c r="L944" s="364"/>
      <c r="M944" s="364"/>
      <c r="N944" s="364"/>
      <c r="O944" s="364"/>
      <c r="P944" s="364"/>
      <c r="Q944" s="364"/>
      <c r="R944" s="364"/>
      <c r="S944" s="364"/>
      <c r="T944" s="364"/>
      <c r="U944" s="364"/>
      <c r="V944" s="364"/>
      <c r="W944" s="364"/>
      <c r="X944" s="364"/>
      <c r="Y944" s="364"/>
      <c r="Z944" s="364"/>
    </row>
    <row r="945" spans="1:26" ht="15.75" customHeight="1" x14ac:dyDescent="0.25">
      <c r="A945" s="364"/>
      <c r="B945" s="364"/>
      <c r="C945" s="364"/>
      <c r="D945" s="364"/>
      <c r="E945" s="364"/>
      <c r="F945" s="364"/>
      <c r="G945" s="364"/>
      <c r="H945" s="364"/>
      <c r="I945" s="364"/>
      <c r="J945" s="364"/>
      <c r="K945" s="364"/>
      <c r="L945" s="364"/>
      <c r="M945" s="364"/>
      <c r="N945" s="364"/>
      <c r="O945" s="364"/>
      <c r="P945" s="364"/>
      <c r="Q945" s="364"/>
      <c r="R945" s="364"/>
      <c r="S945" s="364"/>
      <c r="T945" s="364"/>
      <c r="U945" s="364"/>
      <c r="V945" s="364"/>
      <c r="W945" s="364"/>
      <c r="X945" s="364"/>
      <c r="Y945" s="364"/>
      <c r="Z945" s="364"/>
    </row>
    <row r="946" spans="1:26" ht="15.75" customHeight="1" x14ac:dyDescent="0.25">
      <c r="A946" s="364"/>
      <c r="B946" s="364"/>
      <c r="C946" s="364"/>
      <c r="D946" s="364"/>
      <c r="E946" s="364"/>
      <c r="F946" s="364"/>
      <c r="G946" s="364"/>
      <c r="H946" s="364"/>
      <c r="I946" s="364"/>
      <c r="J946" s="364"/>
      <c r="K946" s="364"/>
      <c r="L946" s="364"/>
      <c r="M946" s="364"/>
      <c r="N946" s="364"/>
      <c r="O946" s="364"/>
      <c r="P946" s="364"/>
      <c r="Q946" s="364"/>
      <c r="R946" s="364"/>
      <c r="S946" s="364"/>
      <c r="T946" s="364"/>
      <c r="U946" s="364"/>
      <c r="V946" s="364"/>
      <c r="W946" s="364"/>
      <c r="X946" s="364"/>
      <c r="Y946" s="364"/>
      <c r="Z946" s="364"/>
    </row>
    <row r="947" spans="1:26" ht="15.75" customHeight="1" x14ac:dyDescent="0.25">
      <c r="A947" s="364"/>
      <c r="B947" s="364"/>
      <c r="C947" s="364"/>
      <c r="D947" s="364"/>
      <c r="E947" s="364"/>
      <c r="F947" s="364"/>
      <c r="G947" s="364"/>
      <c r="H947" s="364"/>
      <c r="I947" s="364"/>
      <c r="J947" s="364"/>
      <c r="K947" s="364"/>
      <c r="L947" s="364"/>
      <c r="M947" s="364"/>
      <c r="N947" s="364"/>
      <c r="O947" s="364"/>
      <c r="P947" s="364"/>
      <c r="Q947" s="364"/>
      <c r="R947" s="364"/>
      <c r="S947" s="364"/>
      <c r="T947" s="364"/>
      <c r="U947" s="364"/>
      <c r="V947" s="364"/>
      <c r="W947" s="364"/>
      <c r="X947" s="364"/>
      <c r="Y947" s="364"/>
      <c r="Z947" s="364"/>
    </row>
    <row r="948" spans="1:26" ht="15.75" customHeight="1" x14ac:dyDescent="0.25">
      <c r="A948" s="364"/>
      <c r="B948" s="364"/>
      <c r="C948" s="364"/>
      <c r="D948" s="364"/>
      <c r="E948" s="364"/>
      <c r="F948" s="364"/>
      <c r="G948" s="364"/>
      <c r="H948" s="364"/>
      <c r="I948" s="364"/>
      <c r="J948" s="364"/>
      <c r="K948" s="364"/>
      <c r="L948" s="364"/>
      <c r="M948" s="364"/>
      <c r="N948" s="364"/>
      <c r="O948" s="364"/>
      <c r="P948" s="364"/>
      <c r="Q948" s="364"/>
      <c r="R948" s="364"/>
      <c r="S948" s="364"/>
      <c r="T948" s="364"/>
      <c r="U948" s="364"/>
      <c r="V948" s="364"/>
      <c r="W948" s="364"/>
      <c r="X948" s="364"/>
      <c r="Y948" s="364"/>
      <c r="Z948" s="364"/>
    </row>
    <row r="949" spans="1:26" ht="15.75" customHeight="1" x14ac:dyDescent="0.25">
      <c r="A949" s="364"/>
      <c r="B949" s="364"/>
      <c r="C949" s="364"/>
      <c r="D949" s="364"/>
      <c r="E949" s="364"/>
      <c r="F949" s="364"/>
      <c r="G949" s="364"/>
      <c r="H949" s="364"/>
      <c r="I949" s="364"/>
      <c r="J949" s="364"/>
      <c r="K949" s="364"/>
      <c r="L949" s="364"/>
      <c r="M949" s="364"/>
      <c r="N949" s="364"/>
      <c r="O949" s="364"/>
      <c r="P949" s="364"/>
      <c r="Q949" s="364"/>
      <c r="R949" s="364"/>
      <c r="S949" s="364"/>
      <c r="T949" s="364"/>
      <c r="U949" s="364"/>
      <c r="V949" s="364"/>
      <c r="W949" s="364"/>
      <c r="X949" s="364"/>
      <c r="Y949" s="364"/>
      <c r="Z949" s="364"/>
    </row>
    <row r="950" spans="1:26" ht="15.75" customHeight="1" x14ac:dyDescent="0.25">
      <c r="A950" s="364"/>
      <c r="B950" s="364"/>
      <c r="C950" s="364"/>
      <c r="D950" s="364"/>
      <c r="E950" s="364"/>
      <c r="F950" s="364"/>
      <c r="G950" s="364"/>
      <c r="H950" s="364"/>
      <c r="I950" s="364"/>
      <c r="J950" s="364"/>
      <c r="K950" s="364"/>
      <c r="L950" s="364"/>
      <c r="M950" s="364"/>
      <c r="N950" s="364"/>
      <c r="O950" s="364"/>
      <c r="P950" s="364"/>
      <c r="Q950" s="364"/>
      <c r="R950" s="364"/>
      <c r="S950" s="364"/>
      <c r="T950" s="364"/>
      <c r="U950" s="364"/>
      <c r="V950" s="364"/>
      <c r="W950" s="364"/>
      <c r="X950" s="364"/>
      <c r="Y950" s="364"/>
      <c r="Z950" s="364"/>
    </row>
    <row r="951" spans="1:26" ht="15.75" customHeight="1" x14ac:dyDescent="0.25">
      <c r="A951" s="364"/>
      <c r="B951" s="364"/>
      <c r="C951" s="364"/>
      <c r="D951" s="364"/>
      <c r="E951" s="364"/>
      <c r="F951" s="364"/>
      <c r="G951" s="364"/>
      <c r="H951" s="364"/>
      <c r="I951" s="364"/>
      <c r="J951" s="364"/>
      <c r="K951" s="364"/>
      <c r="L951" s="364"/>
      <c r="M951" s="364"/>
      <c r="N951" s="364"/>
      <c r="O951" s="364"/>
      <c r="P951" s="364"/>
      <c r="Q951" s="364"/>
      <c r="R951" s="364"/>
      <c r="S951" s="364"/>
      <c r="T951" s="364"/>
      <c r="U951" s="364"/>
      <c r="V951" s="364"/>
      <c r="W951" s="364"/>
      <c r="X951" s="364"/>
      <c r="Y951" s="364"/>
      <c r="Z951" s="364"/>
    </row>
    <row r="952" spans="1:26" ht="15.75" customHeight="1" x14ac:dyDescent="0.25">
      <c r="A952" s="364"/>
      <c r="B952" s="364"/>
      <c r="C952" s="364"/>
      <c r="D952" s="364"/>
      <c r="E952" s="364"/>
      <c r="F952" s="364"/>
      <c r="G952" s="364"/>
      <c r="H952" s="364"/>
      <c r="I952" s="364"/>
      <c r="J952" s="364"/>
      <c r="K952" s="364"/>
      <c r="L952" s="364"/>
      <c r="M952" s="364"/>
      <c r="N952" s="364"/>
      <c r="O952" s="364"/>
      <c r="P952" s="364"/>
      <c r="Q952" s="364"/>
      <c r="R952" s="364"/>
      <c r="S952" s="364"/>
      <c r="T952" s="364"/>
      <c r="U952" s="364"/>
      <c r="V952" s="364"/>
      <c r="W952" s="364"/>
      <c r="X952" s="364"/>
      <c r="Y952" s="364"/>
      <c r="Z952" s="364"/>
    </row>
    <row r="953" spans="1:26" ht="15.75" customHeight="1" x14ac:dyDescent="0.25">
      <c r="A953" s="364"/>
      <c r="B953" s="364"/>
      <c r="C953" s="364"/>
      <c r="D953" s="364"/>
      <c r="E953" s="364"/>
      <c r="F953" s="364"/>
      <c r="G953" s="364"/>
      <c r="H953" s="364"/>
      <c r="I953" s="364"/>
      <c r="J953" s="364"/>
      <c r="K953" s="364"/>
      <c r="L953" s="364"/>
      <c r="M953" s="364"/>
      <c r="N953" s="364"/>
      <c r="O953" s="364"/>
      <c r="P953" s="364"/>
      <c r="Q953" s="364"/>
      <c r="R953" s="364"/>
      <c r="S953" s="364"/>
      <c r="T953" s="364"/>
      <c r="U953" s="364"/>
      <c r="V953" s="364"/>
      <c r="W953" s="364"/>
      <c r="X953" s="364"/>
      <c r="Y953" s="364"/>
      <c r="Z953" s="364"/>
    </row>
    <row r="954" spans="1:26" ht="15.75" customHeight="1" x14ac:dyDescent="0.25">
      <c r="A954" s="364"/>
      <c r="B954" s="364"/>
      <c r="C954" s="364"/>
      <c r="D954" s="364"/>
      <c r="E954" s="364"/>
      <c r="F954" s="364"/>
      <c r="G954" s="364"/>
      <c r="H954" s="364"/>
      <c r="I954" s="364"/>
      <c r="J954" s="364"/>
      <c r="K954" s="364"/>
      <c r="L954" s="364"/>
      <c r="M954" s="364"/>
      <c r="N954" s="364"/>
      <c r="O954" s="364"/>
      <c r="P954" s="364"/>
      <c r="Q954" s="364"/>
      <c r="R954" s="364"/>
      <c r="S954" s="364"/>
      <c r="T954" s="364"/>
      <c r="U954" s="364"/>
      <c r="V954" s="364"/>
      <c r="W954" s="364"/>
      <c r="X954" s="364"/>
      <c r="Y954" s="364"/>
      <c r="Z954" s="364"/>
    </row>
    <row r="955" spans="1:26" ht="15.75" customHeight="1" x14ac:dyDescent="0.25">
      <c r="A955" s="364"/>
      <c r="B955" s="364"/>
      <c r="C955" s="364"/>
      <c r="D955" s="364"/>
      <c r="E955" s="364"/>
      <c r="F955" s="364"/>
      <c r="G955" s="364"/>
      <c r="H955" s="364"/>
      <c r="I955" s="364"/>
      <c r="J955" s="364"/>
      <c r="K955" s="364"/>
      <c r="L955" s="364"/>
      <c r="M955" s="364"/>
      <c r="N955" s="364"/>
      <c r="O955" s="364"/>
      <c r="P955" s="364"/>
      <c r="Q955" s="364"/>
      <c r="R955" s="364"/>
      <c r="S955" s="364"/>
      <c r="T955" s="364"/>
      <c r="U955" s="364"/>
      <c r="V955" s="364"/>
      <c r="W955" s="364"/>
      <c r="X955" s="364"/>
      <c r="Y955" s="364"/>
      <c r="Z955" s="364"/>
    </row>
    <row r="956" spans="1:26" ht="15.75" customHeight="1" x14ac:dyDescent="0.25">
      <c r="A956" s="364"/>
      <c r="B956" s="364"/>
      <c r="C956" s="364"/>
      <c r="D956" s="364"/>
      <c r="E956" s="364"/>
      <c r="F956" s="364"/>
      <c r="G956" s="364"/>
      <c r="H956" s="364"/>
      <c r="I956" s="364"/>
      <c r="J956" s="364"/>
      <c r="K956" s="364"/>
      <c r="L956" s="364"/>
      <c r="M956" s="364"/>
      <c r="N956" s="364"/>
      <c r="O956" s="364"/>
      <c r="P956" s="364"/>
      <c r="Q956" s="364"/>
      <c r="R956" s="364"/>
      <c r="S956" s="364"/>
      <c r="T956" s="364"/>
      <c r="U956" s="364"/>
      <c r="V956" s="364"/>
      <c r="W956" s="364"/>
      <c r="X956" s="364"/>
      <c r="Y956" s="364"/>
      <c r="Z956" s="364"/>
    </row>
    <row r="957" spans="1:26" ht="15.75" customHeight="1" x14ac:dyDescent="0.25">
      <c r="A957" s="364"/>
      <c r="B957" s="364"/>
      <c r="C957" s="364"/>
      <c r="D957" s="364"/>
      <c r="E957" s="364"/>
      <c r="F957" s="364"/>
      <c r="G957" s="364"/>
      <c r="H957" s="364"/>
      <c r="I957" s="364"/>
      <c r="J957" s="364"/>
      <c r="K957" s="364"/>
      <c r="L957" s="364"/>
      <c r="M957" s="364"/>
      <c r="N957" s="364"/>
      <c r="O957" s="364"/>
      <c r="P957" s="364"/>
      <c r="Q957" s="364"/>
      <c r="R957" s="364"/>
      <c r="S957" s="364"/>
      <c r="T957" s="364"/>
      <c r="U957" s="364"/>
      <c r="V957" s="364"/>
      <c r="W957" s="364"/>
      <c r="X957" s="364"/>
      <c r="Y957" s="364"/>
      <c r="Z957" s="364"/>
    </row>
    <row r="958" spans="1:26" ht="15.75" customHeight="1" x14ac:dyDescent="0.25">
      <c r="A958" s="364"/>
      <c r="B958" s="364"/>
      <c r="C958" s="364"/>
      <c r="D958" s="364"/>
      <c r="E958" s="364"/>
      <c r="F958" s="364"/>
      <c r="G958" s="364"/>
      <c r="H958" s="364"/>
      <c r="I958" s="364"/>
      <c r="J958" s="364"/>
      <c r="K958" s="364"/>
      <c r="L958" s="364"/>
      <c r="M958" s="364"/>
      <c r="N958" s="364"/>
      <c r="O958" s="364"/>
      <c r="P958" s="364"/>
      <c r="Q958" s="364"/>
      <c r="R958" s="364"/>
      <c r="S958" s="364"/>
      <c r="T958" s="364"/>
      <c r="U958" s="364"/>
      <c r="V958" s="364"/>
      <c r="W958" s="364"/>
      <c r="X958" s="364"/>
      <c r="Y958" s="364"/>
      <c r="Z958" s="364"/>
    </row>
    <row r="959" spans="1:26" ht="15.75" customHeight="1" x14ac:dyDescent="0.25">
      <c r="A959" s="364"/>
      <c r="B959" s="364"/>
      <c r="C959" s="364"/>
      <c r="D959" s="364"/>
      <c r="E959" s="364"/>
      <c r="F959" s="364"/>
      <c r="G959" s="364"/>
      <c r="H959" s="364"/>
      <c r="I959" s="364"/>
      <c r="J959" s="364"/>
      <c r="K959" s="364"/>
      <c r="L959" s="364"/>
      <c r="M959" s="364"/>
      <c r="N959" s="364"/>
      <c r="O959" s="364"/>
      <c r="P959" s="364"/>
      <c r="Q959" s="364"/>
      <c r="R959" s="364"/>
      <c r="S959" s="364"/>
      <c r="T959" s="364"/>
      <c r="U959" s="364"/>
      <c r="V959" s="364"/>
      <c r="W959" s="364"/>
      <c r="X959" s="364"/>
      <c r="Y959" s="364"/>
      <c r="Z959" s="364"/>
    </row>
    <row r="960" spans="1:26" ht="15.75" customHeight="1" x14ac:dyDescent="0.25">
      <c r="A960" s="364"/>
      <c r="B960" s="364"/>
      <c r="C960" s="364"/>
      <c r="D960" s="364"/>
      <c r="E960" s="364"/>
      <c r="F960" s="364"/>
      <c r="G960" s="364"/>
      <c r="H960" s="364"/>
      <c r="I960" s="364"/>
      <c r="J960" s="364"/>
      <c r="K960" s="364"/>
      <c r="L960" s="364"/>
      <c r="M960" s="364"/>
      <c r="N960" s="364"/>
      <c r="O960" s="364"/>
      <c r="P960" s="364"/>
      <c r="Q960" s="364"/>
      <c r="R960" s="364"/>
      <c r="S960" s="364"/>
      <c r="T960" s="364"/>
      <c r="U960" s="364"/>
      <c r="V960" s="364"/>
      <c r="W960" s="364"/>
      <c r="X960" s="364"/>
      <c r="Y960" s="364"/>
      <c r="Z960" s="364"/>
    </row>
    <row r="961" spans="1:26" ht="15.75" customHeight="1" x14ac:dyDescent="0.25">
      <c r="A961" s="364"/>
      <c r="B961" s="364"/>
      <c r="C961" s="364"/>
      <c r="D961" s="364"/>
      <c r="E961" s="364"/>
      <c r="F961" s="364"/>
      <c r="G961" s="364"/>
      <c r="H961" s="364"/>
      <c r="I961" s="364"/>
      <c r="J961" s="364"/>
      <c r="K961" s="364"/>
      <c r="L961" s="364"/>
      <c r="M961" s="364"/>
      <c r="N961" s="364"/>
      <c r="O961" s="364"/>
      <c r="P961" s="364"/>
      <c r="Q961" s="364"/>
      <c r="R961" s="364"/>
      <c r="S961" s="364"/>
      <c r="T961" s="364"/>
      <c r="U961" s="364"/>
      <c r="V961" s="364"/>
      <c r="W961" s="364"/>
      <c r="X961" s="364"/>
      <c r="Y961" s="364"/>
      <c r="Z961" s="364"/>
    </row>
    <row r="962" spans="1:26" ht="15.75" customHeight="1" x14ac:dyDescent="0.25">
      <c r="A962" s="364"/>
      <c r="B962" s="364"/>
      <c r="C962" s="364"/>
      <c r="D962" s="364"/>
      <c r="E962" s="364"/>
      <c r="F962" s="364"/>
      <c r="G962" s="364"/>
      <c r="H962" s="364"/>
      <c r="I962" s="364"/>
      <c r="J962" s="364"/>
      <c r="K962" s="364"/>
      <c r="L962" s="364"/>
      <c r="M962" s="364"/>
      <c r="N962" s="364"/>
      <c r="O962" s="364"/>
      <c r="P962" s="364"/>
      <c r="Q962" s="364"/>
      <c r="R962" s="364"/>
      <c r="S962" s="364"/>
      <c r="T962" s="364"/>
      <c r="U962" s="364"/>
      <c r="V962" s="364"/>
      <c r="W962" s="364"/>
      <c r="X962" s="364"/>
      <c r="Y962" s="364"/>
      <c r="Z962" s="364"/>
    </row>
    <row r="963" spans="1:26" ht="15.75" customHeight="1" x14ac:dyDescent="0.25">
      <c r="A963" s="364"/>
      <c r="B963" s="364"/>
      <c r="C963" s="364"/>
      <c r="D963" s="364"/>
      <c r="E963" s="364"/>
      <c r="F963" s="364"/>
      <c r="G963" s="364"/>
      <c r="H963" s="364"/>
      <c r="I963" s="364"/>
      <c r="J963" s="364"/>
      <c r="K963" s="364"/>
      <c r="L963" s="364"/>
      <c r="M963" s="364"/>
      <c r="N963" s="364"/>
      <c r="O963" s="364"/>
      <c r="P963" s="364"/>
      <c r="Q963" s="364"/>
      <c r="R963" s="364"/>
      <c r="S963" s="364"/>
      <c r="T963" s="364"/>
      <c r="U963" s="364"/>
      <c r="V963" s="364"/>
      <c r="W963" s="364"/>
      <c r="X963" s="364"/>
      <c r="Y963" s="364"/>
      <c r="Z963" s="364"/>
    </row>
    <row r="964" spans="1:26" ht="15.75" customHeight="1" x14ac:dyDescent="0.25">
      <c r="A964" s="364"/>
      <c r="B964" s="364"/>
      <c r="C964" s="364"/>
      <c r="D964" s="364"/>
      <c r="E964" s="364"/>
      <c r="F964" s="364"/>
      <c r="G964" s="364"/>
      <c r="H964" s="364"/>
      <c r="I964" s="364"/>
      <c r="J964" s="364"/>
      <c r="K964" s="364"/>
      <c r="L964" s="364"/>
      <c r="M964" s="364"/>
      <c r="N964" s="364"/>
      <c r="O964" s="364"/>
      <c r="P964" s="364"/>
      <c r="Q964" s="364"/>
      <c r="R964" s="364"/>
      <c r="S964" s="364"/>
      <c r="T964" s="364"/>
      <c r="U964" s="364"/>
      <c r="V964" s="364"/>
      <c r="W964" s="364"/>
      <c r="X964" s="364"/>
      <c r="Y964" s="364"/>
      <c r="Z964" s="364"/>
    </row>
    <row r="965" spans="1:26" ht="15.75" customHeight="1" x14ac:dyDescent="0.25">
      <c r="A965" s="364"/>
      <c r="B965" s="364"/>
      <c r="C965" s="364"/>
      <c r="D965" s="364"/>
      <c r="E965" s="364"/>
      <c r="F965" s="364"/>
      <c r="G965" s="364"/>
      <c r="H965" s="364"/>
      <c r="I965" s="364"/>
      <c r="J965" s="364"/>
      <c r="K965" s="364"/>
      <c r="L965" s="364"/>
      <c r="M965" s="364"/>
      <c r="N965" s="364"/>
      <c r="O965" s="364"/>
      <c r="P965" s="364"/>
      <c r="Q965" s="364"/>
      <c r="R965" s="364"/>
      <c r="S965" s="364"/>
      <c r="T965" s="364"/>
      <c r="U965" s="364"/>
      <c r="V965" s="364"/>
      <c r="W965" s="364"/>
      <c r="X965" s="364"/>
      <c r="Y965" s="364"/>
      <c r="Z965" s="364"/>
    </row>
    <row r="966" spans="1:26" ht="15.75" customHeight="1" x14ac:dyDescent="0.25">
      <c r="A966" s="364"/>
      <c r="B966" s="364"/>
      <c r="C966" s="364"/>
      <c r="D966" s="364"/>
      <c r="E966" s="364"/>
      <c r="F966" s="364"/>
      <c r="G966" s="364"/>
      <c r="H966" s="364"/>
      <c r="I966" s="364"/>
      <c r="J966" s="364"/>
      <c r="K966" s="364"/>
      <c r="L966" s="364"/>
      <c r="M966" s="364"/>
      <c r="N966" s="364"/>
      <c r="O966" s="364"/>
      <c r="P966" s="364"/>
      <c r="Q966" s="364"/>
      <c r="R966" s="364"/>
      <c r="S966" s="364"/>
      <c r="T966" s="364"/>
      <c r="U966" s="364"/>
      <c r="V966" s="364"/>
      <c r="W966" s="364"/>
      <c r="X966" s="364"/>
      <c r="Y966" s="364"/>
      <c r="Z966" s="364"/>
    </row>
    <row r="967" spans="1:26" ht="15.75" customHeight="1" x14ac:dyDescent="0.25">
      <c r="A967" s="364"/>
      <c r="B967" s="364"/>
      <c r="C967" s="364"/>
      <c r="D967" s="364"/>
      <c r="E967" s="364"/>
      <c r="F967" s="364"/>
      <c r="G967" s="364"/>
      <c r="H967" s="364"/>
      <c r="I967" s="364"/>
      <c r="J967" s="364"/>
      <c r="K967" s="364"/>
      <c r="L967" s="364"/>
      <c r="M967" s="364"/>
      <c r="N967" s="364"/>
      <c r="O967" s="364"/>
      <c r="P967" s="364"/>
      <c r="Q967" s="364"/>
      <c r="R967" s="364"/>
      <c r="S967" s="364"/>
      <c r="T967" s="364"/>
      <c r="U967" s="364"/>
      <c r="V967" s="364"/>
      <c r="W967" s="364"/>
      <c r="X967" s="364"/>
      <c r="Y967" s="364"/>
      <c r="Z967" s="364"/>
    </row>
    <row r="968" spans="1:26" ht="15.75" customHeight="1" x14ac:dyDescent="0.25">
      <c r="A968" s="364"/>
      <c r="B968" s="364"/>
      <c r="C968" s="364"/>
      <c r="D968" s="364"/>
      <c r="E968" s="364"/>
      <c r="F968" s="364"/>
      <c r="G968" s="364"/>
      <c r="H968" s="364"/>
      <c r="I968" s="364"/>
      <c r="J968" s="364"/>
      <c r="K968" s="364"/>
      <c r="L968" s="364"/>
      <c r="M968" s="364"/>
      <c r="N968" s="364"/>
      <c r="O968" s="364"/>
      <c r="P968" s="364"/>
      <c r="Q968" s="364"/>
      <c r="R968" s="364"/>
      <c r="S968" s="364"/>
      <c r="T968" s="364"/>
      <c r="U968" s="364"/>
      <c r="V968" s="364"/>
      <c r="W968" s="364"/>
      <c r="X968" s="364"/>
      <c r="Y968" s="364"/>
      <c r="Z968" s="364"/>
    </row>
    <row r="969" spans="1:26" ht="15.75" customHeight="1" x14ac:dyDescent="0.25">
      <c r="A969" s="364"/>
      <c r="B969" s="364"/>
      <c r="C969" s="364"/>
      <c r="D969" s="364"/>
      <c r="E969" s="364"/>
      <c r="F969" s="364"/>
      <c r="G969" s="364"/>
      <c r="H969" s="364"/>
      <c r="I969" s="364"/>
      <c r="J969" s="364"/>
      <c r="K969" s="364"/>
      <c r="L969" s="364"/>
      <c r="M969" s="364"/>
      <c r="N969" s="364"/>
      <c r="O969" s="364"/>
      <c r="P969" s="364"/>
      <c r="Q969" s="364"/>
      <c r="R969" s="364"/>
      <c r="S969" s="364"/>
      <c r="T969" s="364"/>
      <c r="U969" s="364"/>
      <c r="V969" s="364"/>
      <c r="W969" s="364"/>
      <c r="X969" s="364"/>
      <c r="Y969" s="364"/>
      <c r="Z969" s="364"/>
    </row>
    <row r="970" spans="1:26" ht="15.75" customHeight="1" x14ac:dyDescent="0.25">
      <c r="A970" s="364"/>
      <c r="B970" s="364"/>
      <c r="C970" s="364"/>
      <c r="D970" s="364"/>
      <c r="E970" s="364"/>
      <c r="F970" s="364"/>
      <c r="G970" s="364"/>
      <c r="H970" s="364"/>
      <c r="I970" s="364"/>
      <c r="J970" s="364"/>
      <c r="K970" s="364"/>
      <c r="L970" s="364"/>
      <c r="M970" s="364"/>
      <c r="N970" s="364"/>
      <c r="O970" s="364"/>
      <c r="P970" s="364"/>
      <c r="Q970" s="364"/>
      <c r="R970" s="364"/>
      <c r="S970" s="364"/>
      <c r="T970" s="364"/>
      <c r="U970" s="364"/>
      <c r="V970" s="364"/>
      <c r="W970" s="364"/>
      <c r="X970" s="364"/>
      <c r="Y970" s="364"/>
      <c r="Z970" s="364"/>
    </row>
    <row r="971" spans="1:26" ht="15.75" customHeight="1" x14ac:dyDescent="0.25">
      <c r="A971" s="364"/>
      <c r="B971" s="364"/>
      <c r="C971" s="364"/>
      <c r="D971" s="364"/>
      <c r="E971" s="364"/>
      <c r="F971" s="364"/>
      <c r="G971" s="364"/>
      <c r="H971" s="364"/>
      <c r="I971" s="364"/>
      <c r="J971" s="364"/>
      <c r="K971" s="364"/>
      <c r="L971" s="364"/>
      <c r="M971" s="364"/>
      <c r="N971" s="364"/>
      <c r="O971" s="364"/>
      <c r="P971" s="364"/>
      <c r="Q971" s="364"/>
      <c r="R971" s="364"/>
      <c r="S971" s="364"/>
      <c r="T971" s="364"/>
      <c r="U971" s="364"/>
      <c r="V971" s="364"/>
      <c r="W971" s="364"/>
      <c r="X971" s="364"/>
      <c r="Y971" s="364"/>
      <c r="Z971" s="364"/>
    </row>
    <row r="972" spans="1:26" ht="15.75" customHeight="1" x14ac:dyDescent="0.25">
      <c r="A972" s="364"/>
      <c r="B972" s="364"/>
      <c r="C972" s="364"/>
      <c r="D972" s="364"/>
      <c r="E972" s="364"/>
      <c r="F972" s="364"/>
      <c r="G972" s="364"/>
      <c r="H972" s="364"/>
      <c r="I972" s="364"/>
      <c r="J972" s="364"/>
      <c r="K972" s="364"/>
      <c r="L972" s="364"/>
      <c r="M972" s="364"/>
      <c r="N972" s="364"/>
      <c r="O972" s="364"/>
      <c r="P972" s="364"/>
      <c r="Q972" s="364"/>
      <c r="R972" s="364"/>
      <c r="S972" s="364"/>
      <c r="T972" s="364"/>
      <c r="U972" s="364"/>
      <c r="V972" s="364"/>
      <c r="W972" s="364"/>
      <c r="X972" s="364"/>
      <c r="Y972" s="364"/>
      <c r="Z972" s="364"/>
    </row>
    <row r="973" spans="1:26" ht="15.75" customHeight="1" x14ac:dyDescent="0.25">
      <c r="A973" s="364"/>
      <c r="B973" s="364"/>
      <c r="C973" s="364"/>
      <c r="D973" s="364"/>
      <c r="E973" s="364"/>
      <c r="F973" s="364"/>
      <c r="G973" s="364"/>
      <c r="H973" s="364"/>
      <c r="I973" s="364"/>
      <c r="J973" s="364"/>
      <c r="K973" s="364"/>
      <c r="L973" s="364"/>
      <c r="M973" s="364"/>
      <c r="N973" s="364"/>
      <c r="O973" s="364"/>
      <c r="P973" s="364"/>
      <c r="Q973" s="364"/>
      <c r="R973" s="364"/>
      <c r="S973" s="364"/>
      <c r="T973" s="364"/>
      <c r="U973" s="364"/>
      <c r="V973" s="364"/>
      <c r="W973" s="364"/>
      <c r="X973" s="364"/>
      <c r="Y973" s="364"/>
      <c r="Z973" s="364"/>
    </row>
    <row r="974" spans="1:26" ht="15.75" customHeight="1" x14ac:dyDescent="0.25">
      <c r="A974" s="364"/>
      <c r="B974" s="364"/>
      <c r="C974" s="364"/>
      <c r="D974" s="364"/>
      <c r="E974" s="364"/>
      <c r="F974" s="364"/>
      <c r="G974" s="364"/>
      <c r="H974" s="364"/>
      <c r="I974" s="364"/>
      <c r="J974" s="364"/>
      <c r="K974" s="364"/>
      <c r="L974" s="364"/>
      <c r="M974" s="364"/>
      <c r="N974" s="364"/>
      <c r="O974" s="364"/>
      <c r="P974" s="364"/>
      <c r="Q974" s="364"/>
      <c r="R974" s="364"/>
      <c r="S974" s="364"/>
      <c r="T974" s="364"/>
      <c r="U974" s="364"/>
      <c r="V974" s="364"/>
      <c r="W974" s="364"/>
      <c r="X974" s="364"/>
      <c r="Y974" s="364"/>
      <c r="Z974" s="364"/>
    </row>
    <row r="975" spans="1:26" ht="15.75" customHeight="1" x14ac:dyDescent="0.25">
      <c r="A975" s="364"/>
      <c r="B975" s="364"/>
      <c r="C975" s="364"/>
      <c r="D975" s="364"/>
      <c r="E975" s="364"/>
      <c r="F975" s="364"/>
      <c r="G975" s="364"/>
      <c r="H975" s="364"/>
      <c r="I975" s="364"/>
      <c r="J975" s="364"/>
      <c r="K975" s="364"/>
      <c r="L975" s="364"/>
      <c r="M975" s="364"/>
      <c r="N975" s="364"/>
      <c r="O975" s="364"/>
      <c r="P975" s="364"/>
      <c r="Q975" s="364"/>
      <c r="R975" s="364"/>
      <c r="S975" s="364"/>
      <c r="T975" s="364"/>
      <c r="U975" s="364"/>
      <c r="V975" s="364"/>
      <c r="W975" s="364"/>
      <c r="X975" s="364"/>
      <c r="Y975" s="364"/>
      <c r="Z975" s="364"/>
    </row>
    <row r="976" spans="1:26" ht="15.75" customHeight="1" x14ac:dyDescent="0.25">
      <c r="A976" s="364"/>
      <c r="B976" s="364"/>
      <c r="C976" s="364"/>
      <c r="D976" s="364"/>
      <c r="E976" s="364"/>
      <c r="F976" s="364"/>
      <c r="G976" s="364"/>
      <c r="H976" s="364"/>
      <c r="I976" s="364"/>
      <c r="J976" s="364"/>
      <c r="K976" s="364"/>
      <c r="L976" s="364"/>
      <c r="M976" s="364"/>
      <c r="N976" s="364"/>
      <c r="O976" s="364"/>
      <c r="P976" s="364"/>
      <c r="Q976" s="364"/>
      <c r="R976" s="364"/>
      <c r="S976" s="364"/>
      <c r="T976" s="364"/>
      <c r="U976" s="364"/>
      <c r="V976" s="364"/>
      <c r="W976" s="364"/>
      <c r="X976" s="364"/>
      <c r="Y976" s="364"/>
      <c r="Z976" s="364"/>
    </row>
    <row r="977" spans="1:26" ht="15.75" customHeight="1" x14ac:dyDescent="0.25">
      <c r="A977" s="364"/>
      <c r="B977" s="364"/>
      <c r="C977" s="364"/>
      <c r="D977" s="364"/>
      <c r="E977" s="364"/>
      <c r="F977" s="364"/>
      <c r="G977" s="364"/>
      <c r="H977" s="364"/>
      <c r="I977" s="364"/>
      <c r="J977" s="364"/>
      <c r="K977" s="364"/>
      <c r="L977" s="364"/>
      <c r="M977" s="364"/>
      <c r="N977" s="364"/>
      <c r="O977" s="364"/>
      <c r="P977" s="364"/>
      <c r="Q977" s="364"/>
      <c r="R977" s="364"/>
      <c r="S977" s="364"/>
      <c r="T977" s="364"/>
      <c r="U977" s="364"/>
      <c r="V977" s="364"/>
      <c r="W977" s="364"/>
      <c r="X977" s="364"/>
      <c r="Y977" s="364"/>
      <c r="Z977" s="364"/>
    </row>
    <row r="978" spans="1:26" ht="15.75" customHeight="1" x14ac:dyDescent="0.25">
      <c r="A978" s="364"/>
      <c r="B978" s="364"/>
      <c r="C978" s="364"/>
      <c r="D978" s="364"/>
      <c r="E978" s="364"/>
      <c r="F978" s="364"/>
      <c r="G978" s="364"/>
      <c r="H978" s="364"/>
      <c r="I978" s="364"/>
      <c r="J978" s="364"/>
      <c r="K978" s="364"/>
      <c r="L978" s="364"/>
      <c r="M978" s="364"/>
      <c r="N978" s="364"/>
      <c r="O978" s="364"/>
      <c r="P978" s="364"/>
      <c r="Q978" s="364"/>
      <c r="R978" s="364"/>
      <c r="S978" s="364"/>
      <c r="T978" s="364"/>
      <c r="U978" s="364"/>
      <c r="V978" s="364"/>
      <c r="W978" s="364"/>
      <c r="X978" s="364"/>
      <c r="Y978" s="364"/>
      <c r="Z978" s="364"/>
    </row>
    <row r="979" spans="1:26" ht="15.75" customHeight="1" x14ac:dyDescent="0.25">
      <c r="A979" s="364"/>
      <c r="B979" s="364"/>
      <c r="C979" s="364"/>
      <c r="D979" s="364"/>
      <c r="E979" s="364"/>
      <c r="F979" s="364"/>
      <c r="G979" s="364"/>
      <c r="H979" s="364"/>
      <c r="I979" s="364"/>
      <c r="J979" s="364"/>
      <c r="K979" s="364"/>
      <c r="L979" s="364"/>
      <c r="M979" s="364"/>
      <c r="N979" s="364"/>
      <c r="O979" s="364"/>
      <c r="P979" s="364"/>
      <c r="Q979" s="364"/>
      <c r="R979" s="364"/>
      <c r="S979" s="364"/>
      <c r="T979" s="364"/>
      <c r="U979" s="364"/>
      <c r="V979" s="364"/>
      <c r="W979" s="364"/>
      <c r="X979" s="364"/>
      <c r="Y979" s="364"/>
      <c r="Z979" s="364"/>
    </row>
    <row r="980" spans="1:26" ht="15.75" customHeight="1" x14ac:dyDescent="0.25">
      <c r="A980" s="364"/>
      <c r="B980" s="364"/>
      <c r="C980" s="364"/>
      <c r="D980" s="364"/>
      <c r="E980" s="364"/>
      <c r="F980" s="364"/>
      <c r="G980" s="364"/>
      <c r="H980" s="364"/>
      <c r="I980" s="364"/>
      <c r="J980" s="364"/>
      <c r="K980" s="364"/>
      <c r="L980" s="364"/>
      <c r="M980" s="364"/>
      <c r="N980" s="364"/>
      <c r="O980" s="364"/>
      <c r="P980" s="364"/>
      <c r="Q980" s="364"/>
      <c r="R980" s="364"/>
      <c r="S980" s="364"/>
      <c r="T980" s="364"/>
      <c r="U980" s="364"/>
      <c r="V980" s="364"/>
      <c r="W980" s="364"/>
      <c r="X980" s="364"/>
      <c r="Y980" s="364"/>
      <c r="Z980" s="364"/>
    </row>
    <row r="981" spans="1:26" ht="15.75" customHeight="1" x14ac:dyDescent="0.25">
      <c r="A981" s="364"/>
      <c r="B981" s="364"/>
      <c r="C981" s="364"/>
      <c r="D981" s="364"/>
      <c r="E981" s="364"/>
      <c r="F981" s="364"/>
      <c r="G981" s="364"/>
      <c r="H981" s="364"/>
      <c r="I981" s="364"/>
      <c r="J981" s="364"/>
      <c r="K981" s="364"/>
      <c r="L981" s="364"/>
      <c r="M981" s="364"/>
      <c r="N981" s="364"/>
      <c r="O981" s="364"/>
      <c r="P981" s="364"/>
      <c r="Q981" s="364"/>
      <c r="R981" s="364"/>
      <c r="S981" s="364"/>
      <c r="T981" s="364"/>
      <c r="U981" s="364"/>
      <c r="V981" s="364"/>
      <c r="W981" s="364"/>
      <c r="X981" s="364"/>
      <c r="Y981" s="364"/>
      <c r="Z981" s="364"/>
    </row>
    <row r="982" spans="1:26" ht="15.75" customHeight="1" x14ac:dyDescent="0.25">
      <c r="A982" s="364"/>
      <c r="B982" s="364"/>
      <c r="C982" s="364"/>
      <c r="D982" s="364"/>
      <c r="E982" s="364"/>
      <c r="F982" s="364"/>
      <c r="G982" s="364"/>
      <c r="H982" s="364"/>
      <c r="I982" s="364"/>
      <c r="J982" s="364"/>
      <c r="K982" s="364"/>
      <c r="L982" s="364"/>
      <c r="M982" s="364"/>
      <c r="N982" s="364"/>
      <c r="O982" s="364"/>
      <c r="P982" s="364"/>
      <c r="Q982" s="364"/>
      <c r="R982" s="364"/>
      <c r="S982" s="364"/>
      <c r="T982" s="364"/>
      <c r="U982" s="364"/>
      <c r="V982" s="364"/>
      <c r="W982" s="364"/>
      <c r="X982" s="364"/>
      <c r="Y982" s="364"/>
      <c r="Z982" s="364"/>
    </row>
    <row r="983" spans="1:26" ht="15.75" customHeight="1" x14ac:dyDescent="0.25">
      <c r="A983" s="364"/>
      <c r="B983" s="364"/>
      <c r="C983" s="364"/>
      <c r="D983" s="364"/>
      <c r="E983" s="364"/>
      <c r="F983" s="364"/>
      <c r="G983" s="364"/>
      <c r="H983" s="364"/>
      <c r="I983" s="364"/>
      <c r="J983" s="364"/>
      <c r="K983" s="364"/>
      <c r="L983" s="364"/>
      <c r="M983" s="364"/>
      <c r="N983" s="364"/>
      <c r="O983" s="364"/>
      <c r="P983" s="364"/>
      <c r="Q983" s="364"/>
      <c r="R983" s="364"/>
      <c r="S983" s="364"/>
      <c r="T983" s="364"/>
      <c r="U983" s="364"/>
      <c r="V983" s="364"/>
      <c r="W983" s="364"/>
      <c r="X983" s="364"/>
      <c r="Y983" s="364"/>
      <c r="Z983" s="364"/>
    </row>
    <row r="984" spans="1:26" ht="15.75" customHeight="1" x14ac:dyDescent="0.25">
      <c r="A984" s="364"/>
      <c r="B984" s="364"/>
      <c r="C984" s="364"/>
      <c r="D984" s="364"/>
      <c r="E984" s="364"/>
      <c r="F984" s="364"/>
      <c r="G984" s="364"/>
      <c r="H984" s="364"/>
      <c r="I984" s="364"/>
      <c r="J984" s="364"/>
      <c r="K984" s="364"/>
      <c r="L984" s="364"/>
      <c r="M984" s="364"/>
      <c r="N984" s="364"/>
      <c r="O984" s="364"/>
      <c r="P984" s="364"/>
      <c r="Q984" s="364"/>
      <c r="R984" s="364"/>
      <c r="S984" s="364"/>
      <c r="T984" s="364"/>
      <c r="U984" s="364"/>
      <c r="V984" s="364"/>
      <c r="W984" s="364"/>
      <c r="X984" s="364"/>
      <c r="Y984" s="364"/>
      <c r="Z984" s="364"/>
    </row>
    <row r="985" spans="1:26" ht="15.75" customHeight="1" x14ac:dyDescent="0.25">
      <c r="A985" s="364"/>
      <c r="B985" s="364"/>
      <c r="C985" s="364"/>
      <c r="D985" s="364"/>
      <c r="E985" s="364"/>
      <c r="F985" s="364"/>
      <c r="G985" s="364"/>
      <c r="H985" s="364"/>
      <c r="I985" s="364"/>
      <c r="J985" s="364"/>
      <c r="K985" s="364"/>
      <c r="L985" s="364"/>
      <c r="M985" s="364"/>
      <c r="N985" s="364"/>
      <c r="O985" s="364"/>
      <c r="P985" s="364"/>
      <c r="Q985" s="364"/>
      <c r="R985" s="364"/>
      <c r="S985" s="364"/>
      <c r="T985" s="364"/>
      <c r="U985" s="364"/>
      <c r="V985" s="364"/>
      <c r="W985" s="364"/>
      <c r="X985" s="364"/>
      <c r="Y985" s="364"/>
      <c r="Z985" s="364"/>
    </row>
    <row r="986" spans="1:26" ht="15.75" customHeight="1" x14ac:dyDescent="0.25">
      <c r="A986" s="364"/>
      <c r="B986" s="364"/>
      <c r="C986" s="364"/>
      <c r="D986" s="364"/>
      <c r="E986" s="364"/>
      <c r="F986" s="364"/>
      <c r="G986" s="364"/>
      <c r="H986" s="364"/>
      <c r="I986" s="364"/>
      <c r="J986" s="364"/>
      <c r="K986" s="364"/>
      <c r="L986" s="364"/>
      <c r="M986" s="364"/>
      <c r="N986" s="364"/>
      <c r="O986" s="364"/>
      <c r="P986" s="364"/>
      <c r="Q986" s="364"/>
      <c r="R986" s="364"/>
      <c r="S986" s="364"/>
      <c r="T986" s="364"/>
      <c r="U986" s="364"/>
      <c r="V986" s="364"/>
      <c r="W986" s="364"/>
      <c r="X986" s="364"/>
      <c r="Y986" s="364"/>
      <c r="Z986" s="364"/>
    </row>
    <row r="987" spans="1:26" ht="15.75" customHeight="1" x14ac:dyDescent="0.25">
      <c r="A987" s="364"/>
      <c r="B987" s="364"/>
      <c r="C987" s="364"/>
      <c r="D987" s="364"/>
      <c r="E987" s="364"/>
      <c r="F987" s="364"/>
      <c r="G987" s="364"/>
      <c r="H987" s="364"/>
      <c r="I987" s="364"/>
      <c r="J987" s="364"/>
      <c r="K987" s="364"/>
      <c r="L987" s="364"/>
      <c r="M987" s="364"/>
      <c r="N987" s="364"/>
      <c r="O987" s="364"/>
      <c r="P987" s="364"/>
      <c r="Q987" s="364"/>
      <c r="R987" s="364"/>
      <c r="S987" s="364"/>
      <c r="T987" s="364"/>
      <c r="U987" s="364"/>
      <c r="V987" s="364"/>
      <c r="W987" s="364"/>
      <c r="X987" s="364"/>
      <c r="Y987" s="364"/>
      <c r="Z987" s="364"/>
    </row>
    <row r="988" spans="1:26" ht="15.75" customHeight="1" x14ac:dyDescent="0.25">
      <c r="A988" s="364"/>
      <c r="B988" s="364"/>
      <c r="C988" s="364"/>
      <c r="D988" s="364"/>
      <c r="E988" s="364"/>
      <c r="F988" s="364"/>
      <c r="G988" s="364"/>
      <c r="H988" s="364"/>
      <c r="I988" s="364"/>
      <c r="J988" s="364"/>
      <c r="K988" s="364"/>
      <c r="L988" s="364"/>
      <c r="M988" s="364"/>
      <c r="N988" s="364"/>
      <c r="O988" s="364"/>
      <c r="P988" s="364"/>
      <c r="Q988" s="364"/>
      <c r="R988" s="364"/>
      <c r="S988" s="364"/>
      <c r="T988" s="364"/>
      <c r="U988" s="364"/>
      <c r="V988" s="364"/>
      <c r="W988" s="364"/>
      <c r="X988" s="364"/>
      <c r="Y988" s="364"/>
      <c r="Z988" s="364"/>
    </row>
    <row r="989" spans="1:26" ht="15.75" customHeight="1" x14ac:dyDescent="0.25">
      <c r="A989" s="364"/>
      <c r="B989" s="364"/>
      <c r="C989" s="364"/>
      <c r="D989" s="364"/>
      <c r="E989" s="364"/>
      <c r="F989" s="364"/>
      <c r="G989" s="364"/>
      <c r="H989" s="364"/>
      <c r="I989" s="364"/>
      <c r="J989" s="364"/>
      <c r="K989" s="364"/>
      <c r="L989" s="364"/>
      <c r="M989" s="364"/>
      <c r="N989" s="364"/>
      <c r="O989" s="364"/>
      <c r="P989" s="364"/>
      <c r="Q989" s="364"/>
      <c r="R989" s="364"/>
      <c r="S989" s="364"/>
      <c r="T989" s="364"/>
      <c r="U989" s="364"/>
      <c r="V989" s="364"/>
      <c r="W989" s="364"/>
      <c r="X989" s="364"/>
      <c r="Y989" s="364"/>
      <c r="Z989" s="364"/>
    </row>
    <row r="990" spans="1:26" ht="15.75" customHeight="1" x14ac:dyDescent="0.25">
      <c r="A990" s="364"/>
      <c r="B990" s="364"/>
      <c r="C990" s="364"/>
      <c r="D990" s="364"/>
      <c r="E990" s="364"/>
      <c r="F990" s="364"/>
      <c r="G990" s="364"/>
      <c r="H990" s="364"/>
      <c r="I990" s="364"/>
      <c r="J990" s="364"/>
      <c r="K990" s="364"/>
      <c r="L990" s="364"/>
      <c r="M990" s="364"/>
      <c r="N990" s="364"/>
      <c r="O990" s="364"/>
      <c r="P990" s="364"/>
      <c r="Q990" s="364"/>
      <c r="R990" s="364"/>
      <c r="S990" s="364"/>
      <c r="T990" s="364"/>
      <c r="U990" s="364"/>
      <c r="V990" s="364"/>
      <c r="W990" s="364"/>
      <c r="X990" s="364"/>
      <c r="Y990" s="364"/>
      <c r="Z990" s="364"/>
    </row>
    <row r="991" spans="1:26" ht="15.75" customHeight="1" x14ac:dyDescent="0.25">
      <c r="A991" s="364"/>
      <c r="B991" s="364"/>
      <c r="C991" s="364"/>
      <c r="D991" s="364"/>
      <c r="E991" s="364"/>
      <c r="F991" s="364"/>
      <c r="G991" s="364"/>
      <c r="H991" s="364"/>
      <c r="I991" s="364"/>
      <c r="J991" s="364"/>
      <c r="K991" s="364"/>
      <c r="L991" s="364"/>
      <c r="M991" s="364"/>
      <c r="N991" s="364"/>
      <c r="O991" s="364"/>
      <c r="P991" s="364"/>
      <c r="Q991" s="364"/>
      <c r="R991" s="364"/>
      <c r="S991" s="364"/>
      <c r="T991" s="364"/>
      <c r="U991" s="364"/>
      <c r="V991" s="364"/>
      <c r="W991" s="364"/>
      <c r="X991" s="364"/>
      <c r="Y991" s="364"/>
      <c r="Z991" s="364"/>
    </row>
    <row r="992" spans="1:26" ht="15.75" customHeight="1" x14ac:dyDescent="0.25">
      <c r="A992" s="364"/>
      <c r="B992" s="364"/>
      <c r="C992" s="364"/>
      <c r="D992" s="364"/>
      <c r="E992" s="364"/>
      <c r="F992" s="364"/>
      <c r="G992" s="364"/>
      <c r="H992" s="364"/>
      <c r="I992" s="364"/>
      <c r="J992" s="364"/>
      <c r="K992" s="364"/>
      <c r="L992" s="364"/>
      <c r="M992" s="364"/>
      <c r="N992" s="364"/>
      <c r="O992" s="364"/>
      <c r="P992" s="364"/>
      <c r="Q992" s="364"/>
      <c r="R992" s="364"/>
      <c r="S992" s="364"/>
      <c r="T992" s="364"/>
      <c r="U992" s="364"/>
      <c r="V992" s="364"/>
      <c r="W992" s="364"/>
      <c r="X992" s="364"/>
      <c r="Y992" s="364"/>
      <c r="Z992" s="364"/>
    </row>
    <row r="993" spans="1:26" ht="15.75" customHeight="1" x14ac:dyDescent="0.25">
      <c r="A993" s="364"/>
      <c r="B993" s="364"/>
      <c r="C993" s="364"/>
      <c r="D993" s="364"/>
      <c r="E993" s="364"/>
      <c r="F993" s="364"/>
      <c r="G993" s="364"/>
      <c r="H993" s="364"/>
      <c r="I993" s="364"/>
      <c r="J993" s="364"/>
      <c r="K993" s="364"/>
      <c r="L993" s="364"/>
      <c r="M993" s="364"/>
      <c r="N993" s="364"/>
      <c r="O993" s="364"/>
      <c r="P993" s="364"/>
      <c r="Q993" s="364"/>
      <c r="R993" s="364"/>
      <c r="S993" s="364"/>
      <c r="T993" s="364"/>
      <c r="U993" s="364"/>
      <c r="V993" s="364"/>
      <c r="W993" s="364"/>
      <c r="X993" s="364"/>
      <c r="Y993" s="364"/>
      <c r="Z993" s="364"/>
    </row>
    <row r="994" spans="1:26" ht="15.75" customHeight="1" x14ac:dyDescent="0.25">
      <c r="A994" s="364"/>
      <c r="B994" s="364"/>
      <c r="C994" s="364"/>
      <c r="D994" s="364"/>
      <c r="E994" s="364"/>
      <c r="F994" s="364"/>
      <c r="G994" s="364"/>
      <c r="H994" s="364"/>
      <c r="I994" s="364"/>
      <c r="J994" s="364"/>
      <c r="K994" s="364"/>
      <c r="L994" s="364"/>
      <c r="M994" s="364"/>
      <c r="N994" s="364"/>
      <c r="O994" s="364"/>
      <c r="P994" s="364"/>
      <c r="Q994" s="364"/>
      <c r="R994" s="364"/>
      <c r="S994" s="364"/>
      <c r="T994" s="364"/>
      <c r="U994" s="364"/>
      <c r="V994" s="364"/>
      <c r="W994" s="364"/>
      <c r="X994" s="364"/>
      <c r="Y994" s="364"/>
      <c r="Z994" s="364"/>
    </row>
    <row r="995" spans="1:26" ht="15.75" customHeight="1" x14ac:dyDescent="0.25">
      <c r="A995" s="364"/>
      <c r="B995" s="364"/>
      <c r="C995" s="364"/>
      <c r="D995" s="364"/>
      <c r="E995" s="364"/>
      <c r="F995" s="364"/>
      <c r="G995" s="364"/>
      <c r="H995" s="364"/>
      <c r="I995" s="364"/>
      <c r="J995" s="364"/>
      <c r="K995" s="364"/>
      <c r="L995" s="364"/>
      <c r="M995" s="364"/>
      <c r="N995" s="364"/>
      <c r="O995" s="364"/>
      <c r="P995" s="364"/>
      <c r="Q995" s="364"/>
      <c r="R995" s="364"/>
      <c r="S995" s="364"/>
      <c r="T995" s="364"/>
      <c r="U995" s="364"/>
      <c r="V995" s="364"/>
      <c r="W995" s="364"/>
      <c r="X995" s="364"/>
      <c r="Y995" s="364"/>
      <c r="Z995" s="364"/>
    </row>
    <row r="996" spans="1:26" ht="15.75" customHeight="1" x14ac:dyDescent="0.25">
      <c r="A996" s="364"/>
      <c r="B996" s="364"/>
      <c r="C996" s="364"/>
      <c r="D996" s="364"/>
      <c r="E996" s="364"/>
      <c r="F996" s="364"/>
      <c r="G996" s="364"/>
      <c r="H996" s="364"/>
      <c r="I996" s="364"/>
      <c r="J996" s="364"/>
      <c r="K996" s="364"/>
      <c r="L996" s="364"/>
      <c r="M996" s="364"/>
      <c r="N996" s="364"/>
      <c r="O996" s="364"/>
      <c r="P996" s="364"/>
      <c r="Q996" s="364"/>
      <c r="R996" s="364"/>
      <c r="S996" s="364"/>
      <c r="T996" s="364"/>
      <c r="U996" s="364"/>
      <c r="V996" s="364"/>
      <c r="W996" s="364"/>
      <c r="X996" s="364"/>
      <c r="Y996" s="364"/>
      <c r="Z996" s="364"/>
    </row>
    <row r="997" spans="1:26" ht="15.75" customHeight="1" x14ac:dyDescent="0.25">
      <c r="A997" s="364"/>
      <c r="B997" s="364"/>
      <c r="C997" s="364"/>
      <c r="D997" s="364"/>
      <c r="E997" s="364"/>
      <c r="F997" s="364"/>
      <c r="G997" s="364"/>
      <c r="H997" s="364"/>
      <c r="I997" s="364"/>
      <c r="J997" s="364"/>
      <c r="K997" s="364"/>
      <c r="L997" s="364"/>
      <c r="M997" s="364"/>
      <c r="N997" s="364"/>
      <c r="O997" s="364"/>
      <c r="P997" s="364"/>
      <c r="Q997" s="364"/>
      <c r="R997" s="364"/>
      <c r="S997" s="364"/>
      <c r="T997" s="364"/>
      <c r="U997" s="364"/>
      <c r="V997" s="364"/>
      <c r="W997" s="364"/>
      <c r="X997" s="364"/>
      <c r="Y997" s="364"/>
      <c r="Z997" s="364"/>
    </row>
    <row r="998" spans="1:26" ht="15.75" customHeight="1" x14ac:dyDescent="0.25">
      <c r="A998" s="364"/>
      <c r="B998" s="364"/>
      <c r="C998" s="364"/>
      <c r="D998" s="364"/>
      <c r="E998" s="364"/>
      <c r="F998" s="364"/>
      <c r="G998" s="364"/>
      <c r="H998" s="364"/>
      <c r="I998" s="364"/>
      <c r="J998" s="364"/>
      <c r="K998" s="364"/>
      <c r="L998" s="364"/>
      <c r="M998" s="364"/>
      <c r="N998" s="364"/>
      <c r="O998" s="364"/>
      <c r="P998" s="364"/>
      <c r="Q998" s="364"/>
      <c r="R998" s="364"/>
      <c r="S998" s="364"/>
      <c r="T998" s="364"/>
      <c r="U998" s="364"/>
      <c r="V998" s="364"/>
      <c r="W998" s="364"/>
      <c r="X998" s="364"/>
      <c r="Y998" s="364"/>
      <c r="Z998" s="364"/>
    </row>
    <row r="999" spans="1:26" ht="15.75" customHeight="1" x14ac:dyDescent="0.25">
      <c r="A999" s="364"/>
      <c r="B999" s="364"/>
      <c r="C999" s="364"/>
      <c r="D999" s="364"/>
      <c r="E999" s="364"/>
      <c r="F999" s="364"/>
      <c r="G999" s="364"/>
      <c r="H999" s="364"/>
      <c r="I999" s="364"/>
      <c r="J999" s="364"/>
      <c r="K999" s="364"/>
      <c r="L999" s="364"/>
      <c r="M999" s="364"/>
      <c r="N999" s="364"/>
      <c r="O999" s="364"/>
      <c r="P999" s="364"/>
      <c r="Q999" s="364"/>
      <c r="R999" s="364"/>
      <c r="S999" s="364"/>
      <c r="T999" s="364"/>
      <c r="U999" s="364"/>
      <c r="V999" s="364"/>
      <c r="W999" s="364"/>
      <c r="X999" s="364"/>
      <c r="Y999" s="364"/>
      <c r="Z999" s="364"/>
    </row>
    <row r="1000" spans="1:26" ht="15.75" customHeight="1" x14ac:dyDescent="0.25">
      <c r="A1000" s="364"/>
      <c r="B1000" s="364"/>
      <c r="C1000" s="364"/>
      <c r="D1000" s="364"/>
      <c r="E1000" s="364"/>
      <c r="F1000" s="364"/>
      <c r="G1000" s="364"/>
      <c r="H1000" s="364"/>
      <c r="I1000" s="364"/>
      <c r="J1000" s="364"/>
      <c r="K1000" s="364"/>
      <c r="L1000" s="364"/>
      <c r="M1000" s="364"/>
      <c r="N1000" s="364"/>
      <c r="O1000" s="364"/>
      <c r="P1000" s="364"/>
      <c r="Q1000" s="364"/>
      <c r="R1000" s="364"/>
      <c r="S1000" s="364"/>
      <c r="T1000" s="364"/>
      <c r="U1000" s="364"/>
      <c r="V1000" s="364"/>
      <c r="W1000" s="364"/>
      <c r="X1000" s="364"/>
      <c r="Y1000" s="364"/>
      <c r="Z1000" s="364"/>
    </row>
  </sheetData>
  <mergeCells count="2">
    <mergeCell ref="A1:D1"/>
    <mergeCell ref="A2:D2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7109375" defaultRowHeight="15" customHeight="1" x14ac:dyDescent="0.25"/>
  <cols>
    <col min="1" max="1" width="29.28515625" customWidth="1"/>
    <col min="2" max="14" width="11.7109375" customWidth="1"/>
    <col min="15" max="15" width="12.28515625" customWidth="1"/>
    <col min="16" max="16" width="11.7109375" customWidth="1"/>
    <col min="17" max="17" width="12.28515625" customWidth="1"/>
    <col min="18" max="20" width="11.7109375" customWidth="1"/>
    <col min="21" max="21" width="10.7109375" customWidth="1"/>
    <col min="22" max="22" width="13.28515625" customWidth="1"/>
    <col min="23" max="26" width="10.7109375" customWidth="1"/>
  </cols>
  <sheetData>
    <row r="1" spans="1:26" ht="14.25" customHeight="1" x14ac:dyDescent="0.25">
      <c r="A1" s="497" t="s">
        <v>592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365"/>
      <c r="X1" s="365"/>
      <c r="Y1" s="365"/>
      <c r="Z1" s="365"/>
    </row>
    <row r="2" spans="1:26" ht="14.25" customHeight="1" x14ac:dyDescent="0.25">
      <c r="A2" s="497" t="s">
        <v>593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365"/>
      <c r="X2" s="365"/>
      <c r="Y2" s="365"/>
      <c r="Z2" s="365"/>
    </row>
    <row r="3" spans="1:26" ht="14.25" customHeight="1" x14ac:dyDescent="0.25">
      <c r="A3" s="497" t="s">
        <v>628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365"/>
      <c r="X3" s="365"/>
      <c r="Y3" s="365"/>
      <c r="Z3" s="365"/>
    </row>
    <row r="4" spans="1:26" ht="14.25" customHeight="1" x14ac:dyDescent="0.25">
      <c r="A4" s="365"/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</row>
    <row r="5" spans="1:26" ht="14.25" customHeight="1" x14ac:dyDescent="0.25">
      <c r="A5" s="383"/>
      <c r="B5" s="384" t="s">
        <v>629</v>
      </c>
      <c r="C5" s="384" t="s">
        <v>630</v>
      </c>
      <c r="D5" s="384" t="s">
        <v>631</v>
      </c>
      <c r="E5" s="384" t="s">
        <v>632</v>
      </c>
      <c r="F5" s="384" t="s">
        <v>633</v>
      </c>
      <c r="G5" s="384" t="s">
        <v>634</v>
      </c>
      <c r="H5" s="384" t="s">
        <v>635</v>
      </c>
      <c r="I5" s="384" t="s">
        <v>636</v>
      </c>
      <c r="J5" s="384" t="s">
        <v>637</v>
      </c>
      <c r="K5" s="384" t="s">
        <v>638</v>
      </c>
      <c r="L5" s="384" t="s">
        <v>639</v>
      </c>
      <c r="M5" s="384" t="s">
        <v>640</v>
      </c>
      <c r="N5" s="384" t="s">
        <v>641</v>
      </c>
      <c r="O5" s="384" t="s">
        <v>642</v>
      </c>
      <c r="P5" s="384" t="s">
        <v>643</v>
      </c>
      <c r="Q5" s="384" t="s">
        <v>644</v>
      </c>
      <c r="R5" s="384" t="s">
        <v>645</v>
      </c>
      <c r="S5" s="384" t="s">
        <v>646</v>
      </c>
      <c r="T5" s="384" t="s">
        <v>647</v>
      </c>
      <c r="U5" s="384" t="s">
        <v>648</v>
      </c>
      <c r="V5" s="384" t="s">
        <v>272</v>
      </c>
      <c r="W5" s="365"/>
      <c r="X5" s="365"/>
      <c r="Y5" s="365"/>
      <c r="Z5" s="365"/>
    </row>
    <row r="6" spans="1:26" ht="14.25" customHeight="1" x14ac:dyDescent="0.25">
      <c r="A6" s="385" t="s">
        <v>597</v>
      </c>
      <c r="B6" s="386"/>
      <c r="C6" s="386"/>
      <c r="D6" s="386"/>
      <c r="E6" s="386"/>
      <c r="F6" s="386"/>
      <c r="G6" s="386"/>
      <c r="H6" s="386"/>
      <c r="I6" s="386"/>
      <c r="J6" s="386"/>
      <c r="K6" s="386"/>
      <c r="L6" s="386"/>
      <c r="M6" s="386"/>
      <c r="N6" s="386"/>
      <c r="O6" s="386"/>
      <c r="P6" s="386"/>
      <c r="Q6" s="386"/>
      <c r="R6" s="386"/>
      <c r="S6" s="386"/>
      <c r="T6" s="386"/>
      <c r="U6" s="386"/>
      <c r="V6" s="386"/>
      <c r="W6" s="365"/>
      <c r="X6" s="365"/>
      <c r="Y6" s="365"/>
      <c r="Z6" s="365"/>
    </row>
    <row r="7" spans="1:26" ht="14.25" customHeight="1" x14ac:dyDescent="0.25">
      <c r="A7" s="385" t="s">
        <v>649</v>
      </c>
      <c r="B7" s="48">
        <f>399264.35</f>
        <v>399264.35</v>
      </c>
      <c r="C7" s="48">
        <f>416954.21</f>
        <v>416954.21</v>
      </c>
      <c r="D7" s="48">
        <f>533761.66</f>
        <v>533761.66</v>
      </c>
      <c r="E7" s="48">
        <f>540967.64</f>
        <v>540967.64</v>
      </c>
      <c r="F7" s="48">
        <f>633262.09</f>
        <v>633262.09</v>
      </c>
      <c r="G7" s="48">
        <f>604119.44</f>
        <v>604119.43999999994</v>
      </c>
      <c r="H7" s="48">
        <f>557899.1</f>
        <v>557899.1</v>
      </c>
      <c r="I7" s="48">
        <f>693490.47</f>
        <v>693490.47</v>
      </c>
      <c r="J7" s="48">
        <f>612333.91</f>
        <v>612333.91</v>
      </c>
      <c r="K7" s="48">
        <f>645118.38</f>
        <v>645118.38</v>
      </c>
      <c r="L7" s="48">
        <f>817669.25</f>
        <v>817669.25</v>
      </c>
      <c r="M7" s="48">
        <f>623942.57</f>
        <v>623942.56999999995</v>
      </c>
      <c r="N7" s="48">
        <f>697873.62</f>
        <v>697873.62</v>
      </c>
      <c r="O7" s="48">
        <f>605304.9</f>
        <v>605304.9</v>
      </c>
      <c r="P7" s="48">
        <f>937772.07</f>
        <v>937772.07</v>
      </c>
      <c r="Q7" s="48">
        <f>838502.33</f>
        <v>838502.33</v>
      </c>
      <c r="R7" s="48">
        <f>933092.75</f>
        <v>933092.75</v>
      </c>
      <c r="S7" s="48">
        <f>800555.18</f>
        <v>800555.18</v>
      </c>
      <c r="T7" s="48">
        <f>819947.42</f>
        <v>819947.42</v>
      </c>
      <c r="U7" s="48">
        <f>543496.29</f>
        <v>543496.29</v>
      </c>
      <c r="V7" s="48">
        <f>(((((((((((((((((((B7)+(C7))+(D7))+(E7))+(F7))+(G7))+(H7))+(I7))+(J7))+(K7))+(L7))+(M7))+(N7))+(O7))+(P7))+(Q7))+(R7))+(S7))+(T7))+(U7)</f>
        <v>13255327.629999999</v>
      </c>
      <c r="W7" s="365"/>
      <c r="X7" s="365"/>
      <c r="Y7" s="365"/>
      <c r="Z7" s="365"/>
    </row>
    <row r="8" spans="1:26" ht="14.25" customHeight="1" x14ac:dyDescent="0.25">
      <c r="A8" s="385"/>
      <c r="B8" s="387"/>
      <c r="C8" s="387"/>
      <c r="D8" s="387"/>
      <c r="E8" s="387"/>
      <c r="F8" s="387"/>
      <c r="G8" s="387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65"/>
      <c r="X8" s="365"/>
      <c r="Y8" s="365"/>
      <c r="Z8" s="365"/>
    </row>
    <row r="9" spans="1:26" ht="14.25" customHeight="1" x14ac:dyDescent="0.25">
      <c r="A9" s="385" t="s">
        <v>603</v>
      </c>
      <c r="B9" s="48">
        <f>252079.03</f>
        <v>252079.03</v>
      </c>
      <c r="C9" s="48">
        <f>272000.62</f>
        <v>272000.62</v>
      </c>
      <c r="D9" s="48">
        <f>326650.13</f>
        <v>326650.13</v>
      </c>
      <c r="E9" s="48">
        <f>321109.97</f>
        <v>321109.96999999997</v>
      </c>
      <c r="F9" s="48">
        <f>353010.65</f>
        <v>353010.65</v>
      </c>
      <c r="G9" s="48">
        <f>367526.55</f>
        <v>367526.55</v>
      </c>
      <c r="H9" s="48">
        <f>376307.64</f>
        <v>376307.64</v>
      </c>
      <c r="I9" s="48">
        <f>431023.4</f>
        <v>431023.4</v>
      </c>
      <c r="J9" s="48">
        <f>427727.45</f>
        <v>427727.45</v>
      </c>
      <c r="K9" s="48">
        <f>446273.02</f>
        <v>446273.02</v>
      </c>
      <c r="L9" s="48">
        <f>440971.27</f>
        <v>440971.27</v>
      </c>
      <c r="M9" s="48">
        <f>485168.6</f>
        <v>485168.6</v>
      </c>
      <c r="N9" s="48">
        <f>424642.96</f>
        <v>424642.96</v>
      </c>
      <c r="O9" s="48">
        <f>428219.25</f>
        <v>428219.25</v>
      </c>
      <c r="P9" s="48">
        <f>631814.04</f>
        <v>631814.04</v>
      </c>
      <c r="Q9" s="48">
        <f>698068.65</f>
        <v>698068.65</v>
      </c>
      <c r="R9" s="48">
        <f>480884.59</f>
        <v>480884.59</v>
      </c>
      <c r="S9" s="48">
        <f>542321.3</f>
        <v>542321.30000000005</v>
      </c>
      <c r="T9" s="48">
        <f>263158.8</f>
        <v>263158.8</v>
      </c>
      <c r="U9" s="48">
        <f>9765.15</f>
        <v>9765.15</v>
      </c>
      <c r="V9" s="48">
        <f>(((((((((((((((((((B9)+(C9))+(D9))+(E9))+(F9))+(G9))+(H9))+(I9))+(J9))+(K9))+(L9))+(M9))+(N9))+(O9))+(P9))+(Q9))+(R9))+(S9))+(T9))+(U9)</f>
        <v>7978723.0700000003</v>
      </c>
      <c r="W9" s="365"/>
      <c r="X9" s="365"/>
      <c r="Y9" s="365"/>
      <c r="Z9" s="365"/>
    </row>
    <row r="10" spans="1:26" ht="14.25" customHeight="1" x14ac:dyDescent="0.25">
      <c r="A10" s="385" t="s">
        <v>22</v>
      </c>
      <c r="B10" s="388">
        <f t="shared" ref="B10:V10" si="0">B7-B9</f>
        <v>147185.31999999998</v>
      </c>
      <c r="C10" s="388">
        <f t="shared" si="0"/>
        <v>144953.59000000003</v>
      </c>
      <c r="D10" s="388">
        <f t="shared" si="0"/>
        <v>207111.53000000003</v>
      </c>
      <c r="E10" s="388">
        <f t="shared" si="0"/>
        <v>219857.67000000004</v>
      </c>
      <c r="F10" s="388">
        <f t="shared" si="0"/>
        <v>280251.43999999994</v>
      </c>
      <c r="G10" s="388">
        <f t="shared" si="0"/>
        <v>236592.88999999996</v>
      </c>
      <c r="H10" s="388">
        <f t="shared" si="0"/>
        <v>181591.45999999996</v>
      </c>
      <c r="I10" s="388">
        <f t="shared" si="0"/>
        <v>262467.06999999995</v>
      </c>
      <c r="J10" s="388">
        <f t="shared" si="0"/>
        <v>184606.46000000002</v>
      </c>
      <c r="K10" s="388">
        <f t="shared" si="0"/>
        <v>198845.36</v>
      </c>
      <c r="L10" s="388">
        <f t="shared" si="0"/>
        <v>376697.98</v>
      </c>
      <c r="M10" s="388">
        <f t="shared" si="0"/>
        <v>138773.96999999997</v>
      </c>
      <c r="N10" s="388">
        <f t="shared" si="0"/>
        <v>273230.65999999997</v>
      </c>
      <c r="O10" s="388">
        <f t="shared" si="0"/>
        <v>177085.65000000002</v>
      </c>
      <c r="P10" s="388">
        <f t="shared" si="0"/>
        <v>305958.02999999991</v>
      </c>
      <c r="Q10" s="388">
        <f t="shared" si="0"/>
        <v>140433.67999999993</v>
      </c>
      <c r="R10" s="388">
        <f t="shared" si="0"/>
        <v>452208.16</v>
      </c>
      <c r="S10" s="388">
        <f t="shared" si="0"/>
        <v>258233.88</v>
      </c>
      <c r="T10" s="388">
        <f t="shared" si="0"/>
        <v>556788.62000000011</v>
      </c>
      <c r="U10" s="388">
        <f t="shared" si="0"/>
        <v>533731.14</v>
      </c>
      <c r="V10" s="388">
        <f t="shared" si="0"/>
        <v>5276604.5599999987</v>
      </c>
      <c r="W10" s="365"/>
      <c r="X10" s="365"/>
      <c r="Y10" s="365"/>
      <c r="Z10" s="365"/>
    </row>
    <row r="11" spans="1:26" ht="14.25" customHeight="1" x14ac:dyDescent="0.25">
      <c r="A11" s="389"/>
      <c r="B11" s="390">
        <f t="shared" ref="B11:V11" si="1">B10/B7</f>
        <v>0.36864127738927854</v>
      </c>
      <c r="C11" s="390">
        <f t="shared" si="1"/>
        <v>0.34764870223998939</v>
      </c>
      <c r="D11" s="390">
        <f t="shared" si="1"/>
        <v>0.38802249303556202</v>
      </c>
      <c r="E11" s="390">
        <f t="shared" si="1"/>
        <v>0.4064155667425875</v>
      </c>
      <c r="F11" s="390">
        <f t="shared" si="1"/>
        <v>0.44255205613208265</v>
      </c>
      <c r="G11" s="390">
        <f t="shared" si="1"/>
        <v>0.39163263807567583</v>
      </c>
      <c r="H11" s="390">
        <f t="shared" si="1"/>
        <v>0.32549158082527824</v>
      </c>
      <c r="I11" s="390">
        <f t="shared" si="1"/>
        <v>0.37847249725003423</v>
      </c>
      <c r="J11" s="390">
        <f t="shared" si="1"/>
        <v>0.3014800535871025</v>
      </c>
      <c r="K11" s="390">
        <f t="shared" si="1"/>
        <v>0.30823080873932002</v>
      </c>
      <c r="L11" s="390">
        <f t="shared" si="1"/>
        <v>0.46069725625612068</v>
      </c>
      <c r="M11" s="390">
        <f t="shared" si="1"/>
        <v>0.22241465268189664</v>
      </c>
      <c r="N11" s="390">
        <f t="shared" si="1"/>
        <v>0.39151882542859262</v>
      </c>
      <c r="O11" s="390">
        <f t="shared" si="1"/>
        <v>0.29255611510827023</v>
      </c>
      <c r="P11" s="390">
        <f t="shared" si="1"/>
        <v>0.326260548578718</v>
      </c>
      <c r="Q11" s="390">
        <f t="shared" si="1"/>
        <v>0.16748156203692355</v>
      </c>
      <c r="R11" s="390">
        <f t="shared" si="1"/>
        <v>0.48463366583868533</v>
      </c>
      <c r="S11" s="390">
        <f t="shared" si="1"/>
        <v>0.32256849552831574</v>
      </c>
      <c r="T11" s="390">
        <f t="shared" si="1"/>
        <v>0.67905405446607792</v>
      </c>
      <c r="U11" s="390">
        <f t="shared" si="1"/>
        <v>0.98203272003935849</v>
      </c>
      <c r="V11" s="390">
        <f t="shared" si="1"/>
        <v>0.39807424661897994</v>
      </c>
      <c r="W11" s="391"/>
      <c r="X11" s="391"/>
      <c r="Y11" s="391"/>
      <c r="Z11" s="391"/>
    </row>
    <row r="12" spans="1:26" ht="14.25" customHeight="1" x14ac:dyDescent="0.25">
      <c r="A12" s="365"/>
      <c r="B12" s="365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5"/>
      <c r="T12" s="365"/>
      <c r="U12" s="365"/>
      <c r="V12" s="365"/>
      <c r="W12" s="365"/>
      <c r="X12" s="365"/>
      <c r="Y12" s="365"/>
      <c r="Z12" s="365"/>
    </row>
    <row r="13" spans="1:26" ht="14.25" hidden="1" customHeight="1" x14ac:dyDescent="0.25">
      <c r="A13" s="385" t="s">
        <v>24</v>
      </c>
      <c r="B13" s="386"/>
      <c r="C13" s="386"/>
      <c r="D13" s="386"/>
      <c r="E13" s="386"/>
      <c r="F13" s="386"/>
      <c r="G13" s="386"/>
      <c r="H13" s="386"/>
      <c r="I13" s="386"/>
      <c r="J13" s="386"/>
      <c r="K13" s="386"/>
      <c r="L13" s="386"/>
      <c r="M13" s="386"/>
      <c r="N13" s="386"/>
      <c r="O13" s="386"/>
      <c r="P13" s="386"/>
      <c r="Q13" s="386"/>
      <c r="R13" s="386"/>
      <c r="S13" s="386"/>
      <c r="T13" s="386"/>
      <c r="U13" s="386"/>
      <c r="V13" s="386"/>
      <c r="W13" s="365"/>
      <c r="X13" s="365"/>
      <c r="Y13" s="365"/>
      <c r="Z13" s="365"/>
    </row>
    <row r="14" spans="1:26" ht="14.25" hidden="1" customHeight="1" x14ac:dyDescent="0.25">
      <c r="A14" s="385" t="s">
        <v>650</v>
      </c>
      <c r="B14" s="392">
        <f>13370.77</f>
        <v>13370.77</v>
      </c>
      <c r="C14" s="392">
        <f>29.95</f>
        <v>29.95</v>
      </c>
      <c r="D14" s="392">
        <f>2529.95</f>
        <v>2529.9499999999998</v>
      </c>
      <c r="E14" s="392">
        <f>29.95</f>
        <v>29.95</v>
      </c>
      <c r="F14" s="392">
        <f>464.95</f>
        <v>464.95</v>
      </c>
      <c r="G14" s="392">
        <f>29.95</f>
        <v>29.95</v>
      </c>
      <c r="H14" s="392">
        <f>131</f>
        <v>131</v>
      </c>
      <c r="I14" s="392">
        <f>29.95</f>
        <v>29.95</v>
      </c>
      <c r="J14" s="392">
        <f>522.72</f>
        <v>522.72</v>
      </c>
      <c r="K14" s="392">
        <f>29.95</f>
        <v>29.95</v>
      </c>
      <c r="L14" s="392">
        <f>367.6</f>
        <v>367.6</v>
      </c>
      <c r="M14" s="392">
        <f>212.51</f>
        <v>212.51</v>
      </c>
      <c r="N14" s="392">
        <f>153.52</f>
        <v>153.52000000000001</v>
      </c>
      <c r="O14" s="392">
        <f>373.95</f>
        <v>373.95</v>
      </c>
      <c r="P14" s="392">
        <f>9081.26</f>
        <v>9081.26</v>
      </c>
      <c r="Q14" s="392">
        <f>229.95</f>
        <v>229.95</v>
      </c>
      <c r="R14" s="392">
        <f>134.1</f>
        <v>134.1</v>
      </c>
      <c r="S14" s="392">
        <f>229.95</f>
        <v>229.95</v>
      </c>
      <c r="T14" s="392">
        <f>119.3</f>
        <v>119.3</v>
      </c>
      <c r="U14" s="392">
        <f>155.97</f>
        <v>155.97</v>
      </c>
      <c r="V14" s="392">
        <f t="shared" ref="V14:V67" si="2">(((((((((((((((((((B14)+(C14))+(D14))+(E14))+(F14))+(G14))+(H14))+(I14))+(J14))+(K14))+(L14))+(M14))+(N14))+(O14))+(P14))+(Q14))+(R14))+(S14))+(T14))+(U14)</f>
        <v>28227.250000000004</v>
      </c>
      <c r="W14" s="365"/>
      <c r="X14" s="365"/>
      <c r="Y14" s="365"/>
      <c r="Z14" s="365"/>
    </row>
    <row r="15" spans="1:26" ht="14.25" hidden="1" customHeight="1" x14ac:dyDescent="0.25">
      <c r="A15" s="385" t="s">
        <v>651</v>
      </c>
      <c r="B15" s="386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86"/>
      <c r="V15" s="392">
        <f t="shared" si="2"/>
        <v>0</v>
      </c>
      <c r="W15" s="365"/>
      <c r="X15" s="365"/>
      <c r="Y15" s="365"/>
      <c r="Z15" s="365"/>
    </row>
    <row r="16" spans="1:26" ht="14.25" hidden="1" customHeight="1" x14ac:dyDescent="0.25">
      <c r="A16" s="385" t="s">
        <v>652</v>
      </c>
      <c r="B16" s="392">
        <f>363.12</f>
        <v>363.12</v>
      </c>
      <c r="C16" s="392">
        <f>207.2</f>
        <v>207.2</v>
      </c>
      <c r="D16" s="392">
        <f>298.66</f>
        <v>298.66000000000003</v>
      </c>
      <c r="E16" s="392">
        <f>350.53</f>
        <v>350.53</v>
      </c>
      <c r="F16" s="392">
        <f>404.61</f>
        <v>404.61</v>
      </c>
      <c r="G16" s="392">
        <f>204.18</f>
        <v>204.18</v>
      </c>
      <c r="H16" s="392">
        <f>213.67</f>
        <v>213.67</v>
      </c>
      <c r="I16" s="392">
        <f>236.67</f>
        <v>236.67</v>
      </c>
      <c r="J16" s="392">
        <f>329.55</f>
        <v>329.55</v>
      </c>
      <c r="K16" s="392">
        <f>329.98</f>
        <v>329.98</v>
      </c>
      <c r="L16" s="392">
        <f>272.61</f>
        <v>272.61</v>
      </c>
      <c r="M16" s="392">
        <f>289.01</f>
        <v>289.01</v>
      </c>
      <c r="N16" s="392">
        <f>179.27</f>
        <v>179.27</v>
      </c>
      <c r="O16" s="392">
        <f>234.29</f>
        <v>234.29</v>
      </c>
      <c r="P16" s="392">
        <f>280.42</f>
        <v>280.42</v>
      </c>
      <c r="Q16" s="392">
        <f>62.73</f>
        <v>62.73</v>
      </c>
      <c r="R16" s="392">
        <f>137.81</f>
        <v>137.81</v>
      </c>
      <c r="S16" s="392">
        <f>161.3</f>
        <v>161.30000000000001</v>
      </c>
      <c r="T16" s="392">
        <f>11.85</f>
        <v>11.85</v>
      </c>
      <c r="U16" s="386"/>
      <c r="V16" s="392">
        <f t="shared" si="2"/>
        <v>4567.46</v>
      </c>
      <c r="W16" s="365"/>
      <c r="X16" s="365"/>
      <c r="Y16" s="365"/>
      <c r="Z16" s="365"/>
    </row>
    <row r="17" spans="1:26" ht="14.25" hidden="1" customHeight="1" x14ac:dyDescent="0.25">
      <c r="A17" s="385" t="s">
        <v>653</v>
      </c>
      <c r="B17" s="386"/>
      <c r="C17" s="386"/>
      <c r="D17" s="386"/>
      <c r="E17" s="386"/>
      <c r="F17" s="386"/>
      <c r="G17" s="392">
        <f>1346</f>
        <v>1346</v>
      </c>
      <c r="H17" s="386"/>
      <c r="I17" s="392">
        <f>80.71</f>
        <v>80.709999999999994</v>
      </c>
      <c r="J17" s="386"/>
      <c r="K17" s="392">
        <f>62.88</f>
        <v>62.88</v>
      </c>
      <c r="L17" s="386"/>
      <c r="M17" s="392">
        <f>1955</f>
        <v>1955</v>
      </c>
      <c r="N17" s="386"/>
      <c r="O17" s="386"/>
      <c r="P17" s="386"/>
      <c r="Q17" s="386"/>
      <c r="R17" s="386"/>
      <c r="S17" s="386"/>
      <c r="T17" s="386"/>
      <c r="U17" s="386"/>
      <c r="V17" s="392">
        <f t="shared" si="2"/>
        <v>3444.59</v>
      </c>
      <c r="W17" s="365"/>
      <c r="X17" s="365"/>
      <c r="Y17" s="365"/>
      <c r="Z17" s="365"/>
    </row>
    <row r="18" spans="1:26" ht="14.25" hidden="1" customHeight="1" x14ac:dyDescent="0.25">
      <c r="A18" s="385" t="s">
        <v>654</v>
      </c>
      <c r="B18" s="392">
        <f t="shared" ref="B18:C18" si="3">789.47</f>
        <v>789.47</v>
      </c>
      <c r="C18" s="392">
        <f t="shared" si="3"/>
        <v>789.47</v>
      </c>
      <c r="D18" s="392">
        <f>1578.94</f>
        <v>1578.94</v>
      </c>
      <c r="E18" s="386"/>
      <c r="F18" s="392">
        <f>789.47</f>
        <v>789.47</v>
      </c>
      <c r="G18" s="392">
        <f>4831.65</f>
        <v>4831.6499999999996</v>
      </c>
      <c r="H18" s="392">
        <f>1562.64</f>
        <v>1562.64</v>
      </c>
      <c r="I18" s="392">
        <f>2360.26</f>
        <v>2360.2600000000002</v>
      </c>
      <c r="J18" s="392">
        <f>781.32</f>
        <v>781.32</v>
      </c>
      <c r="K18" s="392">
        <f>1570.79</f>
        <v>1570.79</v>
      </c>
      <c r="L18" s="392">
        <f>2360.26</f>
        <v>2360.2600000000002</v>
      </c>
      <c r="M18" s="392">
        <f>781.32</f>
        <v>781.32</v>
      </c>
      <c r="N18" s="392">
        <f t="shared" ref="N18:Q18" si="4">1570.79</f>
        <v>1570.79</v>
      </c>
      <c r="O18" s="392">
        <f t="shared" si="4"/>
        <v>1570.79</v>
      </c>
      <c r="P18" s="392">
        <f t="shared" si="4"/>
        <v>1570.79</v>
      </c>
      <c r="Q18" s="392">
        <f t="shared" si="4"/>
        <v>1570.79</v>
      </c>
      <c r="R18" s="392">
        <f>2360.26</f>
        <v>2360.2600000000002</v>
      </c>
      <c r="S18" s="392">
        <f>781.32</f>
        <v>781.32</v>
      </c>
      <c r="T18" s="392">
        <f t="shared" ref="T18:U18" si="5">1574.39</f>
        <v>1574.39</v>
      </c>
      <c r="U18" s="392">
        <f t="shared" si="5"/>
        <v>1574.39</v>
      </c>
      <c r="V18" s="392">
        <f t="shared" si="2"/>
        <v>30769.11</v>
      </c>
      <c r="W18" s="365"/>
      <c r="X18" s="365"/>
      <c r="Y18" s="365"/>
      <c r="Z18" s="365"/>
    </row>
    <row r="19" spans="1:26" ht="14.25" hidden="1" customHeight="1" x14ac:dyDescent="0.25">
      <c r="A19" s="385" t="s">
        <v>655</v>
      </c>
      <c r="B19" s="386"/>
      <c r="C19" s="386"/>
      <c r="D19" s="392">
        <f>25.75</f>
        <v>25.75</v>
      </c>
      <c r="E19" s="386"/>
      <c r="F19" s="386"/>
      <c r="G19" s="392">
        <f>67.75</f>
        <v>67.75</v>
      </c>
      <c r="H19" s="392">
        <f>36.62</f>
        <v>36.619999999999997</v>
      </c>
      <c r="I19" s="392">
        <f>57.22</f>
        <v>57.22</v>
      </c>
      <c r="J19" s="386"/>
      <c r="K19" s="386"/>
      <c r="L19" s="386"/>
      <c r="M19" s="392">
        <f>31</f>
        <v>31</v>
      </c>
      <c r="N19" s="392">
        <f>3.35</f>
        <v>3.35</v>
      </c>
      <c r="O19" s="392">
        <f>3</f>
        <v>3</v>
      </c>
      <c r="P19" s="392">
        <f>53.5</f>
        <v>53.5</v>
      </c>
      <c r="Q19" s="386"/>
      <c r="R19" s="386"/>
      <c r="S19" s="386"/>
      <c r="T19" s="386"/>
      <c r="U19" s="386"/>
      <c r="V19" s="392">
        <f t="shared" si="2"/>
        <v>278.19</v>
      </c>
      <c r="W19" s="365"/>
      <c r="X19" s="365"/>
      <c r="Y19" s="365"/>
      <c r="Z19" s="365"/>
    </row>
    <row r="20" spans="1:26" ht="14.25" hidden="1" customHeight="1" x14ac:dyDescent="0.25">
      <c r="A20" s="385" t="s">
        <v>656</v>
      </c>
      <c r="B20" s="392">
        <f>257.72</f>
        <v>257.72000000000003</v>
      </c>
      <c r="C20" s="392">
        <f>22</f>
        <v>22</v>
      </c>
      <c r="D20" s="392">
        <f>42.5</f>
        <v>42.5</v>
      </c>
      <c r="E20" s="392">
        <f>29.95</f>
        <v>29.95</v>
      </c>
      <c r="F20" s="392">
        <f>104.94</f>
        <v>104.94</v>
      </c>
      <c r="G20" s="392">
        <f t="shared" ref="G20:L20" si="6">29.95</f>
        <v>29.95</v>
      </c>
      <c r="H20" s="392">
        <f t="shared" si="6"/>
        <v>29.95</v>
      </c>
      <c r="I20" s="392">
        <f t="shared" si="6"/>
        <v>29.95</v>
      </c>
      <c r="J20" s="392">
        <f t="shared" si="6"/>
        <v>29.95</v>
      </c>
      <c r="K20" s="392">
        <f t="shared" si="6"/>
        <v>29.95</v>
      </c>
      <c r="L20" s="392">
        <f t="shared" si="6"/>
        <v>29.95</v>
      </c>
      <c r="M20" s="392">
        <f>119.95</f>
        <v>119.95</v>
      </c>
      <c r="N20" s="392">
        <f>49.95</f>
        <v>49.95</v>
      </c>
      <c r="O20" s="392">
        <f>29.95</f>
        <v>29.95</v>
      </c>
      <c r="P20" s="392">
        <f t="shared" ref="P20:T20" si="7">24.95</f>
        <v>24.95</v>
      </c>
      <c r="Q20" s="392">
        <f t="shared" si="7"/>
        <v>24.95</v>
      </c>
      <c r="R20" s="392">
        <f t="shared" si="7"/>
        <v>24.95</v>
      </c>
      <c r="S20" s="392">
        <f t="shared" si="7"/>
        <v>24.95</v>
      </c>
      <c r="T20" s="392">
        <f t="shared" si="7"/>
        <v>24.95</v>
      </c>
      <c r="U20" s="392">
        <f>567.33</f>
        <v>567.33000000000004</v>
      </c>
      <c r="V20" s="392">
        <f t="shared" si="2"/>
        <v>1528.7400000000007</v>
      </c>
      <c r="W20" s="365"/>
      <c r="X20" s="365"/>
      <c r="Y20" s="365"/>
      <c r="Z20" s="365"/>
    </row>
    <row r="21" spans="1:26" ht="14.25" hidden="1" customHeight="1" x14ac:dyDescent="0.25">
      <c r="A21" s="385" t="s">
        <v>657</v>
      </c>
      <c r="B21" s="393">
        <f t="shared" ref="B21:U21" si="8">(((((B15)+(B16))+(B17))+(B18))+(B19))+(B20)</f>
        <v>1410.3100000000002</v>
      </c>
      <c r="C21" s="393">
        <f t="shared" si="8"/>
        <v>1018.6700000000001</v>
      </c>
      <c r="D21" s="393">
        <f t="shared" si="8"/>
        <v>1945.8500000000001</v>
      </c>
      <c r="E21" s="393">
        <f t="shared" si="8"/>
        <v>380.47999999999996</v>
      </c>
      <c r="F21" s="393">
        <f t="shared" si="8"/>
        <v>1299.02</v>
      </c>
      <c r="G21" s="393">
        <f t="shared" si="8"/>
        <v>6479.53</v>
      </c>
      <c r="H21" s="393">
        <f t="shared" si="8"/>
        <v>1842.88</v>
      </c>
      <c r="I21" s="393">
        <f t="shared" si="8"/>
        <v>2764.81</v>
      </c>
      <c r="J21" s="393">
        <f t="shared" si="8"/>
        <v>1140.8200000000002</v>
      </c>
      <c r="K21" s="393">
        <f t="shared" si="8"/>
        <v>1993.6000000000001</v>
      </c>
      <c r="L21" s="393">
        <f t="shared" si="8"/>
        <v>2662.82</v>
      </c>
      <c r="M21" s="393">
        <f t="shared" si="8"/>
        <v>3176.28</v>
      </c>
      <c r="N21" s="393">
        <f t="shared" si="8"/>
        <v>1803.36</v>
      </c>
      <c r="O21" s="393">
        <f t="shared" si="8"/>
        <v>1838.03</v>
      </c>
      <c r="P21" s="393">
        <f t="shared" si="8"/>
        <v>1929.66</v>
      </c>
      <c r="Q21" s="393">
        <f t="shared" si="8"/>
        <v>1658.47</v>
      </c>
      <c r="R21" s="393">
        <f t="shared" si="8"/>
        <v>2523.02</v>
      </c>
      <c r="S21" s="393">
        <f t="shared" si="8"/>
        <v>967.57000000000016</v>
      </c>
      <c r="T21" s="393">
        <f t="shared" si="8"/>
        <v>1611.19</v>
      </c>
      <c r="U21" s="393">
        <f t="shared" si="8"/>
        <v>2141.7200000000003</v>
      </c>
      <c r="V21" s="393">
        <f t="shared" si="2"/>
        <v>40588.089999999997</v>
      </c>
      <c r="W21" s="365"/>
      <c r="X21" s="365"/>
      <c r="Y21" s="365"/>
      <c r="Z21" s="365"/>
    </row>
    <row r="22" spans="1:26" ht="14.25" hidden="1" customHeight="1" x14ac:dyDescent="0.25">
      <c r="A22" s="385" t="s">
        <v>658</v>
      </c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92">
        <f t="shared" si="2"/>
        <v>0</v>
      </c>
      <c r="W22" s="365"/>
      <c r="X22" s="365"/>
      <c r="Y22" s="365"/>
      <c r="Z22" s="365"/>
    </row>
    <row r="23" spans="1:26" ht="14.25" hidden="1" customHeight="1" x14ac:dyDescent="0.25">
      <c r="A23" s="385" t="s">
        <v>659</v>
      </c>
      <c r="B23" s="392">
        <f>854.99</f>
        <v>854.99</v>
      </c>
      <c r="C23" s="392">
        <f>838.2</f>
        <v>838.2</v>
      </c>
      <c r="D23" s="392">
        <f>128.55</f>
        <v>128.55000000000001</v>
      </c>
      <c r="E23" s="392">
        <f>55.02</f>
        <v>55.02</v>
      </c>
      <c r="F23" s="392">
        <f>161.06</f>
        <v>161.06</v>
      </c>
      <c r="G23" s="392">
        <f>114.99</f>
        <v>114.99</v>
      </c>
      <c r="H23" s="392">
        <f>809.94</f>
        <v>809.94</v>
      </c>
      <c r="I23" s="392">
        <f>357.42</f>
        <v>357.42</v>
      </c>
      <c r="J23" s="392">
        <f t="shared" ref="J23:L23" si="9">114.99</f>
        <v>114.99</v>
      </c>
      <c r="K23" s="392">
        <f t="shared" si="9"/>
        <v>114.99</v>
      </c>
      <c r="L23" s="392">
        <f t="shared" si="9"/>
        <v>114.99</v>
      </c>
      <c r="M23" s="392">
        <f>243.99</f>
        <v>243.99</v>
      </c>
      <c r="N23" s="392">
        <f>854.99</f>
        <v>854.99</v>
      </c>
      <c r="O23" s="392">
        <f>644.99</f>
        <v>644.99</v>
      </c>
      <c r="P23" s="392">
        <f>149.37</f>
        <v>149.37</v>
      </c>
      <c r="Q23" s="392">
        <f>114.99</f>
        <v>114.99</v>
      </c>
      <c r="R23" s="392">
        <f>207.99</f>
        <v>207.99</v>
      </c>
      <c r="S23" s="392">
        <f>125.29</f>
        <v>125.29</v>
      </c>
      <c r="T23" s="392">
        <f>577.44</f>
        <v>577.44000000000005</v>
      </c>
      <c r="U23" s="392">
        <f>199.99</f>
        <v>199.99</v>
      </c>
      <c r="V23" s="392">
        <f t="shared" si="2"/>
        <v>6784.1799999999985</v>
      </c>
      <c r="W23" s="365"/>
      <c r="X23" s="365"/>
      <c r="Y23" s="365"/>
      <c r="Z23" s="365"/>
    </row>
    <row r="24" spans="1:26" ht="14.25" hidden="1" customHeight="1" x14ac:dyDescent="0.25">
      <c r="A24" s="385" t="s">
        <v>660</v>
      </c>
      <c r="B24" s="392">
        <f>323.78</f>
        <v>323.77999999999997</v>
      </c>
      <c r="C24" s="392">
        <f>204.44</f>
        <v>204.44</v>
      </c>
      <c r="D24" s="392">
        <f>176.96</f>
        <v>176.96</v>
      </c>
      <c r="E24" s="392">
        <f>162.27</f>
        <v>162.27000000000001</v>
      </c>
      <c r="F24" s="392">
        <f>193.07</f>
        <v>193.07</v>
      </c>
      <c r="G24" s="392">
        <f>169.17</f>
        <v>169.17</v>
      </c>
      <c r="H24" s="392">
        <f>216.33</f>
        <v>216.33</v>
      </c>
      <c r="I24" s="392">
        <f>203.18</f>
        <v>203.18</v>
      </c>
      <c r="J24" s="392">
        <f>230.64</f>
        <v>230.64</v>
      </c>
      <c r="K24" s="392">
        <f>129.62</f>
        <v>129.62</v>
      </c>
      <c r="L24" s="392">
        <f>166.73</f>
        <v>166.73</v>
      </c>
      <c r="M24" s="392">
        <f>272.72</f>
        <v>272.72000000000003</v>
      </c>
      <c r="N24" s="392">
        <f>15</f>
        <v>15</v>
      </c>
      <c r="O24" s="392">
        <f>139.27</f>
        <v>139.27000000000001</v>
      </c>
      <c r="P24" s="392">
        <f>14.62</f>
        <v>14.62</v>
      </c>
      <c r="Q24" s="392">
        <f>115.14</f>
        <v>115.14</v>
      </c>
      <c r="R24" s="392">
        <f>117.39</f>
        <v>117.39</v>
      </c>
      <c r="S24" s="392">
        <f>176.21</f>
        <v>176.21</v>
      </c>
      <c r="T24" s="392">
        <f>44.25</f>
        <v>44.25</v>
      </c>
      <c r="U24" s="392">
        <f>120.45</f>
        <v>120.45</v>
      </c>
      <c r="V24" s="392">
        <f t="shared" si="2"/>
        <v>3191.2399999999993</v>
      </c>
      <c r="W24" s="365"/>
      <c r="X24" s="365"/>
      <c r="Y24" s="365"/>
      <c r="Z24" s="365"/>
    </row>
    <row r="25" spans="1:26" ht="14.25" hidden="1" customHeight="1" x14ac:dyDescent="0.25">
      <c r="A25" s="385" t="s">
        <v>661</v>
      </c>
      <c r="B25" s="393">
        <f t="shared" ref="B25:U25" si="10">((B22)+(B23))+(B24)</f>
        <v>1178.77</v>
      </c>
      <c r="C25" s="393">
        <f t="shared" si="10"/>
        <v>1042.6400000000001</v>
      </c>
      <c r="D25" s="393">
        <f t="shared" si="10"/>
        <v>305.51</v>
      </c>
      <c r="E25" s="393">
        <f t="shared" si="10"/>
        <v>217.29000000000002</v>
      </c>
      <c r="F25" s="393">
        <f t="shared" si="10"/>
        <v>354.13</v>
      </c>
      <c r="G25" s="393">
        <f t="shared" si="10"/>
        <v>284.15999999999997</v>
      </c>
      <c r="H25" s="393">
        <f t="shared" si="10"/>
        <v>1026.27</v>
      </c>
      <c r="I25" s="393">
        <f t="shared" si="10"/>
        <v>560.6</v>
      </c>
      <c r="J25" s="393">
        <f t="shared" si="10"/>
        <v>345.63</v>
      </c>
      <c r="K25" s="393">
        <f t="shared" si="10"/>
        <v>244.61</v>
      </c>
      <c r="L25" s="393">
        <f t="shared" si="10"/>
        <v>281.71999999999997</v>
      </c>
      <c r="M25" s="393">
        <f t="shared" si="10"/>
        <v>516.71</v>
      </c>
      <c r="N25" s="393">
        <f t="shared" si="10"/>
        <v>869.99</v>
      </c>
      <c r="O25" s="393">
        <f t="shared" si="10"/>
        <v>784.26</v>
      </c>
      <c r="P25" s="393">
        <f t="shared" si="10"/>
        <v>163.99</v>
      </c>
      <c r="Q25" s="393">
        <f t="shared" si="10"/>
        <v>230.13</v>
      </c>
      <c r="R25" s="393">
        <f t="shared" si="10"/>
        <v>325.38</v>
      </c>
      <c r="S25" s="393">
        <f t="shared" si="10"/>
        <v>301.5</v>
      </c>
      <c r="T25" s="393">
        <f t="shared" si="10"/>
        <v>621.69000000000005</v>
      </c>
      <c r="U25" s="393">
        <f t="shared" si="10"/>
        <v>320.44</v>
      </c>
      <c r="V25" s="393">
        <f t="shared" si="2"/>
        <v>9975.42</v>
      </c>
      <c r="W25" s="365"/>
      <c r="X25" s="365"/>
      <c r="Y25" s="365"/>
      <c r="Z25" s="365"/>
    </row>
    <row r="26" spans="1:26" ht="14.25" hidden="1" customHeight="1" x14ac:dyDescent="0.25">
      <c r="A26" s="385" t="s">
        <v>662</v>
      </c>
      <c r="B26" s="392">
        <f>31809.79</f>
        <v>31809.79</v>
      </c>
      <c r="C26" s="392">
        <f>31887.11</f>
        <v>31887.11</v>
      </c>
      <c r="D26" s="392">
        <f>81045.18</f>
        <v>81045.179999999993</v>
      </c>
      <c r="E26" s="392">
        <f>35985.37</f>
        <v>35985.370000000003</v>
      </c>
      <c r="F26" s="392">
        <f>20466.93</f>
        <v>20466.93</v>
      </c>
      <c r="G26" s="392">
        <f>25487.75</f>
        <v>25487.75</v>
      </c>
      <c r="H26" s="392">
        <f>17059.97</f>
        <v>17059.97</v>
      </c>
      <c r="I26" s="392">
        <f>2488.03</f>
        <v>2488.0300000000002</v>
      </c>
      <c r="J26" s="392">
        <f>32706.16</f>
        <v>32706.16</v>
      </c>
      <c r="K26" s="392">
        <f>35944.4</f>
        <v>35944.400000000001</v>
      </c>
      <c r="L26" s="392">
        <f>31077.62</f>
        <v>31077.62</v>
      </c>
      <c r="M26" s="392">
        <f>17583.91</f>
        <v>17583.91</v>
      </c>
      <c r="N26" s="392">
        <f>10652.66</f>
        <v>10652.66</v>
      </c>
      <c r="O26" s="392">
        <f>11518.39</f>
        <v>11518.39</v>
      </c>
      <c r="P26" s="392">
        <f>19118.97</f>
        <v>19118.97</v>
      </c>
      <c r="Q26" s="392">
        <f>10867.2</f>
        <v>10867.2</v>
      </c>
      <c r="R26" s="392">
        <f>875.07</f>
        <v>875.07</v>
      </c>
      <c r="S26" s="392">
        <f>1955.97</f>
        <v>1955.97</v>
      </c>
      <c r="T26" s="392">
        <f>1618.76</f>
        <v>1618.76</v>
      </c>
      <c r="U26" s="386"/>
      <c r="V26" s="392">
        <f t="shared" si="2"/>
        <v>420149.24</v>
      </c>
      <c r="W26" s="365"/>
      <c r="X26" s="365"/>
      <c r="Y26" s="365"/>
      <c r="Z26" s="365"/>
    </row>
    <row r="27" spans="1:26" ht="14.25" hidden="1" customHeight="1" x14ac:dyDescent="0.25">
      <c r="A27" s="385" t="s">
        <v>663</v>
      </c>
      <c r="B27" s="386"/>
      <c r="C27" s="386"/>
      <c r="D27" s="386"/>
      <c r="E27" s="386"/>
      <c r="F27" s="386"/>
      <c r="G27" s="392">
        <f>502.5</f>
        <v>502.5</v>
      </c>
      <c r="H27" s="392">
        <f>92</f>
        <v>92</v>
      </c>
      <c r="I27" s="392">
        <f>2079.24</f>
        <v>2079.2399999999998</v>
      </c>
      <c r="J27" s="386"/>
      <c r="K27" s="386"/>
      <c r="L27" s="386"/>
      <c r="M27" s="392">
        <f>223.46</f>
        <v>223.46</v>
      </c>
      <c r="N27" s="386"/>
      <c r="O27" s="386"/>
      <c r="P27" s="386"/>
      <c r="Q27" s="386"/>
      <c r="R27" s="386"/>
      <c r="S27" s="386"/>
      <c r="T27" s="386"/>
      <c r="U27" s="392">
        <f>95.25</f>
        <v>95.25</v>
      </c>
      <c r="V27" s="392">
        <f t="shared" si="2"/>
        <v>2992.45</v>
      </c>
      <c r="W27" s="365"/>
      <c r="X27" s="365"/>
      <c r="Y27" s="365"/>
      <c r="Z27" s="365"/>
    </row>
    <row r="28" spans="1:26" ht="14.25" hidden="1" customHeight="1" x14ac:dyDescent="0.25">
      <c r="A28" s="385" t="s">
        <v>664</v>
      </c>
      <c r="B28" s="392">
        <f>1826.73</f>
        <v>1826.73</v>
      </c>
      <c r="C28" s="392">
        <f>706.33</f>
        <v>706.33</v>
      </c>
      <c r="D28" s="392">
        <f>1018.54</f>
        <v>1018.54</v>
      </c>
      <c r="E28" s="392">
        <f>18805.33</f>
        <v>18805.330000000002</v>
      </c>
      <c r="F28" s="392">
        <f>2181.44</f>
        <v>2181.44</v>
      </c>
      <c r="G28" s="392">
        <f>1328.33</f>
        <v>1328.33</v>
      </c>
      <c r="H28" s="392">
        <f>708.33</f>
        <v>708.33</v>
      </c>
      <c r="I28" s="392">
        <f>17345.31</f>
        <v>17345.310000000001</v>
      </c>
      <c r="J28" s="392">
        <f>6036.17</f>
        <v>6036.17</v>
      </c>
      <c r="K28" s="392">
        <f>1114.33</f>
        <v>1114.33</v>
      </c>
      <c r="L28" s="392">
        <f>3101.27</f>
        <v>3101.27</v>
      </c>
      <c r="M28" s="392">
        <f>2204.72</f>
        <v>2204.7199999999998</v>
      </c>
      <c r="N28" s="392">
        <f>6679.33</f>
        <v>6679.33</v>
      </c>
      <c r="O28" s="392">
        <f>2678.65</f>
        <v>2678.65</v>
      </c>
      <c r="P28" s="392">
        <f>3699.33</f>
        <v>3699.33</v>
      </c>
      <c r="Q28" s="392">
        <f t="shared" ref="Q28:R28" si="11">1699.33</f>
        <v>1699.33</v>
      </c>
      <c r="R28" s="392">
        <f t="shared" si="11"/>
        <v>1699.33</v>
      </c>
      <c r="S28" s="392">
        <f>1828.08</f>
        <v>1828.08</v>
      </c>
      <c r="T28" s="392">
        <f>14224.33</f>
        <v>14224.33</v>
      </c>
      <c r="U28" s="392">
        <f>200.98</f>
        <v>200.98</v>
      </c>
      <c r="V28" s="392">
        <f t="shared" si="2"/>
        <v>89086.19</v>
      </c>
      <c r="W28" s="365"/>
      <c r="X28" s="365"/>
      <c r="Y28" s="365"/>
      <c r="Z28" s="365"/>
    </row>
    <row r="29" spans="1:26" ht="14.25" hidden="1" customHeight="1" x14ac:dyDescent="0.25">
      <c r="A29" s="385" t="s">
        <v>665</v>
      </c>
      <c r="B29" s="392">
        <f>4346.45</f>
        <v>4346.45</v>
      </c>
      <c r="C29" s="392">
        <f>2571.18</f>
        <v>2571.1799999999998</v>
      </c>
      <c r="D29" s="392">
        <f>1500.56</f>
        <v>1500.56</v>
      </c>
      <c r="E29" s="392">
        <f>5459.11</f>
        <v>5459.11</v>
      </c>
      <c r="F29" s="392">
        <f>3528</f>
        <v>3528</v>
      </c>
      <c r="G29" s="392">
        <f>5188.11</f>
        <v>5188.1099999999997</v>
      </c>
      <c r="H29" s="392">
        <f>5272</f>
        <v>5272</v>
      </c>
      <c r="I29" s="392">
        <f>5815.84</f>
        <v>5815.84</v>
      </c>
      <c r="J29" s="392">
        <f>6152.6</f>
        <v>6152.6</v>
      </c>
      <c r="K29" s="392">
        <f>5605.58</f>
        <v>5605.58</v>
      </c>
      <c r="L29" s="392">
        <f>5526.51</f>
        <v>5526.51</v>
      </c>
      <c r="M29" s="392">
        <f>6439.75</f>
        <v>6439.75</v>
      </c>
      <c r="N29" s="392">
        <f>6734.81</f>
        <v>6734.81</v>
      </c>
      <c r="O29" s="392">
        <f>5997.56</f>
        <v>5997.56</v>
      </c>
      <c r="P29" s="392">
        <f>8885.28</f>
        <v>8885.2800000000007</v>
      </c>
      <c r="Q29" s="392">
        <f>6488.24</f>
        <v>6488.24</v>
      </c>
      <c r="R29" s="392">
        <f>8638.83</f>
        <v>8638.83</v>
      </c>
      <c r="S29" s="392">
        <f>6913.57</f>
        <v>6913.57</v>
      </c>
      <c r="T29" s="392">
        <f>7328.75</f>
        <v>7328.75</v>
      </c>
      <c r="U29" s="392">
        <f>6069.67</f>
        <v>6069.67</v>
      </c>
      <c r="V29" s="392">
        <f t="shared" si="2"/>
        <v>114462.40000000001</v>
      </c>
      <c r="W29" s="365"/>
      <c r="X29" s="365"/>
      <c r="Y29" s="365"/>
      <c r="Z29" s="365"/>
    </row>
    <row r="30" spans="1:26" ht="14.25" hidden="1" customHeight="1" x14ac:dyDescent="0.25">
      <c r="A30" s="385" t="s">
        <v>666</v>
      </c>
      <c r="B30" s="392">
        <f>2010</f>
        <v>2010</v>
      </c>
      <c r="C30" s="392">
        <f>1310</f>
        <v>1310</v>
      </c>
      <c r="D30" s="392">
        <f t="shared" ref="D30:F30" si="12">1660</f>
        <v>1660</v>
      </c>
      <c r="E30" s="392">
        <f t="shared" si="12"/>
        <v>1660</v>
      </c>
      <c r="F30" s="392">
        <f t="shared" si="12"/>
        <v>1660</v>
      </c>
      <c r="G30" s="392">
        <f>1310</f>
        <v>1310</v>
      </c>
      <c r="H30" s="392">
        <f>1985</f>
        <v>1985</v>
      </c>
      <c r="I30" s="392">
        <f>960</f>
        <v>960</v>
      </c>
      <c r="J30" s="392">
        <f>8960</f>
        <v>8960</v>
      </c>
      <c r="K30" s="392">
        <f>14685</f>
        <v>14685</v>
      </c>
      <c r="L30" s="392">
        <f>1860</f>
        <v>1860</v>
      </c>
      <c r="M30" s="392">
        <f>1185</f>
        <v>1185</v>
      </c>
      <c r="N30" s="392">
        <f>1735</f>
        <v>1735</v>
      </c>
      <c r="O30" s="392">
        <f>1510</f>
        <v>1510</v>
      </c>
      <c r="P30" s="392">
        <f>13785</f>
        <v>13785</v>
      </c>
      <c r="Q30" s="392">
        <f>14135</f>
        <v>14135</v>
      </c>
      <c r="R30" s="392">
        <f>2285</f>
        <v>2285</v>
      </c>
      <c r="S30" s="392">
        <f>1510</f>
        <v>1510</v>
      </c>
      <c r="T30" s="392">
        <f>2085</f>
        <v>2085</v>
      </c>
      <c r="U30" s="392">
        <f>225</f>
        <v>225</v>
      </c>
      <c r="V30" s="392">
        <f t="shared" si="2"/>
        <v>76515</v>
      </c>
      <c r="W30" s="365"/>
      <c r="X30" s="365"/>
      <c r="Y30" s="365"/>
      <c r="Z30" s="365"/>
    </row>
    <row r="31" spans="1:26" ht="14.25" hidden="1" customHeight="1" x14ac:dyDescent="0.25">
      <c r="A31" s="385" t="s">
        <v>667</v>
      </c>
      <c r="B31" s="392">
        <f>37.74</f>
        <v>37.74</v>
      </c>
      <c r="C31" s="392">
        <f>30.14</f>
        <v>30.14</v>
      </c>
      <c r="D31" s="392">
        <f>51.84</f>
        <v>51.84</v>
      </c>
      <c r="E31" s="392">
        <f>247.25</f>
        <v>247.25</v>
      </c>
      <c r="F31" s="392">
        <f>82.23</f>
        <v>82.23</v>
      </c>
      <c r="G31" s="392">
        <f>60.53</f>
        <v>60.53</v>
      </c>
      <c r="H31" s="392">
        <f>140.33</f>
        <v>140.33000000000001</v>
      </c>
      <c r="I31" s="392">
        <f>63.79</f>
        <v>63.79</v>
      </c>
      <c r="J31" s="392">
        <f>222.79</f>
        <v>222.79</v>
      </c>
      <c r="K31" s="392">
        <f>92.59</f>
        <v>92.59</v>
      </c>
      <c r="L31" s="392">
        <f>119.17</f>
        <v>119.17</v>
      </c>
      <c r="M31" s="392">
        <f>145.75</f>
        <v>145.75</v>
      </c>
      <c r="N31" s="392">
        <f>119.17</f>
        <v>119.17</v>
      </c>
      <c r="O31" s="392">
        <f>139.17</f>
        <v>139.16999999999999</v>
      </c>
      <c r="P31" s="392">
        <f>91.45</f>
        <v>91.45</v>
      </c>
      <c r="Q31" s="392">
        <f>1423.56</f>
        <v>1423.56</v>
      </c>
      <c r="R31" s="392">
        <f>1189.66</f>
        <v>1189.6600000000001</v>
      </c>
      <c r="S31" s="392">
        <f>1177.59</f>
        <v>1177.5899999999999</v>
      </c>
      <c r="T31" s="392">
        <f>1254.33</f>
        <v>1254.33</v>
      </c>
      <c r="U31" s="392">
        <f>1147.27</f>
        <v>1147.27</v>
      </c>
      <c r="V31" s="392">
        <f t="shared" si="2"/>
        <v>7836.35</v>
      </c>
      <c r="W31" s="365"/>
      <c r="X31" s="365"/>
      <c r="Y31" s="365"/>
      <c r="Z31" s="365"/>
    </row>
    <row r="32" spans="1:26" ht="14.25" hidden="1" customHeight="1" x14ac:dyDescent="0.25">
      <c r="A32" s="385" t="s">
        <v>668</v>
      </c>
      <c r="B32" s="386"/>
      <c r="C32" s="386"/>
      <c r="D32" s="392">
        <f>40.73</f>
        <v>40.729999999999997</v>
      </c>
      <c r="E32" s="392">
        <f>314.94</f>
        <v>314.94</v>
      </c>
      <c r="F32" s="392">
        <f>1393.09</f>
        <v>1393.09</v>
      </c>
      <c r="G32" s="392">
        <f>61.38</f>
        <v>61.38</v>
      </c>
      <c r="H32" s="392">
        <f>1312.95</f>
        <v>1312.95</v>
      </c>
      <c r="I32" s="392">
        <f>10.85</f>
        <v>10.85</v>
      </c>
      <c r="J32" s="392">
        <f>101.17</f>
        <v>101.17</v>
      </c>
      <c r="K32" s="386"/>
      <c r="L32" s="386"/>
      <c r="M32" s="386"/>
      <c r="N32" s="386"/>
      <c r="O32" s="386"/>
      <c r="P32" s="386"/>
      <c r="Q32" s="386"/>
      <c r="R32" s="392">
        <f>325.8</f>
        <v>325.8</v>
      </c>
      <c r="S32" s="392">
        <f>43.43</f>
        <v>43.43</v>
      </c>
      <c r="T32" s="392">
        <f>2402.17</f>
        <v>2402.17</v>
      </c>
      <c r="U32" s="392">
        <f>2354.93</f>
        <v>2354.9299999999998</v>
      </c>
      <c r="V32" s="392">
        <f t="shared" si="2"/>
        <v>8361.44</v>
      </c>
      <c r="W32" s="365"/>
      <c r="X32" s="365"/>
      <c r="Y32" s="365"/>
      <c r="Z32" s="365"/>
    </row>
    <row r="33" spans="1:26" ht="14.25" hidden="1" customHeight="1" x14ac:dyDescent="0.25">
      <c r="A33" s="385" t="s">
        <v>669</v>
      </c>
      <c r="B33" s="386"/>
      <c r="C33" s="386"/>
      <c r="D33" s="392">
        <f>29.99</f>
        <v>29.99</v>
      </c>
      <c r="E33" s="386"/>
      <c r="F33" s="386"/>
      <c r="G33" s="392">
        <f>3278.55</f>
        <v>3278.55</v>
      </c>
      <c r="H33" s="392">
        <f>5103</f>
        <v>5103</v>
      </c>
      <c r="I33" s="386"/>
      <c r="J33" s="386"/>
      <c r="K33" s="386"/>
      <c r="L33" s="392">
        <f>100</f>
        <v>100</v>
      </c>
      <c r="M33" s="392">
        <f>275</f>
        <v>275</v>
      </c>
      <c r="N33" s="392">
        <f>305</f>
        <v>305</v>
      </c>
      <c r="O33" s="392">
        <f>200</f>
        <v>200</v>
      </c>
      <c r="P33" s="392">
        <f>2273.71</f>
        <v>2273.71</v>
      </c>
      <c r="Q33" s="392">
        <f>2273.33</f>
        <v>2273.33</v>
      </c>
      <c r="R33" s="392">
        <f>2958.33</f>
        <v>2958.33</v>
      </c>
      <c r="S33" s="392">
        <f>2638.58</f>
        <v>2638.58</v>
      </c>
      <c r="T33" s="392">
        <f>2279.45</f>
        <v>2279.4499999999998</v>
      </c>
      <c r="U33" s="392">
        <f>1621</f>
        <v>1621</v>
      </c>
      <c r="V33" s="392">
        <f t="shared" si="2"/>
        <v>23335.94</v>
      </c>
      <c r="W33" s="365"/>
      <c r="X33" s="365"/>
      <c r="Y33" s="365"/>
      <c r="Z33" s="365"/>
    </row>
    <row r="34" spans="1:26" ht="14.25" hidden="1" customHeight="1" x14ac:dyDescent="0.25">
      <c r="A34" s="385" t="s">
        <v>670</v>
      </c>
      <c r="B34" s="392">
        <f>-328.04</f>
        <v>-328.04</v>
      </c>
      <c r="C34" s="392">
        <f>1492.58</f>
        <v>1492.58</v>
      </c>
      <c r="D34" s="386"/>
      <c r="E34" s="386"/>
      <c r="F34" s="386"/>
      <c r="G34" s="386"/>
      <c r="H34" s="386"/>
      <c r="I34" s="386"/>
      <c r="J34" s="392">
        <f>232.64</f>
        <v>232.64</v>
      </c>
      <c r="K34" s="386"/>
      <c r="L34" s="386"/>
      <c r="M34" s="392">
        <f>1984.37</f>
        <v>1984.37</v>
      </c>
      <c r="N34" s="392">
        <f>-118.27</f>
        <v>-118.27</v>
      </c>
      <c r="O34" s="392">
        <f>-360</f>
        <v>-360</v>
      </c>
      <c r="P34" s="392">
        <f>-240</f>
        <v>-240</v>
      </c>
      <c r="Q34" s="392">
        <f>-1775.78</f>
        <v>-1775.78</v>
      </c>
      <c r="R34" s="392">
        <f>-120</f>
        <v>-120</v>
      </c>
      <c r="S34" s="392">
        <f>1712.19</f>
        <v>1712.19</v>
      </c>
      <c r="T34" s="392">
        <f>-64</f>
        <v>-64</v>
      </c>
      <c r="U34" s="386"/>
      <c r="V34" s="392">
        <f t="shared" si="2"/>
        <v>2415.6899999999996</v>
      </c>
      <c r="W34" s="365"/>
      <c r="X34" s="365"/>
      <c r="Y34" s="365"/>
      <c r="Z34" s="365"/>
    </row>
    <row r="35" spans="1:26" ht="14.25" hidden="1" customHeight="1" x14ac:dyDescent="0.25">
      <c r="A35" s="385" t="s">
        <v>671</v>
      </c>
      <c r="B35" s="392">
        <f>3243.04</f>
        <v>3243.04</v>
      </c>
      <c r="C35" s="392">
        <f t="shared" ref="C35:J35" si="13">1621.52</f>
        <v>1621.52</v>
      </c>
      <c r="D35" s="392">
        <f t="shared" si="13"/>
        <v>1621.52</v>
      </c>
      <c r="E35" s="392">
        <f t="shared" si="13"/>
        <v>1621.52</v>
      </c>
      <c r="F35" s="392">
        <f t="shared" si="13"/>
        <v>1621.52</v>
      </c>
      <c r="G35" s="392">
        <f t="shared" si="13"/>
        <v>1621.52</v>
      </c>
      <c r="H35" s="392">
        <f t="shared" si="13"/>
        <v>1621.52</v>
      </c>
      <c r="I35" s="392">
        <f t="shared" si="13"/>
        <v>1621.52</v>
      </c>
      <c r="J35" s="392">
        <f t="shared" si="13"/>
        <v>1621.52</v>
      </c>
      <c r="K35" s="392">
        <f>2204.84</f>
        <v>2204.84</v>
      </c>
      <c r="L35" s="392">
        <f t="shared" ref="L35:M35" si="14">2832.4</f>
        <v>2832.4</v>
      </c>
      <c r="M35" s="392">
        <f t="shared" si="14"/>
        <v>2832.4</v>
      </c>
      <c r="N35" s="392">
        <f>4924.56</f>
        <v>4924.5600000000004</v>
      </c>
      <c r="O35" s="392">
        <f t="shared" ref="O35:P35" si="15">3878.48</f>
        <v>3878.48</v>
      </c>
      <c r="P35" s="392">
        <f t="shared" si="15"/>
        <v>3878.48</v>
      </c>
      <c r="Q35" s="392">
        <f t="shared" ref="Q35:T35" si="16">4401.52</f>
        <v>4401.5200000000004</v>
      </c>
      <c r="R35" s="392">
        <f t="shared" si="16"/>
        <v>4401.5200000000004</v>
      </c>
      <c r="S35" s="392">
        <f t="shared" si="16"/>
        <v>4401.5200000000004</v>
      </c>
      <c r="T35" s="392">
        <f t="shared" si="16"/>
        <v>4401.5200000000004</v>
      </c>
      <c r="U35" s="392">
        <f>583.32</f>
        <v>583.32000000000005</v>
      </c>
      <c r="V35" s="392">
        <f t="shared" si="2"/>
        <v>54955.760000000017</v>
      </c>
      <c r="W35" s="365"/>
      <c r="X35" s="365"/>
      <c r="Y35" s="365"/>
      <c r="Z35" s="365"/>
    </row>
    <row r="36" spans="1:26" ht="14.25" hidden="1" customHeight="1" x14ac:dyDescent="0.25">
      <c r="A36" s="385" t="s">
        <v>672</v>
      </c>
      <c r="B36" s="393">
        <f t="shared" ref="B36:U36" si="17">(B34)+(B35)</f>
        <v>2915</v>
      </c>
      <c r="C36" s="393">
        <f t="shared" si="17"/>
        <v>3114.1</v>
      </c>
      <c r="D36" s="393">
        <f t="shared" si="17"/>
        <v>1621.52</v>
      </c>
      <c r="E36" s="393">
        <f t="shared" si="17"/>
        <v>1621.52</v>
      </c>
      <c r="F36" s="393">
        <f t="shared" si="17"/>
        <v>1621.52</v>
      </c>
      <c r="G36" s="393">
        <f t="shared" si="17"/>
        <v>1621.52</v>
      </c>
      <c r="H36" s="393">
        <f t="shared" si="17"/>
        <v>1621.52</v>
      </c>
      <c r="I36" s="393">
        <f t="shared" si="17"/>
        <v>1621.52</v>
      </c>
      <c r="J36" s="393">
        <f t="shared" si="17"/>
        <v>1854.1599999999999</v>
      </c>
      <c r="K36" s="393">
        <f t="shared" si="17"/>
        <v>2204.84</v>
      </c>
      <c r="L36" s="393">
        <f t="shared" si="17"/>
        <v>2832.4</v>
      </c>
      <c r="M36" s="393">
        <f t="shared" si="17"/>
        <v>4816.7700000000004</v>
      </c>
      <c r="N36" s="393">
        <f t="shared" si="17"/>
        <v>4806.29</v>
      </c>
      <c r="O36" s="393">
        <f t="shared" si="17"/>
        <v>3518.48</v>
      </c>
      <c r="P36" s="393">
        <f t="shared" si="17"/>
        <v>3638.48</v>
      </c>
      <c r="Q36" s="393">
        <f t="shared" si="17"/>
        <v>2625.7400000000007</v>
      </c>
      <c r="R36" s="393">
        <f t="shared" si="17"/>
        <v>4281.5200000000004</v>
      </c>
      <c r="S36" s="393">
        <f t="shared" si="17"/>
        <v>6113.7100000000009</v>
      </c>
      <c r="T36" s="393">
        <f t="shared" si="17"/>
        <v>4337.5200000000004</v>
      </c>
      <c r="U36" s="393">
        <f t="shared" si="17"/>
        <v>583.32000000000005</v>
      </c>
      <c r="V36" s="393">
        <f t="shared" si="2"/>
        <v>57371.450000000004</v>
      </c>
      <c r="W36" s="365"/>
      <c r="X36" s="365"/>
      <c r="Y36" s="365"/>
      <c r="Z36" s="365"/>
    </row>
    <row r="37" spans="1:26" ht="14.25" hidden="1" customHeight="1" x14ac:dyDescent="0.25">
      <c r="A37" s="385" t="s">
        <v>673</v>
      </c>
      <c r="B37" s="392">
        <f>1272.53</f>
        <v>1272.53</v>
      </c>
      <c r="C37" s="392">
        <f>805.39</f>
        <v>805.39</v>
      </c>
      <c r="D37" s="392">
        <f>567</f>
        <v>567</v>
      </c>
      <c r="E37" s="392">
        <f>1070.06</f>
        <v>1070.06</v>
      </c>
      <c r="F37" s="392">
        <f>483.56</f>
        <v>483.56</v>
      </c>
      <c r="G37" s="392">
        <f>820.05</f>
        <v>820.05</v>
      </c>
      <c r="H37" s="392">
        <f>797.06</f>
        <v>797.06</v>
      </c>
      <c r="I37" s="392">
        <f>804.06</f>
        <v>804.06</v>
      </c>
      <c r="J37" s="392">
        <f>1145.47</f>
        <v>1145.47</v>
      </c>
      <c r="K37" s="392">
        <f>1126.52</f>
        <v>1126.52</v>
      </c>
      <c r="L37" s="392">
        <f>1119.16</f>
        <v>1119.1600000000001</v>
      </c>
      <c r="M37" s="392">
        <f>1097.3</f>
        <v>1097.3</v>
      </c>
      <c r="N37" s="392">
        <f t="shared" ref="N37:U37" si="18">750</f>
        <v>750</v>
      </c>
      <c r="O37" s="392">
        <f t="shared" si="18"/>
        <v>750</v>
      </c>
      <c r="P37" s="392">
        <f t="shared" si="18"/>
        <v>750</v>
      </c>
      <c r="Q37" s="392">
        <f t="shared" si="18"/>
        <v>750</v>
      </c>
      <c r="R37" s="392">
        <f t="shared" si="18"/>
        <v>750</v>
      </c>
      <c r="S37" s="392">
        <f t="shared" si="18"/>
        <v>750</v>
      </c>
      <c r="T37" s="392">
        <f t="shared" si="18"/>
        <v>750</v>
      </c>
      <c r="U37" s="392">
        <f t="shared" si="18"/>
        <v>750</v>
      </c>
      <c r="V37" s="392">
        <f t="shared" si="2"/>
        <v>17108.159999999996</v>
      </c>
      <c r="W37" s="365"/>
      <c r="X37" s="365"/>
      <c r="Y37" s="365"/>
      <c r="Z37" s="365"/>
    </row>
    <row r="38" spans="1:26" ht="14.25" hidden="1" customHeight="1" x14ac:dyDescent="0.25">
      <c r="A38" s="385" t="s">
        <v>674</v>
      </c>
      <c r="B38" s="386"/>
      <c r="C38" s="392">
        <f>1500</f>
        <v>1500</v>
      </c>
      <c r="D38" s="386"/>
      <c r="E38" s="386"/>
      <c r="F38" s="386"/>
      <c r="G38" s="392">
        <f>74.99</f>
        <v>74.989999999999995</v>
      </c>
      <c r="H38" s="386"/>
      <c r="I38" s="386"/>
      <c r="J38" s="386"/>
      <c r="K38" s="386"/>
      <c r="L38" s="386"/>
      <c r="M38" s="386"/>
      <c r="N38" s="386"/>
      <c r="O38" s="392">
        <f>1810</f>
        <v>1810</v>
      </c>
      <c r="P38" s="392">
        <f>4924</f>
        <v>4924</v>
      </c>
      <c r="Q38" s="392">
        <f t="shared" ref="Q38:R38" si="19">1000</f>
        <v>1000</v>
      </c>
      <c r="R38" s="392">
        <f t="shared" si="19"/>
        <v>1000</v>
      </c>
      <c r="S38" s="392">
        <f>1074.99</f>
        <v>1074.99</v>
      </c>
      <c r="T38" s="392">
        <f t="shared" ref="T38:U38" si="20">1000</f>
        <v>1000</v>
      </c>
      <c r="U38" s="392">
        <f t="shared" si="20"/>
        <v>1000</v>
      </c>
      <c r="V38" s="392">
        <f t="shared" si="2"/>
        <v>13383.98</v>
      </c>
      <c r="W38" s="365"/>
      <c r="X38" s="365"/>
      <c r="Y38" s="365"/>
      <c r="Z38" s="365"/>
    </row>
    <row r="39" spans="1:26" ht="14.25" hidden="1" customHeight="1" x14ac:dyDescent="0.25">
      <c r="A39" s="385" t="s">
        <v>675</v>
      </c>
      <c r="B39" s="392">
        <f>3155.97</f>
        <v>3155.97</v>
      </c>
      <c r="C39" s="392">
        <f>2625.66</f>
        <v>2625.66</v>
      </c>
      <c r="D39" s="392">
        <f>726.32</f>
        <v>726.32</v>
      </c>
      <c r="E39" s="392">
        <f>3997.92</f>
        <v>3997.92</v>
      </c>
      <c r="F39" s="392">
        <f>1550.52</f>
        <v>1550.52</v>
      </c>
      <c r="G39" s="392">
        <f>1426.69</f>
        <v>1426.69</v>
      </c>
      <c r="H39" s="392">
        <f>3065.59</f>
        <v>3065.59</v>
      </c>
      <c r="I39" s="392">
        <f>4097.86</f>
        <v>4097.8599999999997</v>
      </c>
      <c r="J39" s="392">
        <f>1723.98</f>
        <v>1723.98</v>
      </c>
      <c r="K39" s="392">
        <f>2669.97</f>
        <v>2669.97</v>
      </c>
      <c r="L39" s="392">
        <f>1184.55</f>
        <v>1184.55</v>
      </c>
      <c r="M39" s="392">
        <f>2751.7</f>
        <v>2751.7</v>
      </c>
      <c r="N39" s="392">
        <f>3355.46</f>
        <v>3355.46</v>
      </c>
      <c r="O39" s="392">
        <f>10215.58</f>
        <v>10215.58</v>
      </c>
      <c r="P39" s="392">
        <f>2522.17</f>
        <v>2522.17</v>
      </c>
      <c r="Q39" s="392">
        <f>1795.35</f>
        <v>1795.35</v>
      </c>
      <c r="R39" s="392">
        <f>1548.47</f>
        <v>1548.47</v>
      </c>
      <c r="S39" s="392">
        <f>3206.83</f>
        <v>3206.83</v>
      </c>
      <c r="T39" s="392">
        <f>3495.41</f>
        <v>3495.41</v>
      </c>
      <c r="U39" s="392">
        <f>1068.65</f>
        <v>1068.6500000000001</v>
      </c>
      <c r="V39" s="392">
        <f t="shared" si="2"/>
        <v>56184.65</v>
      </c>
      <c r="W39" s="365"/>
      <c r="X39" s="365"/>
      <c r="Y39" s="365"/>
      <c r="Z39" s="365"/>
    </row>
    <row r="40" spans="1:26" ht="14.25" hidden="1" customHeight="1" x14ac:dyDescent="0.25">
      <c r="A40" s="385" t="s">
        <v>676</v>
      </c>
      <c r="B40" s="392">
        <f>3612.13</f>
        <v>3612.13</v>
      </c>
      <c r="C40" s="392">
        <f>6040.46</f>
        <v>6040.46</v>
      </c>
      <c r="D40" s="392">
        <f>3807.54</f>
        <v>3807.54</v>
      </c>
      <c r="E40" s="392">
        <f>3338.99</f>
        <v>3338.99</v>
      </c>
      <c r="F40" s="392">
        <f>5484.94</f>
        <v>5484.94</v>
      </c>
      <c r="G40" s="392">
        <f>6860.42</f>
        <v>6860.42</v>
      </c>
      <c r="H40" s="392">
        <f>3911.67</f>
        <v>3911.67</v>
      </c>
      <c r="I40" s="392">
        <f>21658.03</f>
        <v>21658.03</v>
      </c>
      <c r="J40" s="392">
        <f>4745.86</f>
        <v>4745.8599999999997</v>
      </c>
      <c r="K40" s="392">
        <f>3220.7</f>
        <v>3220.7</v>
      </c>
      <c r="L40" s="392">
        <f>8879.35</f>
        <v>8879.35</v>
      </c>
      <c r="M40" s="392">
        <f>2249.76</f>
        <v>2249.7600000000002</v>
      </c>
      <c r="N40" s="392">
        <f>3621.71</f>
        <v>3621.71</v>
      </c>
      <c r="O40" s="392">
        <f>5781.43</f>
        <v>5781.43</v>
      </c>
      <c r="P40" s="392">
        <f>7703.14</f>
        <v>7703.14</v>
      </c>
      <c r="Q40" s="392">
        <f>4594.84</f>
        <v>4594.84</v>
      </c>
      <c r="R40" s="392">
        <f>5942.62</f>
        <v>5942.62</v>
      </c>
      <c r="S40" s="392">
        <f>4235.13</f>
        <v>4235.13</v>
      </c>
      <c r="T40" s="392">
        <f>3009.45</f>
        <v>3009.45</v>
      </c>
      <c r="U40" s="392">
        <f>8664.39</f>
        <v>8664.39</v>
      </c>
      <c r="V40" s="392">
        <f t="shared" si="2"/>
        <v>117362.55999999998</v>
      </c>
      <c r="W40" s="365"/>
      <c r="X40" s="365"/>
      <c r="Y40" s="365"/>
      <c r="Z40" s="365"/>
    </row>
    <row r="41" spans="1:26" ht="14.25" hidden="1" customHeight="1" x14ac:dyDescent="0.25">
      <c r="A41" s="385" t="s">
        <v>677</v>
      </c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6"/>
      <c r="P41" s="386"/>
      <c r="Q41" s="386"/>
      <c r="R41" s="386"/>
      <c r="S41" s="386"/>
      <c r="T41" s="386"/>
      <c r="U41" s="386"/>
      <c r="V41" s="392">
        <f t="shared" si="2"/>
        <v>0</v>
      </c>
      <c r="W41" s="365"/>
      <c r="X41" s="365"/>
      <c r="Y41" s="365"/>
      <c r="Z41" s="365"/>
    </row>
    <row r="42" spans="1:26" ht="14.25" hidden="1" customHeight="1" x14ac:dyDescent="0.25">
      <c r="A42" s="385" t="s">
        <v>678</v>
      </c>
      <c r="B42" s="392">
        <f>5268.78</f>
        <v>5268.78</v>
      </c>
      <c r="C42" s="392">
        <f>5245.14</f>
        <v>5245.14</v>
      </c>
      <c r="D42" s="392">
        <f>8821.21</f>
        <v>8821.2099999999991</v>
      </c>
      <c r="E42" s="392">
        <f>5701.58</f>
        <v>5701.58</v>
      </c>
      <c r="F42" s="392">
        <f>8546.22</f>
        <v>8546.2199999999993</v>
      </c>
      <c r="G42" s="392">
        <f>10618.83</f>
        <v>10618.83</v>
      </c>
      <c r="H42" s="392">
        <f>12303.78</f>
        <v>12303.78</v>
      </c>
      <c r="I42" s="392">
        <f>12230.63</f>
        <v>12230.63</v>
      </c>
      <c r="J42" s="392">
        <f>12675.69</f>
        <v>12675.69</v>
      </c>
      <c r="K42" s="392">
        <f>14092.79</f>
        <v>14092.79</v>
      </c>
      <c r="L42" s="392">
        <f>14726.53</f>
        <v>14726.53</v>
      </c>
      <c r="M42" s="392">
        <f>28717.74</f>
        <v>28717.74</v>
      </c>
      <c r="N42" s="392">
        <f>18865.63</f>
        <v>18865.63</v>
      </c>
      <c r="O42" s="392">
        <f>18344.5</f>
        <v>18344.5</v>
      </c>
      <c r="P42" s="392">
        <f>21620.93</f>
        <v>21620.93</v>
      </c>
      <c r="Q42" s="392">
        <f>23622.08</f>
        <v>23622.080000000002</v>
      </c>
      <c r="R42" s="392">
        <f>23376.66</f>
        <v>23376.66</v>
      </c>
      <c r="S42" s="392">
        <f>26812.21</f>
        <v>26812.21</v>
      </c>
      <c r="T42" s="392">
        <f>36670.01</f>
        <v>36670.01</v>
      </c>
      <c r="U42" s="392">
        <f>18040.58</f>
        <v>18040.580000000002</v>
      </c>
      <c r="V42" s="392">
        <f t="shared" si="2"/>
        <v>326301.52</v>
      </c>
      <c r="W42" s="365"/>
      <c r="X42" s="365"/>
      <c r="Y42" s="365"/>
      <c r="Z42" s="365"/>
    </row>
    <row r="43" spans="1:26" ht="14.25" hidden="1" customHeight="1" x14ac:dyDescent="0.25">
      <c r="A43" s="385" t="s">
        <v>679</v>
      </c>
      <c r="B43" s="392">
        <f>15650.38</f>
        <v>15650.38</v>
      </c>
      <c r="C43" s="392">
        <f>17449.18</f>
        <v>17449.18</v>
      </c>
      <c r="D43" s="392">
        <f>28633.5</f>
        <v>28633.5</v>
      </c>
      <c r="E43" s="392">
        <f>18773.71</f>
        <v>18773.71</v>
      </c>
      <c r="F43" s="392">
        <f>28160.25</f>
        <v>28160.25</v>
      </c>
      <c r="G43" s="392">
        <f>34666.05</f>
        <v>34666.050000000003</v>
      </c>
      <c r="H43" s="392">
        <f>36587.35</f>
        <v>36587.35</v>
      </c>
      <c r="I43" s="392">
        <f>44037.11</f>
        <v>44037.11</v>
      </c>
      <c r="J43" s="392">
        <f>39206.51</f>
        <v>39206.51</v>
      </c>
      <c r="K43" s="392">
        <f>43647.15</f>
        <v>43647.15</v>
      </c>
      <c r="L43" s="392">
        <f>45269.91</f>
        <v>45269.91</v>
      </c>
      <c r="M43" s="392">
        <f>73052.06</f>
        <v>73052.06</v>
      </c>
      <c r="N43" s="392">
        <f>58123.54</f>
        <v>58123.54</v>
      </c>
      <c r="O43" s="392">
        <f>55038.01</f>
        <v>55038.01</v>
      </c>
      <c r="P43" s="392">
        <f>72051.76</f>
        <v>72051.759999999995</v>
      </c>
      <c r="Q43" s="392">
        <f>104331.2</f>
        <v>104331.2</v>
      </c>
      <c r="R43" s="392">
        <f>71353.64</f>
        <v>71353.64</v>
      </c>
      <c r="S43" s="392">
        <f>78649.97</f>
        <v>78649.97</v>
      </c>
      <c r="T43" s="392">
        <f>320062.99</f>
        <v>320062.99</v>
      </c>
      <c r="U43" s="392">
        <f>251481.6</f>
        <v>251481.60000000001</v>
      </c>
      <c r="V43" s="392">
        <f t="shared" si="2"/>
        <v>1436225.87</v>
      </c>
      <c r="W43" s="365"/>
      <c r="X43" s="365"/>
      <c r="Y43" s="365"/>
      <c r="Z43" s="365"/>
    </row>
    <row r="44" spans="1:26" ht="14.25" hidden="1" customHeight="1" x14ac:dyDescent="0.25">
      <c r="A44" s="385" t="s">
        <v>680</v>
      </c>
      <c r="B44" s="393">
        <f t="shared" ref="B44:U44" si="21">((B41)+(B42))+(B43)</f>
        <v>20919.16</v>
      </c>
      <c r="C44" s="393">
        <f t="shared" si="21"/>
        <v>22694.32</v>
      </c>
      <c r="D44" s="393">
        <f t="shared" si="21"/>
        <v>37454.71</v>
      </c>
      <c r="E44" s="393">
        <f t="shared" si="21"/>
        <v>24475.29</v>
      </c>
      <c r="F44" s="393">
        <f t="shared" si="21"/>
        <v>36706.47</v>
      </c>
      <c r="G44" s="393">
        <f t="shared" si="21"/>
        <v>45284.880000000005</v>
      </c>
      <c r="H44" s="393">
        <f t="shared" si="21"/>
        <v>48891.13</v>
      </c>
      <c r="I44" s="393">
        <f t="shared" si="21"/>
        <v>56267.74</v>
      </c>
      <c r="J44" s="393">
        <f t="shared" si="21"/>
        <v>51882.200000000004</v>
      </c>
      <c r="K44" s="393">
        <f t="shared" si="21"/>
        <v>57739.94</v>
      </c>
      <c r="L44" s="393">
        <f t="shared" si="21"/>
        <v>59996.44</v>
      </c>
      <c r="M44" s="393">
        <f t="shared" si="21"/>
        <v>101769.8</v>
      </c>
      <c r="N44" s="393">
        <f t="shared" si="21"/>
        <v>76989.17</v>
      </c>
      <c r="O44" s="393">
        <f t="shared" si="21"/>
        <v>73382.510000000009</v>
      </c>
      <c r="P44" s="393">
        <f t="shared" si="21"/>
        <v>93672.69</v>
      </c>
      <c r="Q44" s="393">
        <f t="shared" si="21"/>
        <v>127953.28</v>
      </c>
      <c r="R44" s="393">
        <f t="shared" si="21"/>
        <v>94730.3</v>
      </c>
      <c r="S44" s="393">
        <f t="shared" si="21"/>
        <v>105462.18</v>
      </c>
      <c r="T44" s="393">
        <f t="shared" si="21"/>
        <v>356733</v>
      </c>
      <c r="U44" s="393">
        <f t="shared" si="21"/>
        <v>269522.18</v>
      </c>
      <c r="V44" s="393">
        <f t="shared" si="2"/>
        <v>1762527.3900000001</v>
      </c>
      <c r="W44" s="365"/>
      <c r="X44" s="365"/>
      <c r="Y44" s="365"/>
      <c r="Z44" s="365"/>
    </row>
    <row r="45" spans="1:26" ht="14.25" hidden="1" customHeight="1" x14ac:dyDescent="0.25">
      <c r="A45" s="385" t="s">
        <v>681</v>
      </c>
      <c r="B45" s="392">
        <f>850.25</f>
        <v>850.25</v>
      </c>
      <c r="C45" s="392">
        <f>981.46</f>
        <v>981.46</v>
      </c>
      <c r="D45" s="392">
        <f>850.25</f>
        <v>850.25</v>
      </c>
      <c r="E45" s="392">
        <f>4826.17</f>
        <v>4826.17</v>
      </c>
      <c r="F45" s="392">
        <f>2471.68</f>
        <v>2471.6799999999998</v>
      </c>
      <c r="G45" s="392">
        <f>2374.9</f>
        <v>2374.9</v>
      </c>
      <c r="H45" s="392">
        <f>3519.41</f>
        <v>3519.41</v>
      </c>
      <c r="I45" s="392">
        <f>722.48</f>
        <v>722.48</v>
      </c>
      <c r="J45" s="392">
        <f>2502.14</f>
        <v>2502.14</v>
      </c>
      <c r="K45" s="392">
        <f>2471.81</f>
        <v>2471.81</v>
      </c>
      <c r="L45" s="392">
        <f>2434.69</f>
        <v>2434.69</v>
      </c>
      <c r="M45" s="392">
        <f>2636.4</f>
        <v>2636.4</v>
      </c>
      <c r="N45" s="392">
        <f>2534.09</f>
        <v>2534.09</v>
      </c>
      <c r="O45" s="392">
        <f>2260.46</f>
        <v>2260.46</v>
      </c>
      <c r="P45" s="392">
        <f>3590.85</f>
        <v>3590.85</v>
      </c>
      <c r="Q45" s="392">
        <f>3128.06</f>
        <v>3128.06</v>
      </c>
      <c r="R45" s="392">
        <f>3584.07</f>
        <v>3584.07</v>
      </c>
      <c r="S45" s="392">
        <f>3771.06</f>
        <v>3771.06</v>
      </c>
      <c r="T45" s="392">
        <f>4111.72</f>
        <v>4111.72</v>
      </c>
      <c r="U45" s="392">
        <f>1975.8</f>
        <v>1975.8</v>
      </c>
      <c r="V45" s="392">
        <f t="shared" si="2"/>
        <v>51597.75</v>
      </c>
      <c r="W45" s="365"/>
      <c r="X45" s="365"/>
      <c r="Y45" s="365"/>
      <c r="Z45" s="365"/>
    </row>
    <row r="46" spans="1:26" ht="14.25" hidden="1" customHeight="1" x14ac:dyDescent="0.25">
      <c r="A46" s="385" t="s">
        <v>682</v>
      </c>
      <c r="B46" s="392">
        <f>3066.26</f>
        <v>3066.26</v>
      </c>
      <c r="C46" s="392">
        <f>449.6</f>
        <v>449.6</v>
      </c>
      <c r="D46" s="392">
        <f>757.34</f>
        <v>757.34</v>
      </c>
      <c r="E46" s="392">
        <f>7342.44</f>
        <v>7342.44</v>
      </c>
      <c r="F46" s="392">
        <f>4491.35</f>
        <v>4491.3500000000004</v>
      </c>
      <c r="G46" s="392">
        <f>136.84</f>
        <v>136.84</v>
      </c>
      <c r="H46" s="392">
        <f>130.32</f>
        <v>130.32</v>
      </c>
      <c r="I46" s="392">
        <f>149.62</f>
        <v>149.62</v>
      </c>
      <c r="J46" s="392">
        <f>390.96</f>
        <v>390.96</v>
      </c>
      <c r="K46" s="392">
        <f>201.54</f>
        <v>201.54</v>
      </c>
      <c r="L46" s="392">
        <f>290.59</f>
        <v>290.58999999999997</v>
      </c>
      <c r="M46" s="392">
        <f>260.64</f>
        <v>260.64</v>
      </c>
      <c r="N46" s="392">
        <f>170.64</f>
        <v>170.64</v>
      </c>
      <c r="O46" s="392">
        <f t="shared" ref="O46:P46" si="22">260.64</f>
        <v>260.64</v>
      </c>
      <c r="P46" s="392">
        <f t="shared" si="22"/>
        <v>260.64</v>
      </c>
      <c r="Q46" s="392">
        <f>300.96</f>
        <v>300.95999999999998</v>
      </c>
      <c r="R46" s="392">
        <f>547.34</f>
        <v>547.34</v>
      </c>
      <c r="S46" s="392">
        <f>390.96</f>
        <v>390.96</v>
      </c>
      <c r="T46" s="392">
        <f>302.76</f>
        <v>302.76</v>
      </c>
      <c r="U46" s="392">
        <f>392.76</f>
        <v>392.76</v>
      </c>
      <c r="V46" s="392">
        <f t="shared" si="2"/>
        <v>20294.199999999993</v>
      </c>
      <c r="W46" s="365"/>
      <c r="X46" s="365"/>
      <c r="Y46" s="365"/>
      <c r="Z46" s="365"/>
    </row>
    <row r="47" spans="1:26" ht="14.25" hidden="1" customHeight="1" x14ac:dyDescent="0.25">
      <c r="A47" s="385" t="s">
        <v>683</v>
      </c>
      <c r="B47" s="392">
        <f>10358.35</f>
        <v>10358.35</v>
      </c>
      <c r="C47" s="392">
        <f>10400.66</f>
        <v>10400.66</v>
      </c>
      <c r="D47" s="392">
        <f>10361.13</f>
        <v>10361.129999999999</v>
      </c>
      <c r="E47" s="392">
        <f>12671.32</f>
        <v>12671.32</v>
      </c>
      <c r="F47" s="392">
        <f>10817.1</f>
        <v>10817.1</v>
      </c>
      <c r="G47" s="392">
        <f>11420.34</f>
        <v>11420.34</v>
      </c>
      <c r="H47" s="392">
        <f>12388.04</f>
        <v>12388.04</v>
      </c>
      <c r="I47" s="392">
        <f>11103.06</f>
        <v>11103.06</v>
      </c>
      <c r="J47" s="392">
        <f>11113.61</f>
        <v>11113.61</v>
      </c>
      <c r="K47" s="392">
        <f>11371.55</f>
        <v>11371.55</v>
      </c>
      <c r="L47" s="392">
        <f>8337.16</f>
        <v>8337.16</v>
      </c>
      <c r="M47" s="392">
        <f>18359.26</f>
        <v>18359.259999999998</v>
      </c>
      <c r="N47" s="392">
        <f>11309.79</f>
        <v>11309.79</v>
      </c>
      <c r="O47" s="392">
        <f>11498.27</f>
        <v>11498.27</v>
      </c>
      <c r="P47" s="392">
        <f>4067.48</f>
        <v>4067.48</v>
      </c>
      <c r="Q47" s="392">
        <f>12903</f>
        <v>12903</v>
      </c>
      <c r="R47" s="392">
        <f>20203.35</f>
        <v>20203.349999999999</v>
      </c>
      <c r="S47" s="392">
        <f>11447.91</f>
        <v>11447.91</v>
      </c>
      <c r="T47" s="392">
        <f>13157.96</f>
        <v>13157.96</v>
      </c>
      <c r="U47" s="392">
        <f>8614.09</f>
        <v>8614.09</v>
      </c>
      <c r="V47" s="392">
        <f t="shared" si="2"/>
        <v>231903.43000000002</v>
      </c>
      <c r="W47" s="365"/>
      <c r="X47" s="365"/>
      <c r="Y47" s="365"/>
      <c r="Z47" s="365"/>
    </row>
    <row r="48" spans="1:26" ht="14.25" hidden="1" customHeight="1" x14ac:dyDescent="0.25">
      <c r="A48" s="385" t="s">
        <v>684</v>
      </c>
      <c r="B48" s="392">
        <f>728</f>
        <v>728</v>
      </c>
      <c r="C48" s="392">
        <f>7278</f>
        <v>7278</v>
      </c>
      <c r="D48" s="392">
        <f>10671.4</f>
        <v>10671.4</v>
      </c>
      <c r="E48" s="392">
        <f>3626</f>
        <v>3626</v>
      </c>
      <c r="F48" s="392">
        <f>15922</f>
        <v>15922</v>
      </c>
      <c r="G48" s="392">
        <f>4230</f>
        <v>4230</v>
      </c>
      <c r="H48" s="392">
        <f>10361</f>
        <v>10361</v>
      </c>
      <c r="I48" s="392">
        <f>3909</f>
        <v>3909</v>
      </c>
      <c r="J48" s="392">
        <f>3997</f>
        <v>3997</v>
      </c>
      <c r="K48" s="392">
        <f>8022</f>
        <v>8022</v>
      </c>
      <c r="L48" s="392">
        <f>224</f>
        <v>224</v>
      </c>
      <c r="M48" s="392">
        <f>6989</f>
        <v>6989</v>
      </c>
      <c r="N48" s="392">
        <f>8105.2</f>
        <v>8105.2</v>
      </c>
      <c r="O48" s="386"/>
      <c r="P48" s="392">
        <f>8172</f>
        <v>8172</v>
      </c>
      <c r="Q48" s="386"/>
      <c r="R48" s="392">
        <f>3815</f>
        <v>3815</v>
      </c>
      <c r="S48" s="392">
        <f>4288</f>
        <v>4288</v>
      </c>
      <c r="T48" s="386"/>
      <c r="U48" s="392">
        <f>3989</f>
        <v>3989</v>
      </c>
      <c r="V48" s="392">
        <f t="shared" si="2"/>
        <v>104326.59999999999</v>
      </c>
      <c r="W48" s="365"/>
      <c r="X48" s="365"/>
      <c r="Y48" s="365"/>
      <c r="Z48" s="365"/>
    </row>
    <row r="49" spans="1:26" ht="14.25" hidden="1" customHeight="1" x14ac:dyDescent="0.25">
      <c r="A49" s="385" t="s">
        <v>685</v>
      </c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92">
        <f>484.95</f>
        <v>484.95</v>
      </c>
      <c r="Q49" s="386"/>
      <c r="R49" s="386"/>
      <c r="S49" s="386"/>
      <c r="T49" s="386"/>
      <c r="U49" s="386"/>
      <c r="V49" s="392">
        <f t="shared" si="2"/>
        <v>484.95</v>
      </c>
      <c r="W49" s="365"/>
      <c r="X49" s="365"/>
      <c r="Y49" s="365"/>
      <c r="Z49" s="365"/>
    </row>
    <row r="50" spans="1:26" ht="14.25" hidden="1" customHeight="1" x14ac:dyDescent="0.25">
      <c r="A50" s="385" t="s">
        <v>686</v>
      </c>
      <c r="B50" s="386"/>
      <c r="C50" s="386"/>
      <c r="D50" s="386"/>
      <c r="E50" s="386"/>
      <c r="F50" s="386"/>
      <c r="G50" s="386"/>
      <c r="H50" s="386"/>
      <c r="I50" s="386"/>
      <c r="J50" s="392">
        <f>2.5</f>
        <v>2.5</v>
      </c>
      <c r="K50" s="386"/>
      <c r="L50" s="392">
        <f>2.5</f>
        <v>2.5</v>
      </c>
      <c r="M50" s="386"/>
      <c r="N50" s="386"/>
      <c r="O50" s="392">
        <f>5</f>
        <v>5</v>
      </c>
      <c r="P50" s="386"/>
      <c r="Q50" s="386"/>
      <c r="R50" s="386"/>
      <c r="S50" s="386"/>
      <c r="T50" s="386"/>
      <c r="U50" s="386"/>
      <c r="V50" s="392">
        <f t="shared" si="2"/>
        <v>10</v>
      </c>
      <c r="W50" s="365"/>
      <c r="X50" s="365"/>
      <c r="Y50" s="365"/>
      <c r="Z50" s="365"/>
    </row>
    <row r="51" spans="1:26" ht="14.25" hidden="1" customHeight="1" x14ac:dyDescent="0.25">
      <c r="A51" s="385" t="s">
        <v>687</v>
      </c>
      <c r="B51" s="386"/>
      <c r="C51" s="386"/>
      <c r="D51" s="386"/>
      <c r="E51" s="386"/>
      <c r="F51" s="386"/>
      <c r="G51" s="386"/>
      <c r="H51" s="386"/>
      <c r="I51" s="392">
        <f>153.61</f>
        <v>153.61000000000001</v>
      </c>
      <c r="J51" s="386"/>
      <c r="K51" s="386"/>
      <c r="L51" s="386"/>
      <c r="M51" s="386"/>
      <c r="N51" s="386"/>
      <c r="O51" s="386"/>
      <c r="P51" s="386"/>
      <c r="Q51" s="386"/>
      <c r="R51" s="386"/>
      <c r="S51" s="386"/>
      <c r="T51" s="386"/>
      <c r="U51" s="386"/>
      <c r="V51" s="392">
        <f t="shared" si="2"/>
        <v>153.61000000000001</v>
      </c>
      <c r="W51" s="365"/>
      <c r="X51" s="365"/>
      <c r="Y51" s="365"/>
      <c r="Z51" s="365"/>
    </row>
    <row r="52" spans="1:26" ht="14.25" hidden="1" customHeight="1" x14ac:dyDescent="0.25">
      <c r="A52" s="385" t="s">
        <v>688</v>
      </c>
      <c r="B52" s="386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6"/>
      <c r="Q52" s="386"/>
      <c r="R52" s="392">
        <f>45</f>
        <v>45</v>
      </c>
      <c r="S52" s="386"/>
      <c r="T52" s="386"/>
      <c r="U52" s="386"/>
      <c r="V52" s="392">
        <f t="shared" si="2"/>
        <v>45</v>
      </c>
      <c r="W52" s="365"/>
      <c r="X52" s="365"/>
      <c r="Y52" s="365"/>
      <c r="Z52" s="365"/>
    </row>
    <row r="53" spans="1:26" ht="14.25" hidden="1" customHeight="1" x14ac:dyDescent="0.25">
      <c r="A53" s="385" t="s">
        <v>689</v>
      </c>
      <c r="B53" s="392">
        <f>-121.9</f>
        <v>-121.9</v>
      </c>
      <c r="C53" s="386"/>
      <c r="D53" s="392">
        <f>9339.13</f>
        <v>9339.1299999999992</v>
      </c>
      <c r="E53" s="392">
        <f>25088.7</f>
        <v>25088.7</v>
      </c>
      <c r="F53" s="386"/>
      <c r="G53" s="392">
        <f>850</f>
        <v>850</v>
      </c>
      <c r="H53" s="392">
        <f>425</f>
        <v>425</v>
      </c>
      <c r="I53" s="386"/>
      <c r="J53" s="386"/>
      <c r="K53" s="392">
        <f>474</f>
        <v>474</v>
      </c>
      <c r="L53" s="392">
        <f>594</f>
        <v>594</v>
      </c>
      <c r="M53" s="392">
        <f>202.36</f>
        <v>202.36</v>
      </c>
      <c r="N53" s="386"/>
      <c r="O53" s="386"/>
      <c r="P53" s="392">
        <f>26990</f>
        <v>26990</v>
      </c>
      <c r="Q53" s="392">
        <f>450000</f>
        <v>450000</v>
      </c>
      <c r="R53" s="392">
        <f>75</f>
        <v>75</v>
      </c>
      <c r="S53" s="392">
        <f>307</f>
        <v>307</v>
      </c>
      <c r="T53" s="392">
        <f>225</f>
        <v>225</v>
      </c>
      <c r="U53" s="386"/>
      <c r="V53" s="392">
        <f t="shared" si="2"/>
        <v>514448.29</v>
      </c>
      <c r="W53" s="365"/>
      <c r="X53" s="365"/>
      <c r="Y53" s="365"/>
      <c r="Z53" s="365"/>
    </row>
    <row r="54" spans="1:26" ht="14.25" hidden="1" customHeight="1" x14ac:dyDescent="0.25">
      <c r="A54" s="385" t="s">
        <v>690</v>
      </c>
      <c r="B54" s="386"/>
      <c r="C54" s="386"/>
      <c r="D54" s="386"/>
      <c r="E54" s="392">
        <f>1250</f>
        <v>1250</v>
      </c>
      <c r="F54" s="392">
        <f>6500</f>
        <v>6500</v>
      </c>
      <c r="G54" s="386"/>
      <c r="H54" s="386"/>
      <c r="I54" s="386"/>
      <c r="J54" s="386"/>
      <c r="K54" s="392">
        <f>1053.36</f>
        <v>1053.3599999999999</v>
      </c>
      <c r="L54" s="392">
        <f>4109.45</f>
        <v>4109.45</v>
      </c>
      <c r="M54" s="386"/>
      <c r="N54" s="386"/>
      <c r="O54" s="386"/>
      <c r="P54" s="386"/>
      <c r="Q54" s="386"/>
      <c r="R54" s="386"/>
      <c r="S54" s="386"/>
      <c r="T54" s="386"/>
      <c r="U54" s="386"/>
      <c r="V54" s="392">
        <f t="shared" si="2"/>
        <v>12912.810000000001</v>
      </c>
      <c r="W54" s="365"/>
      <c r="X54" s="365"/>
      <c r="Y54" s="365"/>
      <c r="Z54" s="365"/>
    </row>
    <row r="55" spans="1:26" ht="14.25" hidden="1" customHeight="1" x14ac:dyDescent="0.25">
      <c r="A55" s="385" t="s">
        <v>691</v>
      </c>
      <c r="B55" s="392">
        <f>17.35</f>
        <v>17.350000000000001</v>
      </c>
      <c r="C55" s="392">
        <f>516.62</f>
        <v>516.62</v>
      </c>
      <c r="D55" s="392">
        <f>61.99</f>
        <v>61.99</v>
      </c>
      <c r="E55" s="392">
        <f>1172.11</f>
        <v>1172.1099999999999</v>
      </c>
      <c r="F55" s="392">
        <f>174.51</f>
        <v>174.51</v>
      </c>
      <c r="G55" s="392">
        <f>11421.2</f>
        <v>11421.2</v>
      </c>
      <c r="H55" s="392">
        <f>8693.91</f>
        <v>8693.91</v>
      </c>
      <c r="I55" s="392">
        <f>7707.99</f>
        <v>7707.99</v>
      </c>
      <c r="J55" s="392">
        <f>2855.46</f>
        <v>2855.46</v>
      </c>
      <c r="K55" s="386"/>
      <c r="L55" s="392">
        <f>107.51</f>
        <v>107.51</v>
      </c>
      <c r="M55" s="392">
        <f>2369.38</f>
        <v>2369.38</v>
      </c>
      <c r="N55" s="392">
        <f>428.72</f>
        <v>428.72</v>
      </c>
      <c r="O55" s="392">
        <f>2392.2</f>
        <v>2392.1999999999998</v>
      </c>
      <c r="P55" s="392">
        <f>2418.1</f>
        <v>2418.1</v>
      </c>
      <c r="Q55" s="386"/>
      <c r="R55" s="392">
        <f>4000</f>
        <v>4000</v>
      </c>
      <c r="S55" s="386"/>
      <c r="T55" s="392">
        <f>10925.97</f>
        <v>10925.97</v>
      </c>
      <c r="U55" s="386"/>
      <c r="V55" s="392">
        <f t="shared" si="2"/>
        <v>55263.02</v>
      </c>
      <c r="W55" s="365"/>
      <c r="X55" s="365"/>
      <c r="Y55" s="365"/>
      <c r="Z55" s="365"/>
    </row>
    <row r="56" spans="1:26" ht="14.25" hidden="1" customHeight="1" x14ac:dyDescent="0.25">
      <c r="A56" s="385" t="s">
        <v>692</v>
      </c>
      <c r="B56" s="392">
        <f>3211.24</f>
        <v>3211.24</v>
      </c>
      <c r="C56" s="392">
        <f>2604.44</f>
        <v>2604.44</v>
      </c>
      <c r="D56" s="392">
        <f>254</f>
        <v>254</v>
      </c>
      <c r="E56" s="392">
        <f>219.45</f>
        <v>219.45</v>
      </c>
      <c r="F56" s="392">
        <f>4473.48</f>
        <v>4473.4799999999996</v>
      </c>
      <c r="G56" s="392">
        <f>2083.8</f>
        <v>2083.8000000000002</v>
      </c>
      <c r="H56" s="392">
        <f>1206.93</f>
        <v>1206.93</v>
      </c>
      <c r="I56" s="392">
        <f>2157.68</f>
        <v>2157.6799999999998</v>
      </c>
      <c r="J56" s="392">
        <f>2227.87</f>
        <v>2227.87</v>
      </c>
      <c r="K56" s="392">
        <f>1965.48</f>
        <v>1965.48</v>
      </c>
      <c r="L56" s="392">
        <f>505.09</f>
        <v>505.09</v>
      </c>
      <c r="M56" s="392">
        <f>3851.11</f>
        <v>3851.11</v>
      </c>
      <c r="N56" s="392">
        <f>4099.7</f>
        <v>4099.7</v>
      </c>
      <c r="O56" s="392">
        <f>4842.57</f>
        <v>4842.57</v>
      </c>
      <c r="P56" s="392">
        <f>188.94</f>
        <v>188.94</v>
      </c>
      <c r="Q56" s="392">
        <f>218.36</f>
        <v>218.36</v>
      </c>
      <c r="R56" s="392">
        <f>471.46</f>
        <v>471.46</v>
      </c>
      <c r="S56" s="392">
        <f>438.54</f>
        <v>438.54</v>
      </c>
      <c r="T56" s="392">
        <f>6690.9</f>
        <v>6690.9</v>
      </c>
      <c r="U56" s="392">
        <f>35</f>
        <v>35</v>
      </c>
      <c r="V56" s="392">
        <f t="shared" si="2"/>
        <v>41746.04</v>
      </c>
      <c r="W56" s="365"/>
      <c r="X56" s="365"/>
      <c r="Y56" s="365"/>
      <c r="Z56" s="365"/>
    </row>
    <row r="57" spans="1:26" ht="14.25" hidden="1" customHeight="1" x14ac:dyDescent="0.25">
      <c r="A57" s="385" t="s">
        <v>693</v>
      </c>
      <c r="B57" s="392">
        <f>703.18</f>
        <v>703.18</v>
      </c>
      <c r="C57" s="392">
        <f>-431.06</f>
        <v>-431.06</v>
      </c>
      <c r="D57" s="386"/>
      <c r="E57" s="386"/>
      <c r="F57" s="392">
        <f>390.82</f>
        <v>390.82</v>
      </c>
      <c r="G57" s="392">
        <f>2386.78</f>
        <v>2386.7800000000002</v>
      </c>
      <c r="H57" s="392">
        <f>878.37</f>
        <v>878.37</v>
      </c>
      <c r="I57" s="392">
        <f>361.3</f>
        <v>361.3</v>
      </c>
      <c r="J57" s="392">
        <f>129.2</f>
        <v>129.19999999999999</v>
      </c>
      <c r="K57" s="392">
        <f>691.99</f>
        <v>691.99</v>
      </c>
      <c r="L57" s="392">
        <f>1790.28</f>
        <v>1790.28</v>
      </c>
      <c r="M57" s="392">
        <f>676.42</f>
        <v>676.42</v>
      </c>
      <c r="N57" s="392">
        <f>526.78</f>
        <v>526.78</v>
      </c>
      <c r="O57" s="392">
        <f>487.49</f>
        <v>487.49</v>
      </c>
      <c r="P57" s="392">
        <f>1397.45</f>
        <v>1397.45</v>
      </c>
      <c r="Q57" s="392">
        <f>468.3</f>
        <v>468.3</v>
      </c>
      <c r="R57" s="392">
        <f>191.48</f>
        <v>191.48</v>
      </c>
      <c r="S57" s="392">
        <f>24.99</f>
        <v>24.99</v>
      </c>
      <c r="T57" s="392">
        <f>367.34</f>
        <v>367.34</v>
      </c>
      <c r="U57" s="392">
        <f>24.99</f>
        <v>24.99</v>
      </c>
      <c r="V57" s="392">
        <f t="shared" si="2"/>
        <v>11066.099999999999</v>
      </c>
      <c r="W57" s="365"/>
      <c r="X57" s="365"/>
      <c r="Y57" s="365"/>
      <c r="Z57" s="365"/>
    </row>
    <row r="58" spans="1:26" ht="14.25" hidden="1" customHeight="1" x14ac:dyDescent="0.25">
      <c r="A58" s="385" t="s">
        <v>694</v>
      </c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92">
        <f>15.05</f>
        <v>15.05</v>
      </c>
      <c r="P58" s="386"/>
      <c r="Q58" s="386"/>
      <c r="R58" s="386"/>
      <c r="S58" s="386"/>
      <c r="T58" s="386"/>
      <c r="U58" s="386"/>
      <c r="V58" s="392">
        <f t="shared" si="2"/>
        <v>15.05</v>
      </c>
      <c r="W58" s="365"/>
      <c r="X58" s="365"/>
      <c r="Y58" s="365"/>
      <c r="Z58" s="365"/>
    </row>
    <row r="59" spans="1:26" ht="14.25" hidden="1" customHeight="1" x14ac:dyDescent="0.25">
      <c r="A59" s="385" t="s">
        <v>695</v>
      </c>
      <c r="B59" s="386"/>
      <c r="C59" s="392">
        <f>354.8</f>
        <v>354.8</v>
      </c>
      <c r="D59" s="386"/>
      <c r="E59" s="392">
        <f>143.49</f>
        <v>143.49</v>
      </c>
      <c r="F59" s="386"/>
      <c r="G59" s="392">
        <f>443.71</f>
        <v>443.71</v>
      </c>
      <c r="H59" s="392">
        <f>325.4</f>
        <v>325.39999999999998</v>
      </c>
      <c r="I59" s="392">
        <f>1067.13</f>
        <v>1067.1300000000001</v>
      </c>
      <c r="J59" s="386"/>
      <c r="K59" s="392">
        <f>610.38</f>
        <v>610.38</v>
      </c>
      <c r="L59" s="386"/>
      <c r="M59" s="392">
        <f>271.84</f>
        <v>271.83999999999997</v>
      </c>
      <c r="N59" s="392">
        <f>20.43</f>
        <v>20.43</v>
      </c>
      <c r="O59" s="392">
        <f>1108.78</f>
        <v>1108.78</v>
      </c>
      <c r="P59" s="386"/>
      <c r="Q59" s="392">
        <f>85</f>
        <v>85</v>
      </c>
      <c r="R59" s="386"/>
      <c r="S59" s="392">
        <f>90.45</f>
        <v>90.45</v>
      </c>
      <c r="T59" s="392">
        <f>13.93</f>
        <v>13.93</v>
      </c>
      <c r="U59" s="392">
        <f>56.54</f>
        <v>56.54</v>
      </c>
      <c r="V59" s="392">
        <f t="shared" si="2"/>
        <v>4591.88</v>
      </c>
      <c r="W59" s="365"/>
      <c r="X59" s="365"/>
      <c r="Y59" s="365"/>
      <c r="Z59" s="365"/>
    </row>
    <row r="60" spans="1:26" ht="14.25" hidden="1" customHeight="1" x14ac:dyDescent="0.25">
      <c r="A60" s="385" t="s">
        <v>696</v>
      </c>
      <c r="B60" s="393">
        <f t="shared" ref="B60:U60" si="23">((((B55)+(B56))+(B57))+(B58))+(B59)</f>
        <v>3931.7699999999995</v>
      </c>
      <c r="C60" s="393">
        <f t="shared" si="23"/>
        <v>3044.8</v>
      </c>
      <c r="D60" s="393">
        <f t="shared" si="23"/>
        <v>315.99</v>
      </c>
      <c r="E60" s="393">
        <f t="shared" si="23"/>
        <v>1535.05</v>
      </c>
      <c r="F60" s="393">
        <f t="shared" si="23"/>
        <v>5038.8099999999995</v>
      </c>
      <c r="G60" s="393">
        <f t="shared" si="23"/>
        <v>16335.49</v>
      </c>
      <c r="H60" s="393">
        <f t="shared" si="23"/>
        <v>11104.61</v>
      </c>
      <c r="I60" s="393">
        <f t="shared" si="23"/>
        <v>11294.099999999999</v>
      </c>
      <c r="J60" s="393">
        <f t="shared" si="23"/>
        <v>5212.53</v>
      </c>
      <c r="K60" s="393">
        <f t="shared" si="23"/>
        <v>3267.8500000000004</v>
      </c>
      <c r="L60" s="393">
        <f t="shared" si="23"/>
        <v>2402.88</v>
      </c>
      <c r="M60" s="393">
        <f t="shared" si="23"/>
        <v>7168.75</v>
      </c>
      <c r="N60" s="393">
        <f t="shared" si="23"/>
        <v>5075.63</v>
      </c>
      <c r="O60" s="393">
        <f t="shared" si="23"/>
        <v>8846.09</v>
      </c>
      <c r="P60" s="393">
        <f t="shared" si="23"/>
        <v>4004.49</v>
      </c>
      <c r="Q60" s="393">
        <f t="shared" si="23"/>
        <v>771.66000000000008</v>
      </c>
      <c r="R60" s="393">
        <f t="shared" si="23"/>
        <v>4662.9399999999996</v>
      </c>
      <c r="S60" s="393">
        <f t="shared" si="23"/>
        <v>553.98</v>
      </c>
      <c r="T60" s="393">
        <f t="shared" si="23"/>
        <v>17998.14</v>
      </c>
      <c r="U60" s="393">
        <f t="shared" si="23"/>
        <v>116.53</v>
      </c>
      <c r="V60" s="393">
        <f t="shared" si="2"/>
        <v>112682.09</v>
      </c>
      <c r="W60" s="365"/>
      <c r="X60" s="365"/>
      <c r="Y60" s="365"/>
      <c r="Z60" s="365"/>
    </row>
    <row r="61" spans="1:26" ht="14.25" hidden="1" customHeight="1" x14ac:dyDescent="0.25">
      <c r="A61" s="385" t="s">
        <v>697</v>
      </c>
      <c r="B61" s="392">
        <f>652.87</f>
        <v>652.87</v>
      </c>
      <c r="C61" s="392">
        <f>295.41</f>
        <v>295.41000000000003</v>
      </c>
      <c r="D61" s="392">
        <f>-22939</f>
        <v>-22939</v>
      </c>
      <c r="E61" s="392">
        <f>3574.39</f>
        <v>3574.39</v>
      </c>
      <c r="F61" s="386"/>
      <c r="G61" s="386"/>
      <c r="H61" s="386"/>
      <c r="I61" s="386"/>
      <c r="J61" s="392">
        <f>-2499.14</f>
        <v>-2499.14</v>
      </c>
      <c r="K61" s="386"/>
      <c r="L61" s="386"/>
      <c r="M61" s="392">
        <f>41.9</f>
        <v>41.9</v>
      </c>
      <c r="N61" s="392">
        <f>28634.56</f>
        <v>28634.560000000001</v>
      </c>
      <c r="O61" s="392">
        <f>271153.34</f>
        <v>271153.34000000003</v>
      </c>
      <c r="P61" s="392">
        <f>-10633.6</f>
        <v>-10633.6</v>
      </c>
      <c r="Q61" s="392">
        <f>16034.95</f>
        <v>16034.95</v>
      </c>
      <c r="R61" s="392">
        <f>-111060.24</f>
        <v>-111060.24</v>
      </c>
      <c r="S61" s="392">
        <f>81760.85</f>
        <v>81760.850000000006</v>
      </c>
      <c r="T61" s="392">
        <f>147296.55</f>
        <v>147296.54999999999</v>
      </c>
      <c r="U61" s="392">
        <f>3925.71</f>
        <v>3925.71</v>
      </c>
      <c r="V61" s="392">
        <f t="shared" si="2"/>
        <v>406238.5500000001</v>
      </c>
      <c r="W61" s="365"/>
      <c r="X61" s="365"/>
      <c r="Y61" s="365"/>
      <c r="Z61" s="365"/>
    </row>
    <row r="62" spans="1:26" ht="14.25" hidden="1" customHeight="1" x14ac:dyDescent="0.25">
      <c r="A62" s="385" t="s">
        <v>698</v>
      </c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  <c r="T62" s="386"/>
      <c r="U62" s="386"/>
      <c r="V62" s="392">
        <f t="shared" si="2"/>
        <v>0</v>
      </c>
      <c r="W62" s="365"/>
      <c r="X62" s="365"/>
      <c r="Y62" s="365"/>
      <c r="Z62" s="365"/>
    </row>
    <row r="63" spans="1:26" ht="14.25" hidden="1" customHeight="1" x14ac:dyDescent="0.25">
      <c r="A63" s="385" t="s">
        <v>699</v>
      </c>
      <c r="B63" s="386"/>
      <c r="C63" s="392">
        <f>529.54</f>
        <v>529.54</v>
      </c>
      <c r="D63" s="386"/>
      <c r="E63" s="392">
        <f>503.67</f>
        <v>503.67</v>
      </c>
      <c r="F63" s="392">
        <f>472.6</f>
        <v>472.6</v>
      </c>
      <c r="G63" s="386"/>
      <c r="H63" s="386"/>
      <c r="I63" s="392">
        <f>790.8</f>
        <v>790.8</v>
      </c>
      <c r="J63" s="386"/>
      <c r="K63" s="392">
        <f>330.76</f>
        <v>330.76</v>
      </c>
      <c r="L63" s="392">
        <f>256.62</f>
        <v>256.62</v>
      </c>
      <c r="M63" s="392">
        <f t="shared" ref="M63:N63" si="24">256.63</f>
        <v>256.63</v>
      </c>
      <c r="N63" s="392">
        <f t="shared" si="24"/>
        <v>256.63</v>
      </c>
      <c r="O63" s="392">
        <f t="shared" ref="O63:T63" si="25">256.68</f>
        <v>256.68</v>
      </c>
      <c r="P63" s="392">
        <f t="shared" si="25"/>
        <v>256.68</v>
      </c>
      <c r="Q63" s="392">
        <f t="shared" si="25"/>
        <v>256.68</v>
      </c>
      <c r="R63" s="392">
        <f t="shared" si="25"/>
        <v>256.68</v>
      </c>
      <c r="S63" s="392">
        <f t="shared" si="25"/>
        <v>256.68</v>
      </c>
      <c r="T63" s="392">
        <f t="shared" si="25"/>
        <v>256.68</v>
      </c>
      <c r="U63" s="392">
        <f>293.7</f>
        <v>293.7</v>
      </c>
      <c r="V63" s="392">
        <f t="shared" si="2"/>
        <v>5231.0300000000007</v>
      </c>
      <c r="W63" s="365"/>
      <c r="X63" s="365"/>
      <c r="Y63" s="365"/>
      <c r="Z63" s="365"/>
    </row>
    <row r="64" spans="1:26" ht="14.25" hidden="1" customHeight="1" x14ac:dyDescent="0.25">
      <c r="A64" s="385" t="s">
        <v>700</v>
      </c>
      <c r="B64" s="393">
        <f t="shared" ref="B64:U64" si="26">(B62)+(B63)</f>
        <v>0</v>
      </c>
      <c r="C64" s="393">
        <f t="shared" si="26"/>
        <v>529.54</v>
      </c>
      <c r="D64" s="393">
        <f t="shared" si="26"/>
        <v>0</v>
      </c>
      <c r="E64" s="393">
        <f t="shared" si="26"/>
        <v>503.67</v>
      </c>
      <c r="F64" s="393">
        <f t="shared" si="26"/>
        <v>472.6</v>
      </c>
      <c r="G64" s="393">
        <f t="shared" si="26"/>
        <v>0</v>
      </c>
      <c r="H64" s="393">
        <f t="shared" si="26"/>
        <v>0</v>
      </c>
      <c r="I64" s="393">
        <f t="shared" si="26"/>
        <v>790.8</v>
      </c>
      <c r="J64" s="393">
        <f t="shared" si="26"/>
        <v>0</v>
      </c>
      <c r="K64" s="393">
        <f t="shared" si="26"/>
        <v>330.76</v>
      </c>
      <c r="L64" s="393">
        <f t="shared" si="26"/>
        <v>256.62</v>
      </c>
      <c r="M64" s="393">
        <f t="shared" si="26"/>
        <v>256.63</v>
      </c>
      <c r="N64" s="393">
        <f t="shared" si="26"/>
        <v>256.63</v>
      </c>
      <c r="O64" s="393">
        <f t="shared" si="26"/>
        <v>256.68</v>
      </c>
      <c r="P64" s="393">
        <f t="shared" si="26"/>
        <v>256.68</v>
      </c>
      <c r="Q64" s="393">
        <f t="shared" si="26"/>
        <v>256.68</v>
      </c>
      <c r="R64" s="393">
        <f t="shared" si="26"/>
        <v>256.68</v>
      </c>
      <c r="S64" s="393">
        <f t="shared" si="26"/>
        <v>256.68</v>
      </c>
      <c r="T64" s="393">
        <f t="shared" si="26"/>
        <v>256.68</v>
      </c>
      <c r="U64" s="393">
        <f t="shared" si="26"/>
        <v>293.7</v>
      </c>
      <c r="V64" s="393">
        <f t="shared" si="2"/>
        <v>5231.0300000000007</v>
      </c>
      <c r="W64" s="365"/>
      <c r="X64" s="365"/>
      <c r="Y64" s="365"/>
      <c r="Z64" s="365"/>
    </row>
    <row r="65" spans="1:26" ht="14.25" hidden="1" customHeight="1" x14ac:dyDescent="0.25">
      <c r="A65" s="385" t="s">
        <v>701</v>
      </c>
      <c r="B65" s="386"/>
      <c r="C65" s="386"/>
      <c r="D65" s="392">
        <f>150</f>
        <v>150</v>
      </c>
      <c r="E65" s="386"/>
      <c r="F65" s="386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92">
        <f t="shared" si="2"/>
        <v>150</v>
      </c>
      <c r="W65" s="365"/>
      <c r="X65" s="365"/>
      <c r="Y65" s="365"/>
      <c r="Z65" s="365"/>
    </row>
    <row r="66" spans="1:26" ht="14.25" hidden="1" customHeight="1" x14ac:dyDescent="0.25">
      <c r="A66" s="385" t="s">
        <v>583</v>
      </c>
      <c r="B66" s="393">
        <f t="shared" ref="B66:U66" si="27">((((((((((((((((((((((((((((((B14)+(B21))+(B25))+(B26))+(B27))+(B28))+(B29))+(B30))+(B31))+(B32))+(B33))+(B36))+(B37))+(B38))+(B39))+(B40))+(B44))+(B45))+(B46))+(B47))+(B48))+(B49))+(B50))+(B51))+(B52))+(B53))+(B54))+(B60))+(B61))+(B64))+(B65)</f>
        <v>107330.95000000001</v>
      </c>
      <c r="C66" s="393">
        <f t="shared" si="27"/>
        <v>98355.420000000013</v>
      </c>
      <c r="D66" s="393">
        <f t="shared" si="27"/>
        <v>143811.47999999998</v>
      </c>
      <c r="E66" s="393">
        <f t="shared" si="27"/>
        <v>158021.24000000002</v>
      </c>
      <c r="F66" s="393">
        <f t="shared" si="27"/>
        <v>122990.34</v>
      </c>
      <c r="G66" s="393">
        <f t="shared" si="27"/>
        <v>135446.90999999997</v>
      </c>
      <c r="H66" s="393">
        <f t="shared" si="27"/>
        <v>130889.08000000003</v>
      </c>
      <c r="I66" s="393">
        <f t="shared" si="27"/>
        <v>144690.29999999996</v>
      </c>
      <c r="J66" s="393">
        <f t="shared" si="27"/>
        <v>138259.32999999999</v>
      </c>
      <c r="K66" s="393">
        <f t="shared" si="27"/>
        <v>153864.9</v>
      </c>
      <c r="L66" s="393">
        <f t="shared" si="27"/>
        <v>137760.50000000003</v>
      </c>
      <c r="M66" s="393">
        <f t="shared" si="27"/>
        <v>180563.36000000002</v>
      </c>
      <c r="N66" s="393">
        <f t="shared" si="27"/>
        <v>174662.01</v>
      </c>
      <c r="O66" s="393">
        <f t="shared" si="27"/>
        <v>414778.49000000005</v>
      </c>
      <c r="P66" s="393">
        <f t="shared" si="27"/>
        <v>209432.62000000002</v>
      </c>
      <c r="Q66" s="393">
        <f t="shared" si="27"/>
        <v>661119.73</v>
      </c>
      <c r="R66" s="393">
        <f t="shared" si="27"/>
        <v>51336.57</v>
      </c>
      <c r="S66" s="393">
        <f t="shared" si="27"/>
        <v>241185.52</v>
      </c>
      <c r="T66" s="393">
        <f t="shared" si="27"/>
        <v>586219.16</v>
      </c>
      <c r="U66" s="393">
        <f t="shared" si="27"/>
        <v>315228.3600000001</v>
      </c>
      <c r="V66" s="393">
        <f t="shared" si="2"/>
        <v>4305946.2700000005</v>
      </c>
      <c r="W66" s="365"/>
      <c r="X66" s="365"/>
      <c r="Y66" s="365"/>
      <c r="Z66" s="365"/>
    </row>
    <row r="67" spans="1:26" ht="14.25" hidden="1" customHeight="1" x14ac:dyDescent="0.25">
      <c r="A67" s="385" t="s">
        <v>702</v>
      </c>
      <c r="B67" s="393">
        <f t="shared" ref="B67:U67" si="28">(B10)-(B66)</f>
        <v>39854.369999999966</v>
      </c>
      <c r="C67" s="393">
        <f t="shared" si="28"/>
        <v>46598.170000000013</v>
      </c>
      <c r="D67" s="393">
        <f t="shared" si="28"/>
        <v>63300.050000000047</v>
      </c>
      <c r="E67" s="393">
        <f t="shared" si="28"/>
        <v>61836.430000000022</v>
      </c>
      <c r="F67" s="393">
        <f t="shared" si="28"/>
        <v>157261.09999999995</v>
      </c>
      <c r="G67" s="393">
        <f t="shared" si="28"/>
        <v>101145.97999999998</v>
      </c>
      <c r="H67" s="393">
        <f t="shared" si="28"/>
        <v>50702.379999999932</v>
      </c>
      <c r="I67" s="393">
        <f t="shared" si="28"/>
        <v>117776.76999999999</v>
      </c>
      <c r="J67" s="393">
        <f t="shared" si="28"/>
        <v>46347.130000000034</v>
      </c>
      <c r="K67" s="393">
        <f t="shared" si="28"/>
        <v>44980.459999999992</v>
      </c>
      <c r="L67" s="393">
        <f t="shared" si="28"/>
        <v>238937.47999999995</v>
      </c>
      <c r="M67" s="393">
        <f t="shared" si="28"/>
        <v>-41789.390000000043</v>
      </c>
      <c r="N67" s="393">
        <f t="shared" si="28"/>
        <v>98568.649999999965</v>
      </c>
      <c r="O67" s="393">
        <f t="shared" si="28"/>
        <v>-237692.84000000003</v>
      </c>
      <c r="P67" s="393">
        <f t="shared" si="28"/>
        <v>96525.409999999887</v>
      </c>
      <c r="Q67" s="393">
        <f t="shared" si="28"/>
        <v>-520686.05000000005</v>
      </c>
      <c r="R67" s="393">
        <f t="shared" si="28"/>
        <v>400871.58999999997</v>
      </c>
      <c r="S67" s="393">
        <f t="shared" si="28"/>
        <v>17048.360000000015</v>
      </c>
      <c r="T67" s="393">
        <f t="shared" si="28"/>
        <v>-29430.539999999921</v>
      </c>
      <c r="U67" s="393">
        <f t="shared" si="28"/>
        <v>218502.77999999991</v>
      </c>
      <c r="V67" s="393">
        <f t="shared" si="2"/>
        <v>970658.28999999957</v>
      </c>
      <c r="W67" s="365"/>
      <c r="X67" s="365"/>
      <c r="Y67" s="365"/>
      <c r="Z67" s="365"/>
    </row>
    <row r="68" spans="1:26" ht="14.25" hidden="1" customHeight="1" x14ac:dyDescent="0.25">
      <c r="A68" s="385" t="s">
        <v>703</v>
      </c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65"/>
      <c r="X68" s="365"/>
      <c r="Y68" s="365"/>
      <c r="Z68" s="365"/>
    </row>
    <row r="69" spans="1:26" ht="14.25" hidden="1" customHeight="1" x14ac:dyDescent="0.25">
      <c r="A69" s="385" t="s">
        <v>704</v>
      </c>
      <c r="B69" s="386"/>
      <c r="C69" s="386"/>
      <c r="D69" s="386"/>
      <c r="E69" s="386"/>
      <c r="F69" s="386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92">
        <f>100</f>
        <v>100</v>
      </c>
      <c r="U69" s="386"/>
      <c r="V69" s="392">
        <f t="shared" ref="V69:V71" si="29">(((((((((((((((((((B69)+(C69))+(D69))+(E69))+(F69))+(G69))+(H69))+(I69))+(J69))+(K69))+(L69))+(M69))+(N69))+(O69))+(P69))+(Q69))+(R69))+(S69))+(T69))+(U69)</f>
        <v>100</v>
      </c>
      <c r="W69" s="365"/>
      <c r="X69" s="365"/>
      <c r="Y69" s="365"/>
      <c r="Z69" s="365"/>
    </row>
    <row r="70" spans="1:26" ht="14.25" hidden="1" customHeight="1" x14ac:dyDescent="0.25">
      <c r="A70" s="385" t="s">
        <v>705</v>
      </c>
      <c r="B70" s="393">
        <f t="shared" ref="B70:U70" si="30">B69</f>
        <v>0</v>
      </c>
      <c r="C70" s="393">
        <f t="shared" si="30"/>
        <v>0</v>
      </c>
      <c r="D70" s="393">
        <f t="shared" si="30"/>
        <v>0</v>
      </c>
      <c r="E70" s="393">
        <f t="shared" si="30"/>
        <v>0</v>
      </c>
      <c r="F70" s="393">
        <f t="shared" si="30"/>
        <v>0</v>
      </c>
      <c r="G70" s="393">
        <f t="shared" si="30"/>
        <v>0</v>
      </c>
      <c r="H70" s="393">
        <f t="shared" si="30"/>
        <v>0</v>
      </c>
      <c r="I70" s="393">
        <f t="shared" si="30"/>
        <v>0</v>
      </c>
      <c r="J70" s="393">
        <f t="shared" si="30"/>
        <v>0</v>
      </c>
      <c r="K70" s="393">
        <f t="shared" si="30"/>
        <v>0</v>
      </c>
      <c r="L70" s="393">
        <f t="shared" si="30"/>
        <v>0</v>
      </c>
      <c r="M70" s="393">
        <f t="shared" si="30"/>
        <v>0</v>
      </c>
      <c r="N70" s="393">
        <f t="shared" si="30"/>
        <v>0</v>
      </c>
      <c r="O70" s="393">
        <f t="shared" si="30"/>
        <v>0</v>
      </c>
      <c r="P70" s="393">
        <f t="shared" si="30"/>
        <v>0</v>
      </c>
      <c r="Q70" s="393">
        <f t="shared" si="30"/>
        <v>0</v>
      </c>
      <c r="R70" s="393">
        <f t="shared" si="30"/>
        <v>0</v>
      </c>
      <c r="S70" s="393">
        <f t="shared" si="30"/>
        <v>0</v>
      </c>
      <c r="T70" s="393">
        <f t="shared" si="30"/>
        <v>100</v>
      </c>
      <c r="U70" s="393">
        <f t="shared" si="30"/>
        <v>0</v>
      </c>
      <c r="V70" s="393">
        <f t="shared" si="29"/>
        <v>100</v>
      </c>
      <c r="W70" s="365"/>
      <c r="X70" s="365"/>
      <c r="Y70" s="365"/>
      <c r="Z70" s="365"/>
    </row>
    <row r="71" spans="1:26" ht="14.25" hidden="1" customHeight="1" x14ac:dyDescent="0.25">
      <c r="A71" s="385" t="s">
        <v>706</v>
      </c>
      <c r="B71" s="393">
        <f t="shared" ref="B71:U71" si="31">(0)-(B70)</f>
        <v>0</v>
      </c>
      <c r="C71" s="393">
        <f t="shared" si="31"/>
        <v>0</v>
      </c>
      <c r="D71" s="393">
        <f t="shared" si="31"/>
        <v>0</v>
      </c>
      <c r="E71" s="393">
        <f t="shared" si="31"/>
        <v>0</v>
      </c>
      <c r="F71" s="393">
        <f t="shared" si="31"/>
        <v>0</v>
      </c>
      <c r="G71" s="393">
        <f t="shared" si="31"/>
        <v>0</v>
      </c>
      <c r="H71" s="393">
        <f t="shared" si="31"/>
        <v>0</v>
      </c>
      <c r="I71" s="393">
        <f t="shared" si="31"/>
        <v>0</v>
      </c>
      <c r="J71" s="393">
        <f t="shared" si="31"/>
        <v>0</v>
      </c>
      <c r="K71" s="393">
        <f t="shared" si="31"/>
        <v>0</v>
      </c>
      <c r="L71" s="393">
        <f t="shared" si="31"/>
        <v>0</v>
      </c>
      <c r="M71" s="393">
        <f t="shared" si="31"/>
        <v>0</v>
      </c>
      <c r="N71" s="393">
        <f t="shared" si="31"/>
        <v>0</v>
      </c>
      <c r="O71" s="393">
        <f t="shared" si="31"/>
        <v>0</v>
      </c>
      <c r="P71" s="393">
        <f t="shared" si="31"/>
        <v>0</v>
      </c>
      <c r="Q71" s="393">
        <f t="shared" si="31"/>
        <v>0</v>
      </c>
      <c r="R71" s="393">
        <f t="shared" si="31"/>
        <v>0</v>
      </c>
      <c r="S71" s="393">
        <f t="shared" si="31"/>
        <v>0</v>
      </c>
      <c r="T71" s="393">
        <f t="shared" si="31"/>
        <v>-100</v>
      </c>
      <c r="U71" s="393">
        <f t="shared" si="31"/>
        <v>0</v>
      </c>
      <c r="V71" s="393">
        <f t="shared" si="29"/>
        <v>-100</v>
      </c>
      <c r="W71" s="365"/>
      <c r="X71" s="365"/>
      <c r="Y71" s="365"/>
      <c r="Z71" s="365"/>
    </row>
    <row r="72" spans="1:26" ht="14.25" customHeight="1" x14ac:dyDescent="0.25">
      <c r="A72" s="385" t="s">
        <v>35</v>
      </c>
      <c r="B72" s="394">
        <f t="shared" ref="B72:V72" si="32">(B67)+(B71)</f>
        <v>39854.369999999966</v>
      </c>
      <c r="C72" s="394">
        <f t="shared" si="32"/>
        <v>46598.170000000013</v>
      </c>
      <c r="D72" s="394">
        <f t="shared" si="32"/>
        <v>63300.050000000047</v>
      </c>
      <c r="E72" s="394">
        <f t="shared" si="32"/>
        <v>61836.430000000022</v>
      </c>
      <c r="F72" s="394">
        <f t="shared" si="32"/>
        <v>157261.09999999995</v>
      </c>
      <c r="G72" s="394">
        <f t="shared" si="32"/>
        <v>101145.97999999998</v>
      </c>
      <c r="H72" s="394">
        <f t="shared" si="32"/>
        <v>50702.379999999932</v>
      </c>
      <c r="I72" s="394">
        <f t="shared" si="32"/>
        <v>117776.76999999999</v>
      </c>
      <c r="J72" s="394">
        <f t="shared" si="32"/>
        <v>46347.130000000034</v>
      </c>
      <c r="K72" s="394">
        <f t="shared" si="32"/>
        <v>44980.459999999992</v>
      </c>
      <c r="L72" s="394">
        <f t="shared" si="32"/>
        <v>238937.47999999995</v>
      </c>
      <c r="M72" s="394">
        <f t="shared" si="32"/>
        <v>-41789.390000000043</v>
      </c>
      <c r="N72" s="394">
        <f t="shared" si="32"/>
        <v>98568.649999999965</v>
      </c>
      <c r="O72" s="394">
        <f t="shared" si="32"/>
        <v>-237692.84000000003</v>
      </c>
      <c r="P72" s="394">
        <f t="shared" si="32"/>
        <v>96525.409999999887</v>
      </c>
      <c r="Q72" s="394">
        <f t="shared" si="32"/>
        <v>-520686.05000000005</v>
      </c>
      <c r="R72" s="394">
        <f t="shared" si="32"/>
        <v>400871.58999999997</v>
      </c>
      <c r="S72" s="394">
        <f t="shared" si="32"/>
        <v>17048.360000000015</v>
      </c>
      <c r="T72" s="394">
        <f t="shared" si="32"/>
        <v>-29530.539999999921</v>
      </c>
      <c r="U72" s="394">
        <f t="shared" si="32"/>
        <v>218502.77999999991</v>
      </c>
      <c r="V72" s="394">
        <f t="shared" si="32"/>
        <v>970558.28999999957</v>
      </c>
      <c r="W72" s="365"/>
      <c r="X72" s="365"/>
      <c r="Y72" s="365"/>
      <c r="Z72" s="365"/>
    </row>
    <row r="73" spans="1:26" ht="14.25" customHeight="1" x14ac:dyDescent="0.25">
      <c r="A73" s="385"/>
      <c r="B73" s="390">
        <f t="shared" ref="B73:V73" si="33">B72/B7</f>
        <v>9.9819505548141146E-2</v>
      </c>
      <c r="C73" s="390">
        <f t="shared" si="33"/>
        <v>0.11175848302383135</v>
      </c>
      <c r="D73" s="390">
        <f t="shared" si="33"/>
        <v>0.1185923507507078</v>
      </c>
      <c r="E73" s="390">
        <f t="shared" si="33"/>
        <v>0.11430707759155431</v>
      </c>
      <c r="F73" s="390">
        <f t="shared" si="33"/>
        <v>0.24833493506614293</v>
      </c>
      <c r="G73" s="390">
        <f t="shared" si="33"/>
        <v>0.1674271233516339</v>
      </c>
      <c r="H73" s="390">
        <f t="shared" si="33"/>
        <v>9.0880913770966715E-2</v>
      </c>
      <c r="I73" s="390">
        <f t="shared" si="33"/>
        <v>0.16983185075347898</v>
      </c>
      <c r="J73" s="390">
        <f t="shared" si="33"/>
        <v>7.5689308142350031E-2</v>
      </c>
      <c r="K73" s="390">
        <f t="shared" si="33"/>
        <v>6.9724350436271856E-2</v>
      </c>
      <c r="L73" s="390">
        <f t="shared" si="33"/>
        <v>0.29221776408981986</v>
      </c>
      <c r="M73" s="390">
        <f t="shared" si="33"/>
        <v>-6.697634046671963E-2</v>
      </c>
      <c r="N73" s="390">
        <f t="shared" si="33"/>
        <v>0.14124140413847419</v>
      </c>
      <c r="O73" s="390">
        <f t="shared" si="33"/>
        <v>-0.39268282810861105</v>
      </c>
      <c r="P73" s="390">
        <f t="shared" si="33"/>
        <v>0.10293056605961819</v>
      </c>
      <c r="Q73" s="390">
        <f t="shared" si="33"/>
        <v>-0.62097150046082772</v>
      </c>
      <c r="R73" s="390">
        <f t="shared" si="33"/>
        <v>0.42961601619989004</v>
      </c>
      <c r="S73" s="390">
        <f t="shared" si="33"/>
        <v>2.129567133648428E-2</v>
      </c>
      <c r="T73" s="390">
        <f t="shared" si="33"/>
        <v>-3.6015163021062883E-2</v>
      </c>
      <c r="U73" s="390">
        <f t="shared" si="33"/>
        <v>0.40203177835859727</v>
      </c>
      <c r="V73" s="390">
        <f t="shared" si="33"/>
        <v>7.3220241482631662E-2</v>
      </c>
      <c r="W73" s="365"/>
      <c r="X73" s="365"/>
      <c r="Y73" s="365"/>
      <c r="Z73" s="365"/>
    </row>
    <row r="74" spans="1:26" ht="14.25" customHeight="1" x14ac:dyDescent="0.25">
      <c r="A74" s="365"/>
      <c r="B74" s="365"/>
      <c r="C74" s="365"/>
      <c r="D74" s="365"/>
      <c r="E74" s="365"/>
      <c r="F74" s="365"/>
      <c r="G74" s="365"/>
      <c r="H74" s="365"/>
      <c r="I74" s="365"/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</row>
    <row r="75" spans="1:26" ht="14.25" customHeight="1" x14ac:dyDescent="0.25">
      <c r="A75" s="365"/>
      <c r="B75" s="365"/>
      <c r="C75" s="365"/>
      <c r="D75" s="365"/>
      <c r="E75" s="365"/>
      <c r="F75" s="365"/>
      <c r="G75" s="365"/>
      <c r="H75" s="365"/>
      <c r="I75" s="365"/>
      <c r="J75" s="365"/>
      <c r="K75" s="365"/>
      <c r="L75" s="365"/>
      <c r="M75" s="365"/>
      <c r="N75" s="365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</row>
    <row r="76" spans="1:26" ht="14.25" customHeight="1" x14ac:dyDescent="0.25">
      <c r="A76" s="498" t="s">
        <v>707</v>
      </c>
      <c r="B76" s="495"/>
      <c r="C76" s="495"/>
      <c r="D76" s="495"/>
      <c r="E76" s="495"/>
      <c r="F76" s="495"/>
      <c r="G76" s="495"/>
      <c r="H76" s="495"/>
      <c r="I76" s="495"/>
      <c r="J76" s="495"/>
      <c r="K76" s="495"/>
      <c r="L76" s="495"/>
      <c r="M76" s="495"/>
      <c r="N76" s="495"/>
      <c r="O76" s="495"/>
      <c r="P76" s="495"/>
      <c r="Q76" s="495"/>
      <c r="R76" s="495"/>
      <c r="S76" s="495"/>
      <c r="T76" s="495"/>
      <c r="U76" s="495"/>
      <c r="V76" s="495"/>
      <c r="W76" s="365"/>
      <c r="X76" s="365"/>
      <c r="Y76" s="365"/>
      <c r="Z76" s="365"/>
    </row>
    <row r="77" spans="1:26" ht="14.25" customHeight="1" x14ac:dyDescent="0.25">
      <c r="A77" s="365"/>
      <c r="B77" s="365"/>
      <c r="C77" s="365"/>
      <c r="D77" s="365"/>
      <c r="E77" s="365"/>
      <c r="F77" s="365"/>
      <c r="G77" s="365"/>
      <c r="H77" s="365"/>
      <c r="I77" s="365"/>
      <c r="J77" s="365"/>
      <c r="K77" s="365"/>
      <c r="L77" s="365"/>
      <c r="M77" s="365"/>
      <c r="N77" s="365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</row>
    <row r="78" spans="1:26" ht="14.25" customHeight="1" x14ac:dyDescent="0.25">
      <c r="A78" s="365"/>
      <c r="B78" s="365"/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</row>
    <row r="79" spans="1:26" ht="14.25" customHeight="1" x14ac:dyDescent="0.25">
      <c r="A79" s="365"/>
      <c r="B79" s="365"/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  <c r="N79" s="365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</row>
    <row r="80" spans="1:26" ht="14.25" customHeight="1" x14ac:dyDescent="0.25">
      <c r="A80" s="365"/>
      <c r="B80" s="365"/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</row>
    <row r="81" spans="1:26" ht="14.25" customHeight="1" x14ac:dyDescent="0.25">
      <c r="A81" s="365"/>
      <c r="B81" s="365"/>
      <c r="C81" s="365"/>
      <c r="D81" s="365"/>
      <c r="E81" s="365"/>
      <c r="F81" s="365"/>
      <c r="G81" s="365"/>
      <c r="H81" s="365"/>
      <c r="I81" s="365"/>
      <c r="J81" s="365"/>
      <c r="K81" s="365"/>
      <c r="L81" s="365"/>
      <c r="M81" s="365"/>
      <c r="N81" s="365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</row>
    <row r="82" spans="1:26" ht="14.25" customHeight="1" x14ac:dyDescent="0.25">
      <c r="A82" s="365"/>
      <c r="B82" s="365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365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</row>
    <row r="83" spans="1:26" ht="14.25" customHeight="1" x14ac:dyDescent="0.25">
      <c r="A83" s="365"/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</row>
    <row r="84" spans="1:26" ht="14.25" customHeight="1" x14ac:dyDescent="0.25">
      <c r="A84" s="365"/>
      <c r="B84" s="365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365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</row>
    <row r="85" spans="1:26" ht="14.25" customHeight="1" x14ac:dyDescent="0.25">
      <c r="A85" s="365"/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</row>
    <row r="86" spans="1:26" ht="14.25" customHeight="1" x14ac:dyDescent="0.25">
      <c r="A86" s="365"/>
      <c r="B86" s="365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</row>
    <row r="87" spans="1:26" ht="14.25" customHeight="1" x14ac:dyDescent="0.25">
      <c r="A87" s="365"/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</row>
    <row r="88" spans="1:26" ht="14.25" customHeight="1" x14ac:dyDescent="0.25">
      <c r="A88" s="365"/>
      <c r="B88" s="365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365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</row>
    <row r="89" spans="1:26" ht="14.25" customHeight="1" x14ac:dyDescent="0.25">
      <c r="A89" s="365"/>
      <c r="B89" s="365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  <c r="N89" s="365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</row>
    <row r="90" spans="1:26" ht="14.25" customHeight="1" x14ac:dyDescent="0.25">
      <c r="A90" s="365"/>
      <c r="B90" s="365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365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</row>
    <row r="91" spans="1:26" ht="14.25" customHeight="1" x14ac:dyDescent="0.25">
      <c r="A91" s="365"/>
      <c r="B91" s="365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</row>
    <row r="92" spans="1:26" ht="14.25" customHeight="1" x14ac:dyDescent="0.25">
      <c r="A92" s="365"/>
      <c r="B92" s="365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365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</row>
    <row r="93" spans="1:26" ht="14.25" customHeight="1" x14ac:dyDescent="0.25">
      <c r="A93" s="365"/>
      <c r="B93" s="365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365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</row>
    <row r="94" spans="1:26" ht="14.25" customHeight="1" x14ac:dyDescent="0.25">
      <c r="A94" s="365"/>
      <c r="B94" s="365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365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</row>
    <row r="95" spans="1:26" ht="14.25" customHeight="1" x14ac:dyDescent="0.25">
      <c r="A95" s="365"/>
      <c r="B95" s="365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</row>
    <row r="96" spans="1:26" ht="14.25" customHeight="1" x14ac:dyDescent="0.25">
      <c r="A96" s="365"/>
      <c r="B96" s="365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</row>
    <row r="97" spans="1:26" ht="14.25" customHeight="1" x14ac:dyDescent="0.25">
      <c r="A97" s="365"/>
      <c r="B97" s="365"/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</row>
    <row r="98" spans="1:26" ht="14.25" customHeight="1" x14ac:dyDescent="0.25">
      <c r="A98" s="365"/>
      <c r="B98" s="365"/>
      <c r="C98" s="365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</row>
    <row r="99" spans="1:26" ht="14.25" customHeight="1" x14ac:dyDescent="0.25">
      <c r="A99" s="365"/>
      <c r="B99" s="365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</row>
    <row r="100" spans="1:26" ht="14.25" customHeight="1" x14ac:dyDescent="0.25">
      <c r="A100" s="365"/>
      <c r="B100" s="365"/>
      <c r="C100" s="365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</row>
    <row r="101" spans="1:26" ht="14.25" customHeight="1" x14ac:dyDescent="0.25">
      <c r="A101" s="365"/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</row>
    <row r="102" spans="1:26" ht="14.25" customHeight="1" x14ac:dyDescent="0.25">
      <c r="A102" s="365"/>
      <c r="B102" s="365"/>
      <c r="C102" s="365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</row>
    <row r="103" spans="1:26" ht="14.25" customHeight="1" x14ac:dyDescent="0.25">
      <c r="A103" s="365"/>
      <c r="B103" s="365"/>
      <c r="C103" s="365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</row>
    <row r="104" spans="1:26" ht="14.25" customHeight="1" x14ac:dyDescent="0.25">
      <c r="A104" s="365"/>
      <c r="B104" s="365"/>
      <c r="C104" s="365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</row>
    <row r="105" spans="1:26" ht="14.25" customHeight="1" x14ac:dyDescent="0.25">
      <c r="A105" s="365"/>
      <c r="B105" s="365"/>
      <c r="C105" s="365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</row>
    <row r="106" spans="1:26" ht="14.25" customHeight="1" x14ac:dyDescent="0.25">
      <c r="A106" s="365"/>
      <c r="B106" s="365"/>
      <c r="C106" s="365"/>
      <c r="D106" s="365"/>
      <c r="E106" s="365"/>
      <c r="F106" s="365"/>
      <c r="G106" s="365"/>
      <c r="H106" s="365"/>
      <c r="I106" s="365"/>
      <c r="J106" s="365"/>
      <c r="K106" s="365"/>
      <c r="L106" s="365"/>
      <c r="M106" s="365"/>
      <c r="N106" s="365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</row>
    <row r="107" spans="1:26" ht="14.25" customHeight="1" x14ac:dyDescent="0.25">
      <c r="A107" s="365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  <c r="L107" s="365"/>
      <c r="M107" s="365"/>
      <c r="N107" s="365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</row>
    <row r="108" spans="1:26" ht="14.25" customHeight="1" x14ac:dyDescent="0.25">
      <c r="A108" s="365"/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  <c r="L108" s="365"/>
      <c r="M108" s="365"/>
      <c r="N108" s="365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</row>
    <row r="109" spans="1:26" ht="14.25" customHeight="1" x14ac:dyDescent="0.25">
      <c r="A109" s="365"/>
      <c r="B109" s="365"/>
      <c r="C109" s="365"/>
      <c r="D109" s="365"/>
      <c r="E109" s="365"/>
      <c r="F109" s="365"/>
      <c r="G109" s="365"/>
      <c r="H109" s="365"/>
      <c r="I109" s="365"/>
      <c r="J109" s="365"/>
      <c r="K109" s="365"/>
      <c r="L109" s="365"/>
      <c r="M109" s="365"/>
      <c r="N109" s="365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</row>
    <row r="110" spans="1:26" ht="14.25" customHeight="1" x14ac:dyDescent="0.25">
      <c r="A110" s="365"/>
      <c r="B110" s="365"/>
      <c r="C110" s="365"/>
      <c r="D110" s="365"/>
      <c r="E110" s="365"/>
      <c r="F110" s="365"/>
      <c r="G110" s="365"/>
      <c r="H110" s="365"/>
      <c r="I110" s="365"/>
      <c r="J110" s="365"/>
      <c r="K110" s="365"/>
      <c r="L110" s="365"/>
      <c r="M110" s="365"/>
      <c r="N110" s="365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</row>
    <row r="111" spans="1:26" ht="14.25" customHeight="1" x14ac:dyDescent="0.25">
      <c r="A111" s="365"/>
      <c r="B111" s="365"/>
      <c r="C111" s="365"/>
      <c r="D111" s="365"/>
      <c r="E111" s="365"/>
      <c r="F111" s="365"/>
      <c r="G111" s="365"/>
      <c r="H111" s="365"/>
      <c r="I111" s="365"/>
      <c r="J111" s="365"/>
      <c r="K111" s="365"/>
      <c r="L111" s="365"/>
      <c r="M111" s="365"/>
      <c r="N111" s="365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</row>
    <row r="112" spans="1:26" ht="14.25" customHeight="1" x14ac:dyDescent="0.25">
      <c r="A112" s="365"/>
      <c r="B112" s="365"/>
      <c r="C112" s="365"/>
      <c r="D112" s="365"/>
      <c r="E112" s="365"/>
      <c r="F112" s="365"/>
      <c r="G112" s="365"/>
      <c r="H112" s="365"/>
      <c r="I112" s="365"/>
      <c r="J112" s="365"/>
      <c r="K112" s="365"/>
      <c r="L112" s="365"/>
      <c r="M112" s="365"/>
      <c r="N112" s="365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</row>
    <row r="113" spans="1:26" ht="14.25" customHeight="1" x14ac:dyDescent="0.25">
      <c r="A113" s="365"/>
      <c r="B113" s="365"/>
      <c r="C113" s="365"/>
      <c r="D113" s="365"/>
      <c r="E113" s="365"/>
      <c r="F113" s="365"/>
      <c r="G113" s="365"/>
      <c r="H113" s="365"/>
      <c r="I113" s="365"/>
      <c r="J113" s="365"/>
      <c r="K113" s="365"/>
      <c r="L113" s="365"/>
      <c r="M113" s="365"/>
      <c r="N113" s="365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</row>
    <row r="114" spans="1:26" ht="14.25" customHeight="1" x14ac:dyDescent="0.25">
      <c r="A114" s="365"/>
      <c r="B114" s="365"/>
      <c r="C114" s="365"/>
      <c r="D114" s="365"/>
      <c r="E114" s="365"/>
      <c r="F114" s="365"/>
      <c r="G114" s="365"/>
      <c r="H114" s="365"/>
      <c r="I114" s="365"/>
      <c r="J114" s="365"/>
      <c r="K114" s="365"/>
      <c r="L114" s="365"/>
      <c r="M114" s="365"/>
      <c r="N114" s="365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</row>
    <row r="115" spans="1:26" ht="14.25" customHeight="1" x14ac:dyDescent="0.25">
      <c r="A115" s="365"/>
      <c r="B115" s="365"/>
      <c r="C115" s="365"/>
      <c r="D115" s="365"/>
      <c r="E115" s="365"/>
      <c r="F115" s="365"/>
      <c r="G115" s="365"/>
      <c r="H115" s="365"/>
      <c r="I115" s="365"/>
      <c r="J115" s="365"/>
      <c r="K115" s="365"/>
      <c r="L115" s="365"/>
      <c r="M115" s="36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</row>
    <row r="116" spans="1:26" ht="14.25" customHeight="1" x14ac:dyDescent="0.25">
      <c r="A116" s="365"/>
      <c r="B116" s="365"/>
      <c r="C116" s="365"/>
      <c r="D116" s="365"/>
      <c r="E116" s="365"/>
      <c r="F116" s="365"/>
      <c r="G116" s="365"/>
      <c r="H116" s="365"/>
      <c r="I116" s="365"/>
      <c r="J116" s="365"/>
      <c r="K116" s="365"/>
      <c r="L116" s="365"/>
      <c r="M116" s="365"/>
      <c r="N116" s="365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</row>
    <row r="117" spans="1:26" ht="14.25" customHeight="1" x14ac:dyDescent="0.25">
      <c r="A117" s="365"/>
      <c r="B117" s="365"/>
      <c r="C117" s="365"/>
      <c r="D117" s="365"/>
      <c r="E117" s="365"/>
      <c r="F117" s="365"/>
      <c r="G117" s="365"/>
      <c r="H117" s="365"/>
      <c r="I117" s="365"/>
      <c r="J117" s="365"/>
      <c r="K117" s="365"/>
      <c r="L117" s="365"/>
      <c r="M117" s="365"/>
      <c r="N117" s="365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</row>
    <row r="118" spans="1:26" ht="14.25" customHeight="1" x14ac:dyDescent="0.25">
      <c r="A118" s="365"/>
      <c r="B118" s="365"/>
      <c r="C118" s="365"/>
      <c r="D118" s="365"/>
      <c r="E118" s="365"/>
      <c r="F118" s="365"/>
      <c r="G118" s="365"/>
      <c r="H118" s="365"/>
      <c r="I118" s="365"/>
      <c r="J118" s="365"/>
      <c r="K118" s="365"/>
      <c r="L118" s="365"/>
      <c r="M118" s="365"/>
      <c r="N118" s="365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</row>
    <row r="119" spans="1:26" ht="14.25" customHeight="1" x14ac:dyDescent="0.25">
      <c r="A119" s="365"/>
      <c r="B119" s="365"/>
      <c r="C119" s="365"/>
      <c r="D119" s="365"/>
      <c r="E119" s="365"/>
      <c r="F119" s="365"/>
      <c r="G119" s="365"/>
      <c r="H119" s="365"/>
      <c r="I119" s="365"/>
      <c r="J119" s="365"/>
      <c r="K119" s="365"/>
      <c r="L119" s="365"/>
      <c r="M119" s="365"/>
      <c r="N119" s="365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</row>
    <row r="120" spans="1:26" ht="14.25" customHeight="1" x14ac:dyDescent="0.25">
      <c r="A120" s="365"/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</row>
    <row r="121" spans="1:26" ht="14.25" customHeight="1" x14ac:dyDescent="0.25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</row>
    <row r="122" spans="1:26" ht="14.25" customHeight="1" x14ac:dyDescent="0.25">
      <c r="A122" s="365"/>
      <c r="B122" s="365"/>
      <c r="C122" s="365"/>
      <c r="D122" s="365"/>
      <c r="E122" s="365"/>
      <c r="F122" s="365"/>
      <c r="G122" s="365"/>
      <c r="H122" s="365"/>
      <c r="I122" s="365"/>
      <c r="J122" s="365"/>
      <c r="K122" s="365"/>
      <c r="L122" s="365"/>
      <c r="M122" s="365"/>
      <c r="N122" s="365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</row>
    <row r="123" spans="1:26" ht="14.25" customHeight="1" x14ac:dyDescent="0.25">
      <c r="A123" s="365"/>
      <c r="B123" s="365"/>
      <c r="C123" s="365"/>
      <c r="D123" s="365"/>
      <c r="E123" s="365"/>
      <c r="F123" s="365"/>
      <c r="G123" s="365"/>
      <c r="H123" s="365"/>
      <c r="I123" s="365"/>
      <c r="J123" s="365"/>
      <c r="K123" s="365"/>
      <c r="L123" s="365"/>
      <c r="M123" s="365"/>
      <c r="N123" s="365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</row>
    <row r="124" spans="1:26" ht="14.25" customHeight="1" x14ac:dyDescent="0.25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  <c r="L124" s="365"/>
      <c r="M124" s="365"/>
      <c r="N124" s="365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</row>
    <row r="125" spans="1:26" ht="14.25" customHeight="1" x14ac:dyDescent="0.25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</row>
    <row r="126" spans="1:26" ht="14.25" customHeight="1" x14ac:dyDescent="0.25">
      <c r="A126" s="365"/>
      <c r="B126" s="365"/>
      <c r="C126" s="365"/>
      <c r="D126" s="365"/>
      <c r="E126" s="365"/>
      <c r="F126" s="365"/>
      <c r="G126" s="365"/>
      <c r="H126" s="365"/>
      <c r="I126" s="365"/>
      <c r="J126" s="365"/>
      <c r="K126" s="365"/>
      <c r="L126" s="365"/>
      <c r="M126" s="365"/>
      <c r="N126" s="365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</row>
    <row r="127" spans="1:26" ht="14.25" customHeight="1" x14ac:dyDescent="0.25">
      <c r="A127" s="365"/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</row>
    <row r="128" spans="1:26" ht="14.25" customHeight="1" x14ac:dyDescent="0.25">
      <c r="A128" s="365"/>
      <c r="B128" s="365"/>
      <c r="C128" s="365"/>
      <c r="D128" s="365"/>
      <c r="E128" s="365"/>
      <c r="F128" s="365"/>
      <c r="G128" s="365"/>
      <c r="H128" s="365"/>
      <c r="I128" s="365"/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</row>
    <row r="129" spans="1:26" ht="14.25" customHeight="1" x14ac:dyDescent="0.25">
      <c r="A129" s="365"/>
      <c r="B129" s="365"/>
      <c r="C129" s="365"/>
      <c r="D129" s="365"/>
      <c r="E129" s="365"/>
      <c r="F129" s="365"/>
      <c r="G129" s="365"/>
      <c r="H129" s="365"/>
      <c r="I129" s="365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</row>
    <row r="130" spans="1:26" ht="14.25" customHeight="1" x14ac:dyDescent="0.25">
      <c r="A130" s="365"/>
      <c r="B130" s="365"/>
      <c r="C130" s="365"/>
      <c r="D130" s="365"/>
      <c r="E130" s="365"/>
      <c r="F130" s="365"/>
      <c r="G130" s="365"/>
      <c r="H130" s="365"/>
      <c r="I130" s="365"/>
      <c r="J130" s="365"/>
      <c r="K130" s="365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</row>
    <row r="131" spans="1:26" ht="14.25" customHeight="1" x14ac:dyDescent="0.25">
      <c r="A131" s="365"/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</row>
    <row r="132" spans="1:26" ht="14.25" customHeight="1" x14ac:dyDescent="0.25">
      <c r="A132" s="365"/>
      <c r="B132" s="365"/>
      <c r="C132" s="365"/>
      <c r="D132" s="365"/>
      <c r="E132" s="365"/>
      <c r="F132" s="365"/>
      <c r="G132" s="365"/>
      <c r="H132" s="365"/>
      <c r="I132" s="365"/>
      <c r="J132" s="365"/>
      <c r="K132" s="365"/>
      <c r="L132" s="365"/>
      <c r="M132" s="365"/>
      <c r="N132" s="365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</row>
    <row r="133" spans="1:26" ht="14.25" customHeight="1" x14ac:dyDescent="0.25">
      <c r="A133" s="365"/>
      <c r="B133" s="365"/>
      <c r="C133" s="365"/>
      <c r="D133" s="365"/>
      <c r="E133" s="365"/>
      <c r="F133" s="365"/>
      <c r="G133" s="365"/>
      <c r="H133" s="365"/>
      <c r="I133" s="365"/>
      <c r="J133" s="365"/>
      <c r="K133" s="365"/>
      <c r="L133" s="365"/>
      <c r="M133" s="365"/>
      <c r="N133" s="365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</row>
    <row r="134" spans="1:26" ht="14.25" customHeight="1" x14ac:dyDescent="0.25">
      <c r="A134" s="365"/>
      <c r="B134" s="365"/>
      <c r="C134" s="365"/>
      <c r="D134" s="365"/>
      <c r="E134" s="365"/>
      <c r="F134" s="365"/>
      <c r="G134" s="365"/>
      <c r="H134" s="365"/>
      <c r="I134" s="365"/>
      <c r="J134" s="365"/>
      <c r="K134" s="365"/>
      <c r="L134" s="365"/>
      <c r="M134" s="365"/>
      <c r="N134" s="365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</row>
    <row r="135" spans="1:26" ht="14.25" customHeight="1" x14ac:dyDescent="0.25">
      <c r="A135" s="365"/>
      <c r="B135" s="365"/>
      <c r="C135" s="365"/>
      <c r="D135" s="365"/>
      <c r="E135" s="365"/>
      <c r="F135" s="365"/>
      <c r="G135" s="365"/>
      <c r="H135" s="365"/>
      <c r="I135" s="365"/>
      <c r="J135" s="365"/>
      <c r="K135" s="365"/>
      <c r="L135" s="365"/>
      <c r="M135" s="365"/>
      <c r="N135" s="365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</row>
    <row r="136" spans="1:26" ht="14.25" customHeight="1" x14ac:dyDescent="0.25">
      <c r="A136" s="365"/>
      <c r="B136" s="365"/>
      <c r="C136" s="365"/>
      <c r="D136" s="365"/>
      <c r="E136" s="365"/>
      <c r="F136" s="365"/>
      <c r="G136" s="365"/>
      <c r="H136" s="365"/>
      <c r="I136" s="365"/>
      <c r="J136" s="365"/>
      <c r="K136" s="365"/>
      <c r="L136" s="365"/>
      <c r="M136" s="365"/>
      <c r="N136" s="365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</row>
    <row r="137" spans="1:26" ht="14.25" customHeight="1" x14ac:dyDescent="0.25">
      <c r="A137" s="365"/>
      <c r="B137" s="365"/>
      <c r="C137" s="365"/>
      <c r="D137" s="365"/>
      <c r="E137" s="365"/>
      <c r="F137" s="365"/>
      <c r="G137" s="365"/>
      <c r="H137" s="365"/>
      <c r="I137" s="365"/>
      <c r="J137" s="365"/>
      <c r="K137" s="365"/>
      <c r="L137" s="365"/>
      <c r="M137" s="365"/>
      <c r="N137" s="365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</row>
    <row r="138" spans="1:26" ht="14.25" customHeight="1" x14ac:dyDescent="0.25">
      <c r="A138" s="365"/>
      <c r="B138" s="365"/>
      <c r="C138" s="365"/>
      <c r="D138" s="365"/>
      <c r="E138" s="365"/>
      <c r="F138" s="365"/>
      <c r="G138" s="365"/>
      <c r="H138" s="365"/>
      <c r="I138" s="365"/>
      <c r="J138" s="365"/>
      <c r="K138" s="365"/>
      <c r="L138" s="365"/>
      <c r="M138" s="365"/>
      <c r="N138" s="365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</row>
    <row r="139" spans="1:26" ht="14.25" customHeight="1" x14ac:dyDescent="0.25">
      <c r="A139" s="365"/>
      <c r="B139" s="365"/>
      <c r="C139" s="365"/>
      <c r="D139" s="365"/>
      <c r="E139" s="365"/>
      <c r="F139" s="365"/>
      <c r="G139" s="365"/>
      <c r="H139" s="365"/>
      <c r="I139" s="365"/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</row>
    <row r="140" spans="1:26" ht="14.25" customHeight="1" x14ac:dyDescent="0.25">
      <c r="A140" s="365"/>
      <c r="B140" s="365"/>
      <c r="C140" s="365"/>
      <c r="D140" s="365"/>
      <c r="E140" s="365"/>
      <c r="F140" s="365"/>
      <c r="G140" s="365"/>
      <c r="H140" s="365"/>
      <c r="I140" s="365"/>
      <c r="J140" s="365"/>
      <c r="K140" s="365"/>
      <c r="L140" s="365"/>
      <c r="M140" s="365"/>
      <c r="N140" s="365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</row>
    <row r="141" spans="1:26" ht="14.25" customHeight="1" x14ac:dyDescent="0.25">
      <c r="A141" s="365"/>
      <c r="B141" s="365"/>
      <c r="C141" s="365"/>
      <c r="D141" s="365"/>
      <c r="E141" s="365"/>
      <c r="F141" s="365"/>
      <c r="G141" s="365"/>
      <c r="H141" s="365"/>
      <c r="I141" s="365"/>
      <c r="J141" s="365"/>
      <c r="K141" s="365"/>
      <c r="L141" s="365"/>
      <c r="M141" s="365"/>
      <c r="N141" s="365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</row>
    <row r="142" spans="1:26" ht="14.25" customHeight="1" x14ac:dyDescent="0.25">
      <c r="A142" s="365"/>
      <c r="B142" s="365"/>
      <c r="C142" s="365"/>
      <c r="D142" s="365"/>
      <c r="E142" s="365"/>
      <c r="F142" s="365"/>
      <c r="G142" s="365"/>
      <c r="H142" s="365"/>
      <c r="I142" s="365"/>
      <c r="J142" s="365"/>
      <c r="K142" s="365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</row>
    <row r="143" spans="1:26" ht="14.25" customHeight="1" x14ac:dyDescent="0.25">
      <c r="A143" s="365"/>
      <c r="B143" s="365"/>
      <c r="C143" s="365"/>
      <c r="D143" s="365"/>
      <c r="E143" s="365"/>
      <c r="F143" s="365"/>
      <c r="G143" s="365"/>
      <c r="H143" s="365"/>
      <c r="I143" s="365"/>
      <c r="J143" s="365"/>
      <c r="K143" s="365"/>
      <c r="L143" s="365"/>
      <c r="M143" s="365"/>
      <c r="N143" s="365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</row>
    <row r="144" spans="1:26" ht="14.25" customHeight="1" x14ac:dyDescent="0.25">
      <c r="A144" s="365"/>
      <c r="B144" s="365"/>
      <c r="C144" s="365"/>
      <c r="D144" s="365"/>
      <c r="E144" s="365"/>
      <c r="F144" s="365"/>
      <c r="G144" s="365"/>
      <c r="H144" s="365"/>
      <c r="I144" s="365"/>
      <c r="J144" s="365"/>
      <c r="K144" s="365"/>
      <c r="L144" s="365"/>
      <c r="M144" s="365"/>
      <c r="N144" s="365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</row>
    <row r="145" spans="1:26" ht="14.25" customHeight="1" x14ac:dyDescent="0.25">
      <c r="A145" s="365"/>
      <c r="B145" s="365"/>
      <c r="C145" s="365"/>
      <c r="D145" s="365"/>
      <c r="E145" s="365"/>
      <c r="F145" s="365"/>
      <c r="G145" s="365"/>
      <c r="H145" s="365"/>
      <c r="I145" s="365"/>
      <c r="J145" s="365"/>
      <c r="K145" s="365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</row>
    <row r="146" spans="1:26" ht="14.25" customHeight="1" x14ac:dyDescent="0.25">
      <c r="A146" s="365"/>
      <c r="B146" s="365"/>
      <c r="C146" s="365"/>
      <c r="D146" s="365"/>
      <c r="E146" s="365"/>
      <c r="F146" s="365"/>
      <c r="G146" s="365"/>
      <c r="H146" s="365"/>
      <c r="I146" s="365"/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</row>
    <row r="147" spans="1:26" ht="14.25" customHeight="1" x14ac:dyDescent="0.25">
      <c r="A147" s="365"/>
      <c r="B147" s="365"/>
      <c r="C147" s="365"/>
      <c r="D147" s="365"/>
      <c r="E147" s="365"/>
      <c r="F147" s="365"/>
      <c r="G147" s="365"/>
      <c r="H147" s="365"/>
      <c r="I147" s="365"/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</row>
    <row r="148" spans="1:26" ht="14.25" customHeight="1" x14ac:dyDescent="0.25">
      <c r="A148" s="365"/>
      <c r="B148" s="365"/>
      <c r="C148" s="365"/>
      <c r="D148" s="365"/>
      <c r="E148" s="365"/>
      <c r="F148" s="365"/>
      <c r="G148" s="365"/>
      <c r="H148" s="365"/>
      <c r="I148" s="365"/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</row>
    <row r="149" spans="1:26" ht="14.25" customHeight="1" x14ac:dyDescent="0.25">
      <c r="A149" s="365"/>
      <c r="B149" s="365"/>
      <c r="C149" s="365"/>
      <c r="D149" s="365"/>
      <c r="E149" s="365"/>
      <c r="F149" s="365"/>
      <c r="G149" s="365"/>
      <c r="H149" s="365"/>
      <c r="I149" s="365"/>
      <c r="J149" s="365"/>
      <c r="K149" s="365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</row>
    <row r="150" spans="1:26" ht="14.25" customHeight="1" x14ac:dyDescent="0.25">
      <c r="A150" s="365"/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</row>
    <row r="151" spans="1:26" ht="14.25" customHeight="1" x14ac:dyDescent="0.25">
      <c r="A151" s="365"/>
      <c r="B151" s="365"/>
      <c r="C151" s="365"/>
      <c r="D151" s="365"/>
      <c r="E151" s="365"/>
      <c r="F151" s="365"/>
      <c r="G151" s="365"/>
      <c r="H151" s="365"/>
      <c r="I151" s="365"/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</row>
    <row r="152" spans="1:26" ht="14.25" customHeight="1" x14ac:dyDescent="0.25">
      <c r="A152" s="365"/>
      <c r="B152" s="365"/>
      <c r="C152" s="365"/>
      <c r="D152" s="365"/>
      <c r="E152" s="365"/>
      <c r="F152" s="365"/>
      <c r="G152" s="365"/>
      <c r="H152" s="365"/>
      <c r="I152" s="365"/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</row>
    <row r="153" spans="1:26" ht="14.25" customHeight="1" x14ac:dyDescent="0.25">
      <c r="A153" s="365"/>
      <c r="B153" s="365"/>
      <c r="C153" s="365"/>
      <c r="D153" s="365"/>
      <c r="E153" s="365"/>
      <c r="F153" s="365"/>
      <c r="G153" s="365"/>
      <c r="H153" s="365"/>
      <c r="I153" s="365"/>
      <c r="J153" s="365"/>
      <c r="K153" s="365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</row>
    <row r="154" spans="1:26" ht="14.25" customHeight="1" x14ac:dyDescent="0.25">
      <c r="A154" s="365"/>
      <c r="B154" s="365"/>
      <c r="C154" s="365"/>
      <c r="D154" s="365"/>
      <c r="E154" s="365"/>
      <c r="F154" s="365"/>
      <c r="G154" s="365"/>
      <c r="H154" s="365"/>
      <c r="I154" s="365"/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</row>
    <row r="155" spans="1:26" ht="14.25" customHeight="1" x14ac:dyDescent="0.25">
      <c r="A155" s="365"/>
      <c r="B155" s="365"/>
      <c r="C155" s="365"/>
      <c r="D155" s="365"/>
      <c r="E155" s="365"/>
      <c r="F155" s="365"/>
      <c r="G155" s="365"/>
      <c r="H155" s="365"/>
      <c r="I155" s="365"/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</row>
    <row r="156" spans="1:26" ht="14.25" customHeight="1" x14ac:dyDescent="0.25">
      <c r="A156" s="365"/>
      <c r="B156" s="365"/>
      <c r="C156" s="365"/>
      <c r="D156" s="365"/>
      <c r="E156" s="365"/>
      <c r="F156" s="365"/>
      <c r="G156" s="365"/>
      <c r="H156" s="365"/>
      <c r="I156" s="365"/>
      <c r="J156" s="365"/>
      <c r="K156" s="365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</row>
    <row r="157" spans="1:26" ht="14.25" customHeight="1" x14ac:dyDescent="0.25">
      <c r="A157" s="365"/>
      <c r="B157" s="365"/>
      <c r="C157" s="365"/>
      <c r="D157" s="365"/>
      <c r="E157" s="365"/>
      <c r="F157" s="365"/>
      <c r="G157" s="365"/>
      <c r="H157" s="365"/>
      <c r="I157" s="365"/>
      <c r="J157" s="365"/>
      <c r="K157" s="365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</row>
    <row r="158" spans="1:26" ht="14.25" customHeight="1" x14ac:dyDescent="0.25">
      <c r="A158" s="365"/>
      <c r="B158" s="365"/>
      <c r="C158" s="365"/>
      <c r="D158" s="365"/>
      <c r="E158" s="365"/>
      <c r="F158" s="365"/>
      <c r="G158" s="365"/>
      <c r="H158" s="365"/>
      <c r="I158" s="365"/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</row>
    <row r="159" spans="1:26" ht="14.25" customHeight="1" x14ac:dyDescent="0.25">
      <c r="A159" s="365"/>
      <c r="B159" s="365"/>
      <c r="C159" s="365"/>
      <c r="D159" s="365"/>
      <c r="E159" s="365"/>
      <c r="F159" s="365"/>
      <c r="G159" s="365"/>
      <c r="H159" s="365"/>
      <c r="I159" s="365"/>
      <c r="J159" s="365"/>
      <c r="K159" s="365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</row>
    <row r="160" spans="1:26" ht="14.25" customHeight="1" x14ac:dyDescent="0.25">
      <c r="A160" s="365"/>
      <c r="B160" s="365"/>
      <c r="C160" s="365"/>
      <c r="D160" s="365"/>
      <c r="E160" s="365"/>
      <c r="F160" s="365"/>
      <c r="G160" s="365"/>
      <c r="H160" s="365"/>
      <c r="I160" s="365"/>
      <c r="J160" s="365"/>
      <c r="K160" s="365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</row>
    <row r="161" spans="1:26" ht="14.25" customHeight="1" x14ac:dyDescent="0.25">
      <c r="A161" s="365"/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</row>
    <row r="162" spans="1:26" ht="14.25" customHeight="1" x14ac:dyDescent="0.25">
      <c r="A162" s="365"/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</row>
    <row r="163" spans="1:26" ht="14.25" customHeight="1" x14ac:dyDescent="0.25">
      <c r="A163" s="365"/>
      <c r="B163" s="365"/>
      <c r="C163" s="365"/>
      <c r="D163" s="365"/>
      <c r="E163" s="365"/>
      <c r="F163" s="365"/>
      <c r="G163" s="365"/>
      <c r="H163" s="365"/>
      <c r="I163" s="365"/>
      <c r="J163" s="365"/>
      <c r="K163" s="365"/>
      <c r="L163" s="365"/>
      <c r="M163" s="365"/>
      <c r="N163" s="365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</row>
    <row r="164" spans="1:26" ht="14.25" customHeight="1" x14ac:dyDescent="0.25">
      <c r="A164" s="365"/>
      <c r="B164" s="365"/>
      <c r="C164" s="365"/>
      <c r="D164" s="365"/>
      <c r="E164" s="365"/>
      <c r="F164" s="365"/>
      <c r="G164" s="365"/>
      <c r="H164" s="365"/>
      <c r="I164" s="365"/>
      <c r="J164" s="365"/>
      <c r="K164" s="365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</row>
    <row r="165" spans="1:26" ht="14.25" customHeight="1" x14ac:dyDescent="0.25">
      <c r="A165" s="365"/>
      <c r="B165" s="365"/>
      <c r="C165" s="365"/>
      <c r="D165" s="365"/>
      <c r="E165" s="365"/>
      <c r="F165" s="365"/>
      <c r="G165" s="365"/>
      <c r="H165" s="365"/>
      <c r="I165" s="365"/>
      <c r="J165" s="365"/>
      <c r="K165" s="365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</row>
    <row r="166" spans="1:26" ht="14.25" customHeight="1" x14ac:dyDescent="0.25">
      <c r="A166" s="365"/>
      <c r="B166" s="365"/>
      <c r="C166" s="365"/>
      <c r="D166" s="365"/>
      <c r="E166" s="365"/>
      <c r="F166" s="365"/>
      <c r="G166" s="365"/>
      <c r="H166" s="365"/>
      <c r="I166" s="365"/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</row>
    <row r="167" spans="1:26" ht="14.25" customHeight="1" x14ac:dyDescent="0.25">
      <c r="A167" s="365"/>
      <c r="B167" s="365"/>
      <c r="C167" s="365"/>
      <c r="D167" s="365"/>
      <c r="E167" s="365"/>
      <c r="F167" s="365"/>
      <c r="G167" s="365"/>
      <c r="H167" s="365"/>
      <c r="I167" s="365"/>
      <c r="J167" s="365"/>
      <c r="K167" s="365"/>
      <c r="L167" s="365"/>
      <c r="M167" s="365"/>
      <c r="N167" s="365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</row>
    <row r="168" spans="1:26" ht="14.25" customHeight="1" x14ac:dyDescent="0.25">
      <c r="A168" s="365"/>
      <c r="B168" s="365"/>
      <c r="C168" s="365"/>
      <c r="D168" s="365"/>
      <c r="E168" s="365"/>
      <c r="F168" s="365"/>
      <c r="G168" s="365"/>
      <c r="H168" s="365"/>
      <c r="I168" s="365"/>
      <c r="J168" s="365"/>
      <c r="K168" s="365"/>
      <c r="L168" s="365"/>
      <c r="M168" s="365"/>
      <c r="N168" s="365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</row>
    <row r="169" spans="1:26" ht="14.25" customHeight="1" x14ac:dyDescent="0.25">
      <c r="A169" s="365"/>
      <c r="B169" s="365"/>
      <c r="C169" s="365"/>
      <c r="D169" s="365"/>
      <c r="E169" s="365"/>
      <c r="F169" s="365"/>
      <c r="G169" s="365"/>
      <c r="H169" s="365"/>
      <c r="I169" s="365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</row>
    <row r="170" spans="1:26" ht="14.25" customHeight="1" x14ac:dyDescent="0.25">
      <c r="A170" s="365"/>
      <c r="B170" s="365"/>
      <c r="C170" s="365"/>
      <c r="D170" s="365"/>
      <c r="E170" s="365"/>
      <c r="F170" s="365"/>
      <c r="G170" s="365"/>
      <c r="H170" s="365"/>
      <c r="I170" s="365"/>
      <c r="J170" s="365"/>
      <c r="K170" s="365"/>
      <c r="L170" s="365"/>
      <c r="M170" s="365"/>
      <c r="N170" s="365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</row>
    <row r="171" spans="1:26" ht="14.25" customHeight="1" x14ac:dyDescent="0.25">
      <c r="A171" s="365"/>
      <c r="B171" s="365"/>
      <c r="C171" s="365"/>
      <c r="D171" s="365"/>
      <c r="E171" s="365"/>
      <c r="F171" s="365"/>
      <c r="G171" s="365"/>
      <c r="H171" s="365"/>
      <c r="I171" s="365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</row>
    <row r="172" spans="1:26" ht="14.25" customHeight="1" x14ac:dyDescent="0.25">
      <c r="A172" s="365"/>
      <c r="B172" s="365"/>
      <c r="C172" s="365"/>
      <c r="D172" s="365"/>
      <c r="E172" s="365"/>
      <c r="F172" s="365"/>
      <c r="G172" s="365"/>
      <c r="H172" s="365"/>
      <c r="I172" s="365"/>
      <c r="J172" s="365"/>
      <c r="K172" s="365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</row>
    <row r="173" spans="1:26" ht="14.25" customHeight="1" x14ac:dyDescent="0.25">
      <c r="A173" s="365"/>
      <c r="B173" s="365"/>
      <c r="C173" s="365"/>
      <c r="D173" s="365"/>
      <c r="E173" s="365"/>
      <c r="F173" s="365"/>
      <c r="G173" s="365"/>
      <c r="H173" s="365"/>
      <c r="I173" s="365"/>
      <c r="J173" s="365"/>
      <c r="K173" s="365"/>
      <c r="L173" s="365"/>
      <c r="M173" s="365"/>
      <c r="N173" s="365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</row>
    <row r="174" spans="1:26" ht="14.25" customHeight="1" x14ac:dyDescent="0.25">
      <c r="A174" s="365"/>
      <c r="B174" s="365"/>
      <c r="C174" s="365"/>
      <c r="D174" s="365"/>
      <c r="E174" s="365"/>
      <c r="F174" s="365"/>
      <c r="G174" s="365"/>
      <c r="H174" s="365"/>
      <c r="I174" s="365"/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</row>
    <row r="175" spans="1:26" ht="14.25" customHeight="1" x14ac:dyDescent="0.25">
      <c r="A175" s="365"/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N175" s="365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</row>
    <row r="176" spans="1:26" ht="14.25" customHeight="1" x14ac:dyDescent="0.25">
      <c r="A176" s="365"/>
      <c r="B176" s="365"/>
      <c r="C176" s="365"/>
      <c r="D176" s="365"/>
      <c r="E176" s="365"/>
      <c r="F176" s="365"/>
      <c r="G176" s="365"/>
      <c r="H176" s="365"/>
      <c r="I176" s="365"/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</row>
    <row r="177" spans="1:26" ht="14.25" customHeight="1" x14ac:dyDescent="0.25">
      <c r="A177" s="365"/>
      <c r="B177" s="365"/>
      <c r="C177" s="365"/>
      <c r="D177" s="365"/>
      <c r="E177" s="365"/>
      <c r="F177" s="365"/>
      <c r="G177" s="365"/>
      <c r="H177" s="365"/>
      <c r="I177" s="365"/>
      <c r="J177" s="365"/>
      <c r="K177" s="365"/>
      <c r="L177" s="365"/>
      <c r="M177" s="365"/>
      <c r="N177" s="365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</row>
    <row r="178" spans="1:26" ht="14.25" customHeight="1" x14ac:dyDescent="0.25">
      <c r="A178" s="365"/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</row>
    <row r="179" spans="1:26" ht="14.25" customHeight="1" x14ac:dyDescent="0.25">
      <c r="A179" s="365"/>
      <c r="B179" s="365"/>
      <c r="C179" s="365"/>
      <c r="D179" s="365"/>
      <c r="E179" s="365"/>
      <c r="F179" s="365"/>
      <c r="G179" s="365"/>
      <c r="H179" s="365"/>
      <c r="I179" s="365"/>
      <c r="J179" s="365"/>
      <c r="K179" s="365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</row>
    <row r="180" spans="1:26" ht="14.25" customHeight="1" x14ac:dyDescent="0.25">
      <c r="A180" s="365"/>
      <c r="B180" s="365"/>
      <c r="C180" s="365"/>
      <c r="D180" s="365"/>
      <c r="E180" s="365"/>
      <c r="F180" s="365"/>
      <c r="G180" s="365"/>
      <c r="H180" s="365"/>
      <c r="I180" s="365"/>
      <c r="J180" s="365"/>
      <c r="K180" s="365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</row>
    <row r="181" spans="1:26" ht="14.25" customHeight="1" x14ac:dyDescent="0.25">
      <c r="A181" s="365"/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</row>
    <row r="182" spans="1:26" ht="14.25" customHeight="1" x14ac:dyDescent="0.25">
      <c r="A182" s="365"/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</row>
    <row r="183" spans="1:26" ht="14.25" customHeight="1" x14ac:dyDescent="0.25">
      <c r="A183" s="365"/>
      <c r="B183" s="365"/>
      <c r="C183" s="365"/>
      <c r="D183" s="365"/>
      <c r="E183" s="365"/>
      <c r="F183" s="365"/>
      <c r="G183" s="365"/>
      <c r="H183" s="365"/>
      <c r="I183" s="365"/>
      <c r="J183" s="365"/>
      <c r="K183" s="365"/>
      <c r="L183" s="365"/>
      <c r="M183" s="365"/>
      <c r="N183" s="365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</row>
    <row r="184" spans="1:26" ht="14.25" customHeight="1" x14ac:dyDescent="0.25">
      <c r="A184" s="365"/>
      <c r="B184" s="365"/>
      <c r="C184" s="365"/>
      <c r="D184" s="365"/>
      <c r="E184" s="365"/>
      <c r="F184" s="365"/>
      <c r="G184" s="365"/>
      <c r="H184" s="365"/>
      <c r="I184" s="365"/>
      <c r="J184" s="365"/>
      <c r="K184" s="365"/>
      <c r="L184" s="365"/>
      <c r="M184" s="365"/>
      <c r="N184" s="365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</row>
    <row r="185" spans="1:26" ht="14.25" customHeight="1" x14ac:dyDescent="0.25">
      <c r="A185" s="365"/>
      <c r="B185" s="365"/>
      <c r="C185" s="365"/>
      <c r="D185" s="365"/>
      <c r="E185" s="365"/>
      <c r="F185" s="365"/>
      <c r="G185" s="365"/>
      <c r="H185" s="365"/>
      <c r="I185" s="365"/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</row>
    <row r="186" spans="1:26" ht="14.25" customHeight="1" x14ac:dyDescent="0.25">
      <c r="A186" s="365"/>
      <c r="B186" s="365"/>
      <c r="C186" s="365"/>
      <c r="D186" s="365"/>
      <c r="E186" s="365"/>
      <c r="F186" s="365"/>
      <c r="G186" s="365"/>
      <c r="H186" s="365"/>
      <c r="I186" s="365"/>
      <c r="J186" s="365"/>
      <c r="K186" s="365"/>
      <c r="L186" s="365"/>
      <c r="M186" s="365"/>
      <c r="N186" s="365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</row>
    <row r="187" spans="1:26" ht="14.25" customHeight="1" x14ac:dyDescent="0.25">
      <c r="A187" s="365"/>
      <c r="B187" s="365"/>
      <c r="C187" s="365"/>
      <c r="D187" s="365"/>
      <c r="E187" s="365"/>
      <c r="F187" s="365"/>
      <c r="G187" s="365"/>
      <c r="H187" s="365"/>
      <c r="I187" s="365"/>
      <c r="J187" s="365"/>
      <c r="K187" s="365"/>
      <c r="L187" s="365"/>
      <c r="M187" s="365"/>
      <c r="N187" s="365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</row>
    <row r="188" spans="1:26" ht="14.25" customHeight="1" x14ac:dyDescent="0.25">
      <c r="A188" s="365"/>
      <c r="B188" s="365"/>
      <c r="C188" s="365"/>
      <c r="D188" s="365"/>
      <c r="E188" s="365"/>
      <c r="F188" s="365"/>
      <c r="G188" s="365"/>
      <c r="H188" s="365"/>
      <c r="I188" s="365"/>
      <c r="J188" s="365"/>
      <c r="K188" s="365"/>
      <c r="L188" s="365"/>
      <c r="M188" s="365"/>
      <c r="N188" s="365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</row>
    <row r="189" spans="1:26" ht="14.25" customHeight="1" x14ac:dyDescent="0.25">
      <c r="A189" s="365"/>
      <c r="B189" s="365"/>
      <c r="C189" s="365"/>
      <c r="D189" s="365"/>
      <c r="E189" s="365"/>
      <c r="F189" s="365"/>
      <c r="G189" s="365"/>
      <c r="H189" s="365"/>
      <c r="I189" s="365"/>
      <c r="J189" s="365"/>
      <c r="K189" s="365"/>
      <c r="L189" s="365"/>
      <c r="M189" s="365"/>
      <c r="N189" s="365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</row>
    <row r="190" spans="1:26" ht="14.25" customHeight="1" x14ac:dyDescent="0.25">
      <c r="A190" s="365"/>
      <c r="B190" s="365"/>
      <c r="C190" s="365"/>
      <c r="D190" s="365"/>
      <c r="E190" s="365"/>
      <c r="F190" s="365"/>
      <c r="G190" s="365"/>
      <c r="H190" s="365"/>
      <c r="I190" s="365"/>
      <c r="J190" s="365"/>
      <c r="K190" s="365"/>
      <c r="L190" s="365"/>
      <c r="M190" s="365"/>
      <c r="N190" s="365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</row>
    <row r="191" spans="1:26" ht="14.25" customHeight="1" x14ac:dyDescent="0.25">
      <c r="A191" s="365"/>
      <c r="B191" s="365"/>
      <c r="C191" s="365"/>
      <c r="D191" s="365"/>
      <c r="E191" s="365"/>
      <c r="F191" s="365"/>
      <c r="G191" s="365"/>
      <c r="H191" s="365"/>
      <c r="I191" s="365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</row>
    <row r="192" spans="1:26" ht="14.25" customHeight="1" x14ac:dyDescent="0.25">
      <c r="A192" s="365"/>
      <c r="B192" s="365"/>
      <c r="C192" s="365"/>
      <c r="D192" s="365"/>
      <c r="E192" s="365"/>
      <c r="F192" s="365"/>
      <c r="G192" s="365"/>
      <c r="H192" s="365"/>
      <c r="I192" s="365"/>
      <c r="J192" s="365"/>
      <c r="K192" s="365"/>
      <c r="L192" s="365"/>
      <c r="M192" s="365"/>
      <c r="N192" s="365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</row>
    <row r="193" spans="1:26" ht="14.25" customHeight="1" x14ac:dyDescent="0.25">
      <c r="A193" s="365"/>
      <c r="B193" s="365"/>
      <c r="C193" s="365"/>
      <c r="D193" s="365"/>
      <c r="E193" s="365"/>
      <c r="F193" s="365"/>
      <c r="G193" s="365"/>
      <c r="H193" s="365"/>
      <c r="I193" s="365"/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</row>
    <row r="194" spans="1:26" ht="14.25" customHeight="1" x14ac:dyDescent="0.25">
      <c r="A194" s="365"/>
      <c r="B194" s="365"/>
      <c r="C194" s="365"/>
      <c r="D194" s="365"/>
      <c r="E194" s="365"/>
      <c r="F194" s="365"/>
      <c r="G194" s="365"/>
      <c r="H194" s="365"/>
      <c r="I194" s="365"/>
      <c r="J194" s="365"/>
      <c r="K194" s="365"/>
      <c r="L194" s="365"/>
      <c r="M194" s="365"/>
      <c r="N194" s="365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</row>
    <row r="195" spans="1:26" ht="14.25" customHeight="1" x14ac:dyDescent="0.25">
      <c r="A195" s="365"/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</row>
    <row r="196" spans="1:26" ht="14.25" customHeight="1" x14ac:dyDescent="0.25">
      <c r="A196" s="365"/>
      <c r="B196" s="365"/>
      <c r="C196" s="365"/>
      <c r="D196" s="365"/>
      <c r="E196" s="365"/>
      <c r="F196" s="365"/>
      <c r="G196" s="365"/>
      <c r="H196" s="365"/>
      <c r="I196" s="365"/>
      <c r="J196" s="365"/>
      <c r="K196" s="365"/>
      <c r="L196" s="365"/>
      <c r="M196" s="365"/>
      <c r="N196" s="365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</row>
    <row r="197" spans="1:26" ht="14.25" customHeight="1" x14ac:dyDescent="0.25">
      <c r="A197" s="365"/>
      <c r="B197" s="365"/>
      <c r="C197" s="365"/>
      <c r="D197" s="365"/>
      <c r="E197" s="365"/>
      <c r="F197" s="365"/>
      <c r="G197" s="365"/>
      <c r="H197" s="365"/>
      <c r="I197" s="365"/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</row>
    <row r="198" spans="1:26" ht="14.25" customHeight="1" x14ac:dyDescent="0.25">
      <c r="A198" s="365"/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</row>
    <row r="199" spans="1:26" ht="14.25" customHeight="1" x14ac:dyDescent="0.25">
      <c r="A199" s="365"/>
      <c r="B199" s="365"/>
      <c r="C199" s="365"/>
      <c r="D199" s="365"/>
      <c r="E199" s="365"/>
      <c r="F199" s="365"/>
      <c r="G199" s="365"/>
      <c r="H199" s="365"/>
      <c r="I199" s="365"/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</row>
    <row r="200" spans="1:26" ht="14.25" customHeight="1" x14ac:dyDescent="0.25">
      <c r="A200" s="365"/>
      <c r="B200" s="365"/>
      <c r="C200" s="365"/>
      <c r="D200" s="365"/>
      <c r="E200" s="365"/>
      <c r="F200" s="365"/>
      <c r="G200" s="365"/>
      <c r="H200" s="365"/>
      <c r="I200" s="365"/>
      <c r="J200" s="365"/>
      <c r="K200" s="365"/>
      <c r="L200" s="365"/>
      <c r="M200" s="365"/>
      <c r="N200" s="365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</row>
    <row r="201" spans="1:26" ht="14.25" customHeight="1" x14ac:dyDescent="0.25">
      <c r="A201" s="365"/>
      <c r="B201" s="365"/>
      <c r="C201" s="365"/>
      <c r="D201" s="365"/>
      <c r="E201" s="365"/>
      <c r="F201" s="365"/>
      <c r="G201" s="365"/>
      <c r="H201" s="365"/>
      <c r="I201" s="365"/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  <c r="Y201" s="365"/>
      <c r="Z201" s="365"/>
    </row>
    <row r="202" spans="1:26" ht="14.25" customHeight="1" x14ac:dyDescent="0.25">
      <c r="A202" s="365"/>
      <c r="B202" s="365"/>
      <c r="C202" s="365"/>
      <c r="D202" s="365"/>
      <c r="E202" s="365"/>
      <c r="F202" s="365"/>
      <c r="G202" s="365"/>
      <c r="H202" s="365"/>
      <c r="I202" s="365"/>
      <c r="J202" s="365"/>
      <c r="K202" s="365"/>
      <c r="L202" s="365"/>
      <c r="M202" s="365"/>
      <c r="N202" s="365"/>
      <c r="O202" s="365"/>
      <c r="P202" s="365"/>
      <c r="Q202" s="365"/>
      <c r="R202" s="365"/>
      <c r="S202" s="365"/>
      <c r="T202" s="365"/>
      <c r="U202" s="365"/>
      <c r="V202" s="365"/>
      <c r="W202" s="365"/>
      <c r="X202" s="365"/>
      <c r="Y202" s="365"/>
      <c r="Z202" s="365"/>
    </row>
    <row r="203" spans="1:26" ht="14.25" customHeight="1" x14ac:dyDescent="0.25">
      <c r="A203" s="365"/>
      <c r="B203" s="365"/>
      <c r="C203" s="365"/>
      <c r="D203" s="365"/>
      <c r="E203" s="365"/>
      <c r="F203" s="365"/>
      <c r="G203" s="365"/>
      <c r="H203" s="365"/>
      <c r="I203" s="365"/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</row>
    <row r="204" spans="1:26" ht="14.25" customHeight="1" x14ac:dyDescent="0.25">
      <c r="A204" s="365"/>
      <c r="B204" s="365"/>
      <c r="C204" s="365"/>
      <c r="D204" s="365"/>
      <c r="E204" s="365"/>
      <c r="F204" s="365"/>
      <c r="G204" s="365"/>
      <c r="H204" s="365"/>
      <c r="I204" s="365"/>
      <c r="J204" s="365"/>
      <c r="K204" s="365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</row>
    <row r="205" spans="1:26" ht="14.25" customHeight="1" x14ac:dyDescent="0.25">
      <c r="A205" s="365"/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</row>
    <row r="206" spans="1:26" ht="14.25" customHeight="1" x14ac:dyDescent="0.25">
      <c r="A206" s="365"/>
      <c r="B206" s="365"/>
      <c r="C206" s="365"/>
      <c r="D206" s="365"/>
      <c r="E206" s="365"/>
      <c r="F206" s="365"/>
      <c r="G206" s="365"/>
      <c r="H206" s="365"/>
      <c r="I206" s="365"/>
      <c r="J206" s="365"/>
      <c r="K206" s="365"/>
      <c r="L206" s="365"/>
      <c r="M206" s="365"/>
      <c r="N206" s="365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  <c r="Y206" s="365"/>
      <c r="Z206" s="365"/>
    </row>
    <row r="207" spans="1:26" ht="14.25" customHeight="1" x14ac:dyDescent="0.25">
      <c r="A207" s="365"/>
      <c r="B207" s="365"/>
      <c r="C207" s="365"/>
      <c r="D207" s="365"/>
      <c r="E207" s="365"/>
      <c r="F207" s="365"/>
      <c r="G207" s="365"/>
      <c r="H207" s="365"/>
      <c r="I207" s="365"/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</row>
    <row r="208" spans="1:26" ht="14.25" customHeight="1" x14ac:dyDescent="0.25">
      <c r="A208" s="365"/>
      <c r="B208" s="365"/>
      <c r="C208" s="365"/>
      <c r="D208" s="365"/>
      <c r="E208" s="365"/>
      <c r="F208" s="365"/>
      <c r="G208" s="365"/>
      <c r="H208" s="365"/>
      <c r="I208" s="365"/>
      <c r="J208" s="365"/>
      <c r="K208" s="365"/>
      <c r="L208" s="365"/>
      <c r="M208" s="365"/>
      <c r="N208" s="365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  <c r="Y208" s="365"/>
      <c r="Z208" s="365"/>
    </row>
    <row r="209" spans="1:26" ht="14.25" customHeight="1" x14ac:dyDescent="0.25">
      <c r="A209" s="365"/>
      <c r="B209" s="365"/>
      <c r="C209" s="365"/>
      <c r="D209" s="365"/>
      <c r="E209" s="365"/>
      <c r="F209" s="365"/>
      <c r="G209" s="365"/>
      <c r="H209" s="365"/>
      <c r="I209" s="365"/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</row>
    <row r="210" spans="1:26" ht="14.25" customHeight="1" x14ac:dyDescent="0.25">
      <c r="A210" s="365"/>
      <c r="B210" s="365"/>
      <c r="C210" s="365"/>
      <c r="D210" s="365"/>
      <c r="E210" s="365"/>
      <c r="F210" s="365"/>
      <c r="G210" s="365"/>
      <c r="H210" s="365"/>
      <c r="I210" s="365"/>
      <c r="J210" s="365"/>
      <c r="K210" s="365"/>
      <c r="L210" s="365"/>
      <c r="M210" s="365"/>
      <c r="N210" s="365"/>
      <c r="O210" s="365"/>
      <c r="P210" s="365"/>
      <c r="Q210" s="365"/>
      <c r="R210" s="365"/>
      <c r="S210" s="365"/>
      <c r="T210" s="365"/>
      <c r="U210" s="365"/>
      <c r="V210" s="365"/>
      <c r="W210" s="365"/>
      <c r="X210" s="365"/>
      <c r="Y210" s="365"/>
      <c r="Z210" s="365"/>
    </row>
    <row r="211" spans="1:26" ht="14.25" customHeight="1" x14ac:dyDescent="0.25">
      <c r="A211" s="365"/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5"/>
      <c r="Q211" s="365"/>
      <c r="R211" s="365"/>
      <c r="S211" s="365"/>
      <c r="T211" s="365"/>
      <c r="U211" s="365"/>
      <c r="V211" s="365"/>
      <c r="W211" s="365"/>
      <c r="X211" s="365"/>
      <c r="Y211" s="365"/>
      <c r="Z211" s="365"/>
    </row>
    <row r="212" spans="1:26" ht="14.25" customHeight="1" x14ac:dyDescent="0.25">
      <c r="A212" s="365"/>
      <c r="B212" s="365"/>
      <c r="C212" s="365"/>
      <c r="D212" s="365"/>
      <c r="E212" s="365"/>
      <c r="F212" s="365"/>
      <c r="G212" s="365"/>
      <c r="H212" s="365"/>
      <c r="I212" s="365"/>
      <c r="J212" s="365"/>
      <c r="K212" s="365"/>
      <c r="L212" s="365"/>
      <c r="M212" s="365"/>
      <c r="N212" s="365"/>
      <c r="O212" s="365"/>
      <c r="P212" s="365"/>
      <c r="Q212" s="365"/>
      <c r="R212" s="365"/>
      <c r="S212" s="365"/>
      <c r="T212" s="365"/>
      <c r="U212" s="365"/>
      <c r="V212" s="365"/>
      <c r="W212" s="365"/>
      <c r="X212" s="365"/>
      <c r="Y212" s="365"/>
      <c r="Z212" s="365"/>
    </row>
    <row r="213" spans="1:26" ht="14.25" customHeight="1" x14ac:dyDescent="0.25">
      <c r="A213" s="365"/>
      <c r="B213" s="365"/>
      <c r="C213" s="365"/>
      <c r="D213" s="365"/>
      <c r="E213" s="365"/>
      <c r="F213" s="365"/>
      <c r="G213" s="365"/>
      <c r="H213" s="365"/>
      <c r="I213" s="365"/>
      <c r="J213" s="365"/>
      <c r="K213" s="365"/>
      <c r="L213" s="365"/>
      <c r="M213" s="365"/>
      <c r="N213" s="365"/>
      <c r="O213" s="365"/>
      <c r="P213" s="365"/>
      <c r="Q213" s="365"/>
      <c r="R213" s="365"/>
      <c r="S213" s="365"/>
      <c r="T213" s="365"/>
      <c r="U213" s="365"/>
      <c r="V213" s="365"/>
      <c r="W213" s="365"/>
      <c r="X213" s="365"/>
      <c r="Y213" s="365"/>
      <c r="Z213" s="365"/>
    </row>
    <row r="214" spans="1:26" ht="14.25" customHeight="1" x14ac:dyDescent="0.25">
      <c r="A214" s="365"/>
      <c r="B214" s="365"/>
      <c r="C214" s="365"/>
      <c r="D214" s="365"/>
      <c r="E214" s="365"/>
      <c r="F214" s="365"/>
      <c r="G214" s="365"/>
      <c r="H214" s="365"/>
      <c r="I214" s="365"/>
      <c r="J214" s="365"/>
      <c r="K214" s="365"/>
      <c r="L214" s="365"/>
      <c r="M214" s="365"/>
      <c r="N214" s="365"/>
      <c r="O214" s="365"/>
      <c r="P214" s="365"/>
      <c r="Q214" s="365"/>
      <c r="R214" s="365"/>
      <c r="S214" s="365"/>
      <c r="T214" s="365"/>
      <c r="U214" s="365"/>
      <c r="V214" s="365"/>
      <c r="W214" s="365"/>
      <c r="X214" s="365"/>
      <c r="Y214" s="365"/>
      <c r="Z214" s="365"/>
    </row>
    <row r="215" spans="1:26" ht="14.25" customHeight="1" x14ac:dyDescent="0.25">
      <c r="A215" s="365"/>
      <c r="B215" s="365"/>
      <c r="C215" s="365"/>
      <c r="D215" s="365"/>
      <c r="E215" s="365"/>
      <c r="F215" s="365"/>
      <c r="G215" s="365"/>
      <c r="H215" s="365"/>
      <c r="I215" s="365"/>
      <c r="J215" s="365"/>
      <c r="K215" s="365"/>
      <c r="L215" s="365"/>
      <c r="M215" s="365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65"/>
      <c r="Y215" s="365"/>
      <c r="Z215" s="365"/>
    </row>
    <row r="216" spans="1:26" ht="14.25" customHeight="1" x14ac:dyDescent="0.25">
      <c r="A216" s="365"/>
      <c r="B216" s="365"/>
      <c r="C216" s="365"/>
      <c r="D216" s="365"/>
      <c r="E216" s="365"/>
      <c r="F216" s="365"/>
      <c r="G216" s="365"/>
      <c r="H216" s="365"/>
      <c r="I216" s="365"/>
      <c r="J216" s="365"/>
      <c r="K216" s="365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  <c r="Y216" s="365"/>
      <c r="Z216" s="365"/>
    </row>
    <row r="217" spans="1:26" ht="14.25" customHeight="1" x14ac:dyDescent="0.25">
      <c r="A217" s="365"/>
      <c r="B217" s="365"/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365"/>
      <c r="V217" s="365"/>
      <c r="W217" s="365"/>
      <c r="X217" s="365"/>
      <c r="Y217" s="365"/>
      <c r="Z217" s="365"/>
    </row>
    <row r="218" spans="1:26" ht="14.25" customHeight="1" x14ac:dyDescent="0.25">
      <c r="A218" s="365"/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</row>
    <row r="219" spans="1:26" ht="14.25" customHeight="1" x14ac:dyDescent="0.25">
      <c r="A219" s="365"/>
      <c r="B219" s="365"/>
      <c r="C219" s="365"/>
      <c r="D219" s="365"/>
      <c r="E219" s="365"/>
      <c r="F219" s="365"/>
      <c r="G219" s="365"/>
      <c r="H219" s="365"/>
      <c r="I219" s="365"/>
      <c r="J219" s="365"/>
      <c r="K219" s="365"/>
      <c r="L219" s="365"/>
      <c r="M219" s="365"/>
      <c r="N219" s="365"/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  <c r="Y219" s="365"/>
      <c r="Z219" s="365"/>
    </row>
    <row r="220" spans="1:26" ht="14.25" customHeight="1" x14ac:dyDescent="0.25">
      <c r="A220" s="365"/>
      <c r="B220" s="365"/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  <c r="Y220" s="365"/>
      <c r="Z220" s="365"/>
    </row>
    <row r="221" spans="1:26" ht="14.25" customHeight="1" x14ac:dyDescent="0.25">
      <c r="A221" s="365"/>
      <c r="B221" s="365"/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5"/>
      <c r="P221" s="365"/>
      <c r="Q221" s="365"/>
      <c r="R221" s="365"/>
      <c r="S221" s="365"/>
      <c r="T221" s="365"/>
      <c r="U221" s="365"/>
      <c r="V221" s="365"/>
      <c r="W221" s="365"/>
      <c r="X221" s="365"/>
      <c r="Y221" s="365"/>
      <c r="Z221" s="365"/>
    </row>
    <row r="222" spans="1:26" ht="14.25" customHeight="1" x14ac:dyDescent="0.25">
      <c r="A222" s="365"/>
      <c r="B222" s="365"/>
      <c r="C222" s="365"/>
      <c r="D222" s="365"/>
      <c r="E222" s="365"/>
      <c r="F222" s="365"/>
      <c r="G222" s="365"/>
      <c r="H222" s="365"/>
      <c r="I222" s="365"/>
      <c r="J222" s="365"/>
      <c r="K222" s="365"/>
      <c r="L222" s="365"/>
      <c r="M222" s="365"/>
      <c r="N222" s="365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  <c r="Y222" s="365"/>
      <c r="Z222" s="365"/>
    </row>
    <row r="223" spans="1:26" ht="14.25" customHeight="1" x14ac:dyDescent="0.25">
      <c r="A223" s="365"/>
      <c r="B223" s="365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5"/>
      <c r="V223" s="365"/>
      <c r="W223" s="365"/>
      <c r="X223" s="365"/>
      <c r="Y223" s="365"/>
      <c r="Z223" s="365"/>
    </row>
    <row r="224" spans="1:26" ht="14.25" customHeight="1" x14ac:dyDescent="0.25">
      <c r="A224" s="365"/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5"/>
      <c r="Q224" s="365"/>
      <c r="R224" s="365"/>
      <c r="S224" s="365"/>
      <c r="T224" s="365"/>
      <c r="U224" s="365"/>
      <c r="V224" s="365"/>
      <c r="W224" s="365"/>
      <c r="X224" s="365"/>
      <c r="Y224" s="365"/>
      <c r="Z224" s="365"/>
    </row>
    <row r="225" spans="1:26" ht="14.25" customHeight="1" x14ac:dyDescent="0.25">
      <c r="A225" s="365"/>
      <c r="B225" s="365"/>
      <c r="C225" s="365"/>
      <c r="D225" s="365"/>
      <c r="E225" s="365"/>
      <c r="F225" s="365"/>
      <c r="G225" s="365"/>
      <c r="H225" s="365"/>
      <c r="I225" s="365"/>
      <c r="J225" s="365"/>
      <c r="K225" s="365"/>
      <c r="L225" s="365"/>
      <c r="M225" s="365"/>
      <c r="N225" s="365"/>
      <c r="O225" s="365"/>
      <c r="P225" s="365"/>
      <c r="Q225" s="365"/>
      <c r="R225" s="365"/>
      <c r="S225" s="365"/>
      <c r="T225" s="365"/>
      <c r="U225" s="365"/>
      <c r="V225" s="365"/>
      <c r="W225" s="365"/>
      <c r="X225" s="365"/>
      <c r="Y225" s="365"/>
      <c r="Z225" s="365"/>
    </row>
    <row r="226" spans="1:26" ht="14.25" customHeight="1" x14ac:dyDescent="0.25">
      <c r="A226" s="365"/>
      <c r="B226" s="365"/>
      <c r="C226" s="365"/>
      <c r="D226" s="365"/>
      <c r="E226" s="365"/>
      <c r="F226" s="365"/>
      <c r="G226" s="365"/>
      <c r="H226" s="365"/>
      <c r="I226" s="365"/>
      <c r="J226" s="365"/>
      <c r="K226" s="365"/>
      <c r="L226" s="365"/>
      <c r="M226" s="365"/>
      <c r="N226" s="365"/>
      <c r="O226" s="365"/>
      <c r="P226" s="365"/>
      <c r="Q226" s="365"/>
      <c r="R226" s="365"/>
      <c r="S226" s="365"/>
      <c r="T226" s="365"/>
      <c r="U226" s="365"/>
      <c r="V226" s="365"/>
      <c r="W226" s="365"/>
      <c r="X226" s="365"/>
      <c r="Y226" s="365"/>
      <c r="Z226" s="365"/>
    </row>
    <row r="227" spans="1:26" ht="14.25" customHeight="1" x14ac:dyDescent="0.25">
      <c r="A227" s="365"/>
      <c r="B227" s="365"/>
      <c r="C227" s="365"/>
      <c r="D227" s="365"/>
      <c r="E227" s="365"/>
      <c r="F227" s="365"/>
      <c r="G227" s="365"/>
      <c r="H227" s="365"/>
      <c r="I227" s="365"/>
      <c r="J227" s="365"/>
      <c r="K227" s="365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  <c r="Y227" s="365"/>
      <c r="Z227" s="365"/>
    </row>
    <row r="228" spans="1:26" ht="14.25" customHeight="1" x14ac:dyDescent="0.25">
      <c r="A228" s="365"/>
      <c r="B228" s="365"/>
      <c r="C228" s="365"/>
      <c r="D228" s="365"/>
      <c r="E228" s="365"/>
      <c r="F228" s="365"/>
      <c r="G228" s="365"/>
      <c r="H228" s="365"/>
      <c r="I228" s="365"/>
      <c r="J228" s="365"/>
      <c r="K228" s="365"/>
      <c r="L228" s="365"/>
      <c r="M228" s="365"/>
      <c r="N228" s="365"/>
      <c r="O228" s="365"/>
      <c r="P228" s="365"/>
      <c r="Q228" s="365"/>
      <c r="R228" s="365"/>
      <c r="S228" s="365"/>
      <c r="T228" s="365"/>
      <c r="U228" s="365"/>
      <c r="V228" s="365"/>
      <c r="W228" s="365"/>
      <c r="X228" s="365"/>
      <c r="Y228" s="365"/>
      <c r="Z228" s="365"/>
    </row>
    <row r="229" spans="1:26" ht="14.25" customHeight="1" x14ac:dyDescent="0.25">
      <c r="A229" s="365"/>
      <c r="B229" s="365"/>
      <c r="C229" s="365"/>
      <c r="D229" s="365"/>
      <c r="E229" s="365"/>
      <c r="F229" s="365"/>
      <c r="G229" s="365"/>
      <c r="H229" s="365"/>
      <c r="I229" s="365"/>
      <c r="J229" s="365"/>
      <c r="K229" s="365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  <c r="Y229" s="365"/>
      <c r="Z229" s="365"/>
    </row>
    <row r="230" spans="1:26" ht="14.25" customHeight="1" x14ac:dyDescent="0.25">
      <c r="A230" s="365"/>
      <c r="B230" s="365"/>
      <c r="C230" s="365"/>
      <c r="D230" s="365"/>
      <c r="E230" s="365"/>
      <c r="F230" s="365"/>
      <c r="G230" s="365"/>
      <c r="H230" s="365"/>
      <c r="I230" s="365"/>
      <c r="J230" s="365"/>
      <c r="K230" s="365"/>
      <c r="L230" s="365"/>
      <c r="M230" s="365"/>
      <c r="N230" s="365"/>
      <c r="O230" s="365"/>
      <c r="P230" s="365"/>
      <c r="Q230" s="365"/>
      <c r="R230" s="365"/>
      <c r="S230" s="365"/>
      <c r="T230" s="365"/>
      <c r="U230" s="365"/>
      <c r="V230" s="365"/>
      <c r="W230" s="365"/>
      <c r="X230" s="365"/>
      <c r="Y230" s="365"/>
      <c r="Z230" s="365"/>
    </row>
    <row r="231" spans="1:26" ht="14.25" customHeight="1" x14ac:dyDescent="0.25">
      <c r="A231" s="365"/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  <c r="T231" s="365"/>
      <c r="U231" s="365"/>
      <c r="V231" s="365"/>
      <c r="W231" s="365"/>
      <c r="X231" s="365"/>
      <c r="Y231" s="365"/>
      <c r="Z231" s="365"/>
    </row>
    <row r="232" spans="1:26" ht="14.25" customHeight="1" x14ac:dyDescent="0.25">
      <c r="A232" s="365"/>
      <c r="B232" s="365"/>
      <c r="C232" s="365"/>
      <c r="D232" s="365"/>
      <c r="E232" s="365"/>
      <c r="F232" s="365"/>
      <c r="G232" s="365"/>
      <c r="H232" s="365"/>
      <c r="I232" s="365"/>
      <c r="J232" s="365"/>
      <c r="K232" s="365"/>
      <c r="L232" s="365"/>
      <c r="M232" s="365"/>
      <c r="N232" s="365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  <c r="Y232" s="365"/>
      <c r="Z232" s="365"/>
    </row>
    <row r="233" spans="1:26" ht="14.25" customHeight="1" x14ac:dyDescent="0.25">
      <c r="A233" s="365"/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</row>
    <row r="234" spans="1:26" ht="14.25" customHeight="1" x14ac:dyDescent="0.25">
      <c r="A234" s="365"/>
      <c r="B234" s="365"/>
      <c r="C234" s="365"/>
      <c r="D234" s="365"/>
      <c r="E234" s="365"/>
      <c r="F234" s="365"/>
      <c r="G234" s="365"/>
      <c r="H234" s="365"/>
      <c r="I234" s="365"/>
      <c r="J234" s="365"/>
      <c r="K234" s="365"/>
      <c r="L234" s="365"/>
      <c r="M234" s="365"/>
      <c r="N234" s="365"/>
      <c r="O234" s="365"/>
      <c r="P234" s="365"/>
      <c r="Q234" s="365"/>
      <c r="R234" s="365"/>
      <c r="S234" s="365"/>
      <c r="T234" s="365"/>
      <c r="U234" s="365"/>
      <c r="V234" s="365"/>
      <c r="W234" s="365"/>
      <c r="X234" s="365"/>
      <c r="Y234" s="365"/>
      <c r="Z234" s="365"/>
    </row>
    <row r="235" spans="1:26" ht="14.25" customHeight="1" x14ac:dyDescent="0.25">
      <c r="A235" s="365"/>
      <c r="B235" s="365"/>
      <c r="C235" s="365"/>
      <c r="D235" s="365"/>
      <c r="E235" s="365"/>
      <c r="F235" s="365"/>
      <c r="G235" s="365"/>
      <c r="H235" s="365"/>
      <c r="I235" s="365"/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  <c r="Y235" s="365"/>
      <c r="Z235" s="365"/>
    </row>
    <row r="236" spans="1:26" ht="14.25" customHeight="1" x14ac:dyDescent="0.25">
      <c r="A236" s="365"/>
      <c r="B236" s="365"/>
      <c r="C236" s="365"/>
      <c r="D236" s="365"/>
      <c r="E236" s="365"/>
      <c r="F236" s="365"/>
      <c r="G236" s="365"/>
      <c r="H236" s="365"/>
      <c r="I236" s="365"/>
      <c r="J236" s="365"/>
      <c r="K236" s="365"/>
      <c r="L236" s="365"/>
      <c r="M236" s="365"/>
      <c r="N236" s="365"/>
      <c r="O236" s="365"/>
      <c r="P236" s="365"/>
      <c r="Q236" s="365"/>
      <c r="R236" s="365"/>
      <c r="S236" s="365"/>
      <c r="T236" s="365"/>
      <c r="U236" s="365"/>
      <c r="V236" s="365"/>
      <c r="W236" s="365"/>
      <c r="X236" s="365"/>
      <c r="Y236" s="365"/>
      <c r="Z236" s="365"/>
    </row>
    <row r="237" spans="1:26" ht="14.25" customHeight="1" x14ac:dyDescent="0.25">
      <c r="A237" s="365"/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5"/>
      <c r="Q237" s="365"/>
      <c r="R237" s="365"/>
      <c r="S237" s="365"/>
      <c r="T237" s="365"/>
      <c r="U237" s="365"/>
      <c r="V237" s="365"/>
      <c r="W237" s="365"/>
      <c r="X237" s="365"/>
      <c r="Y237" s="365"/>
      <c r="Z237" s="365"/>
    </row>
    <row r="238" spans="1:26" ht="14.25" customHeight="1" x14ac:dyDescent="0.25">
      <c r="A238" s="365"/>
      <c r="B238" s="365"/>
      <c r="C238" s="365"/>
      <c r="D238" s="365"/>
      <c r="E238" s="365"/>
      <c r="F238" s="365"/>
      <c r="G238" s="365"/>
      <c r="H238" s="365"/>
      <c r="I238" s="365"/>
      <c r="J238" s="365"/>
      <c r="K238" s="365"/>
      <c r="L238" s="365"/>
      <c r="M238" s="365"/>
      <c r="N238" s="365"/>
      <c r="O238" s="365"/>
      <c r="P238" s="365"/>
      <c r="Q238" s="365"/>
      <c r="R238" s="365"/>
      <c r="S238" s="365"/>
      <c r="T238" s="365"/>
      <c r="U238" s="365"/>
      <c r="V238" s="365"/>
      <c r="W238" s="365"/>
      <c r="X238" s="365"/>
      <c r="Y238" s="365"/>
      <c r="Z238" s="365"/>
    </row>
    <row r="239" spans="1:26" ht="14.25" customHeight="1" x14ac:dyDescent="0.25">
      <c r="A239" s="365"/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</row>
    <row r="240" spans="1:26" ht="14.25" customHeight="1" x14ac:dyDescent="0.25">
      <c r="A240" s="365"/>
      <c r="B240" s="365"/>
      <c r="C240" s="365"/>
      <c r="D240" s="365"/>
      <c r="E240" s="365"/>
      <c r="F240" s="365"/>
      <c r="G240" s="365"/>
      <c r="H240" s="365"/>
      <c r="I240" s="365"/>
      <c r="J240" s="365"/>
      <c r="K240" s="365"/>
      <c r="L240" s="365"/>
      <c r="M240" s="365"/>
      <c r="N240" s="365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  <c r="Y240" s="365"/>
      <c r="Z240" s="365"/>
    </row>
    <row r="241" spans="1:26" ht="14.25" customHeight="1" x14ac:dyDescent="0.25">
      <c r="A241" s="365"/>
      <c r="B241" s="365"/>
      <c r="C241" s="365"/>
      <c r="D241" s="365"/>
      <c r="E241" s="365"/>
      <c r="F241" s="365"/>
      <c r="G241" s="365"/>
      <c r="H241" s="365"/>
      <c r="I241" s="365"/>
      <c r="J241" s="365"/>
      <c r="K241" s="365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</row>
    <row r="242" spans="1:26" ht="14.25" customHeight="1" x14ac:dyDescent="0.25">
      <c r="A242" s="365"/>
      <c r="B242" s="365"/>
      <c r="C242" s="365"/>
      <c r="D242" s="365"/>
      <c r="E242" s="365"/>
      <c r="F242" s="365"/>
      <c r="G242" s="365"/>
      <c r="H242" s="365"/>
      <c r="I242" s="365"/>
      <c r="J242" s="365"/>
      <c r="K242" s="365"/>
      <c r="L242" s="365"/>
      <c r="M242" s="365"/>
      <c r="N242" s="365"/>
      <c r="O242" s="365"/>
      <c r="P242" s="365"/>
      <c r="Q242" s="365"/>
      <c r="R242" s="365"/>
      <c r="S242" s="365"/>
      <c r="T242" s="365"/>
      <c r="U242" s="365"/>
      <c r="V242" s="365"/>
      <c r="W242" s="365"/>
      <c r="X242" s="365"/>
      <c r="Y242" s="365"/>
      <c r="Z242" s="365"/>
    </row>
    <row r="243" spans="1:26" ht="14.25" customHeight="1" x14ac:dyDescent="0.25">
      <c r="A243" s="365"/>
      <c r="B243" s="365"/>
      <c r="C243" s="365"/>
      <c r="D243" s="365"/>
      <c r="E243" s="365"/>
      <c r="F243" s="365"/>
      <c r="G243" s="365"/>
      <c r="H243" s="365"/>
      <c r="I243" s="365"/>
      <c r="J243" s="365"/>
      <c r="K243" s="365"/>
      <c r="L243" s="365"/>
      <c r="M243" s="365"/>
      <c r="N243" s="365"/>
      <c r="O243" s="365"/>
      <c r="P243" s="365"/>
      <c r="Q243" s="365"/>
      <c r="R243" s="365"/>
      <c r="S243" s="365"/>
      <c r="T243" s="365"/>
      <c r="U243" s="365"/>
      <c r="V243" s="365"/>
      <c r="W243" s="365"/>
      <c r="X243" s="365"/>
      <c r="Y243" s="365"/>
      <c r="Z243" s="365"/>
    </row>
    <row r="244" spans="1:26" ht="14.25" customHeight="1" x14ac:dyDescent="0.25">
      <c r="A244" s="365"/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5"/>
      <c r="Q244" s="365"/>
      <c r="R244" s="365"/>
      <c r="S244" s="365"/>
      <c r="T244" s="365"/>
      <c r="U244" s="365"/>
      <c r="V244" s="365"/>
      <c r="W244" s="365"/>
      <c r="X244" s="365"/>
      <c r="Y244" s="365"/>
      <c r="Z244" s="365"/>
    </row>
    <row r="245" spans="1:26" ht="14.25" customHeight="1" x14ac:dyDescent="0.25">
      <c r="A245" s="365"/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</row>
    <row r="246" spans="1:26" ht="14.25" customHeight="1" x14ac:dyDescent="0.25">
      <c r="A246" s="365"/>
      <c r="B246" s="365"/>
      <c r="C246" s="365"/>
      <c r="D246" s="365"/>
      <c r="E246" s="365"/>
      <c r="F246" s="365"/>
      <c r="G246" s="365"/>
      <c r="H246" s="365"/>
      <c r="I246" s="365"/>
      <c r="J246" s="365"/>
      <c r="K246" s="365"/>
      <c r="L246" s="365"/>
      <c r="M246" s="365"/>
      <c r="N246" s="365"/>
      <c r="O246" s="365"/>
      <c r="P246" s="365"/>
      <c r="Q246" s="365"/>
      <c r="R246" s="365"/>
      <c r="S246" s="365"/>
      <c r="T246" s="365"/>
      <c r="U246" s="365"/>
      <c r="V246" s="365"/>
      <c r="W246" s="365"/>
      <c r="X246" s="365"/>
      <c r="Y246" s="365"/>
      <c r="Z246" s="365"/>
    </row>
    <row r="247" spans="1:26" ht="14.25" customHeight="1" x14ac:dyDescent="0.25">
      <c r="A247" s="365"/>
      <c r="B247" s="365"/>
      <c r="C247" s="365"/>
      <c r="D247" s="365"/>
      <c r="E247" s="365"/>
      <c r="F247" s="365"/>
      <c r="G247" s="365"/>
      <c r="H247" s="365"/>
      <c r="I247" s="365"/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</row>
    <row r="248" spans="1:26" ht="14.25" customHeight="1" x14ac:dyDescent="0.25">
      <c r="A248" s="365"/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  <c r="Y248" s="365"/>
      <c r="Z248" s="365"/>
    </row>
    <row r="249" spans="1:26" ht="14.25" customHeight="1" x14ac:dyDescent="0.25">
      <c r="A249" s="365"/>
      <c r="B249" s="365"/>
      <c r="C249" s="365"/>
      <c r="D249" s="365"/>
      <c r="E249" s="365"/>
      <c r="F249" s="365"/>
      <c r="G249" s="365"/>
      <c r="H249" s="365"/>
      <c r="I249" s="365"/>
      <c r="J249" s="365"/>
      <c r="K249" s="365"/>
      <c r="L249" s="365"/>
      <c r="M249" s="365"/>
      <c r="N249" s="365"/>
      <c r="O249" s="365"/>
      <c r="P249" s="365"/>
      <c r="Q249" s="365"/>
      <c r="R249" s="365"/>
      <c r="S249" s="365"/>
      <c r="T249" s="365"/>
      <c r="U249" s="365"/>
      <c r="V249" s="365"/>
      <c r="W249" s="365"/>
      <c r="X249" s="365"/>
      <c r="Y249" s="365"/>
      <c r="Z249" s="365"/>
    </row>
    <row r="250" spans="1:26" ht="14.25" customHeight="1" x14ac:dyDescent="0.25">
      <c r="A250" s="365"/>
      <c r="B250" s="365"/>
      <c r="C250" s="365"/>
      <c r="D250" s="365"/>
      <c r="E250" s="365"/>
      <c r="F250" s="365"/>
      <c r="G250" s="365"/>
      <c r="H250" s="365"/>
      <c r="I250" s="365"/>
      <c r="J250" s="365"/>
      <c r="K250" s="365"/>
      <c r="L250" s="365"/>
      <c r="M250" s="365"/>
      <c r="N250" s="365"/>
      <c r="O250" s="365"/>
      <c r="P250" s="365"/>
      <c r="Q250" s="365"/>
      <c r="R250" s="365"/>
      <c r="S250" s="365"/>
      <c r="T250" s="365"/>
      <c r="U250" s="365"/>
      <c r="V250" s="365"/>
      <c r="W250" s="365"/>
      <c r="X250" s="365"/>
      <c r="Y250" s="365"/>
      <c r="Z250" s="365"/>
    </row>
    <row r="251" spans="1:26" ht="14.25" customHeight="1" x14ac:dyDescent="0.25">
      <c r="A251" s="365"/>
      <c r="B251" s="365"/>
      <c r="C251" s="365"/>
      <c r="D251" s="365"/>
      <c r="E251" s="365"/>
      <c r="F251" s="365"/>
      <c r="G251" s="365"/>
      <c r="H251" s="365"/>
      <c r="I251" s="365"/>
      <c r="J251" s="365"/>
      <c r="K251" s="365"/>
      <c r="L251" s="365"/>
      <c r="M251" s="365"/>
      <c r="N251" s="365"/>
      <c r="O251" s="365"/>
      <c r="P251" s="365"/>
      <c r="Q251" s="365"/>
      <c r="R251" s="365"/>
      <c r="S251" s="365"/>
      <c r="T251" s="365"/>
      <c r="U251" s="365"/>
      <c r="V251" s="365"/>
      <c r="W251" s="365"/>
      <c r="X251" s="365"/>
      <c r="Y251" s="365"/>
      <c r="Z251" s="365"/>
    </row>
    <row r="252" spans="1:26" ht="14.25" customHeight="1" x14ac:dyDescent="0.25">
      <c r="A252" s="365"/>
      <c r="B252" s="365"/>
      <c r="C252" s="365"/>
      <c r="D252" s="365"/>
      <c r="E252" s="365"/>
      <c r="F252" s="365"/>
      <c r="G252" s="365"/>
      <c r="H252" s="365"/>
      <c r="I252" s="365"/>
      <c r="J252" s="365"/>
      <c r="K252" s="365"/>
      <c r="L252" s="365"/>
      <c r="M252" s="365"/>
      <c r="N252" s="365"/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  <c r="Y252" s="365"/>
      <c r="Z252" s="365"/>
    </row>
    <row r="253" spans="1:26" ht="14.25" customHeight="1" x14ac:dyDescent="0.25">
      <c r="A253" s="365"/>
      <c r="B253" s="365"/>
      <c r="C253" s="365"/>
      <c r="D253" s="365"/>
      <c r="E253" s="365"/>
      <c r="F253" s="365"/>
      <c r="G253" s="365"/>
      <c r="H253" s="365"/>
      <c r="I253" s="365"/>
      <c r="J253" s="365"/>
      <c r="K253" s="365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</row>
    <row r="254" spans="1:26" ht="14.25" customHeight="1" x14ac:dyDescent="0.25">
      <c r="A254" s="365"/>
      <c r="B254" s="365"/>
      <c r="C254" s="365"/>
      <c r="D254" s="365"/>
      <c r="E254" s="365"/>
      <c r="F254" s="365"/>
      <c r="G254" s="365"/>
      <c r="H254" s="365"/>
      <c r="I254" s="365"/>
      <c r="J254" s="365"/>
      <c r="K254" s="365"/>
      <c r="L254" s="365"/>
      <c r="M254" s="365"/>
      <c r="N254" s="365"/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  <c r="Y254" s="365"/>
      <c r="Z254" s="365"/>
    </row>
    <row r="255" spans="1:26" ht="14.25" customHeight="1" x14ac:dyDescent="0.25">
      <c r="A255" s="365"/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</row>
    <row r="256" spans="1:26" ht="14.25" customHeight="1" x14ac:dyDescent="0.25">
      <c r="A256" s="365"/>
      <c r="B256" s="365"/>
      <c r="C256" s="365"/>
      <c r="D256" s="365"/>
      <c r="E256" s="365"/>
      <c r="F256" s="365"/>
      <c r="G256" s="365"/>
      <c r="H256" s="365"/>
      <c r="I256" s="365"/>
      <c r="J256" s="365"/>
      <c r="K256" s="365"/>
      <c r="L256" s="365"/>
      <c r="M256" s="365"/>
      <c r="N256" s="365"/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  <c r="Y256" s="365"/>
      <c r="Z256" s="365"/>
    </row>
    <row r="257" spans="1:26" ht="14.25" customHeight="1" x14ac:dyDescent="0.25">
      <c r="A257" s="365"/>
      <c r="B257" s="365"/>
      <c r="C257" s="365"/>
      <c r="D257" s="365"/>
      <c r="E257" s="365"/>
      <c r="F257" s="365"/>
      <c r="G257" s="365"/>
      <c r="H257" s="365"/>
      <c r="I257" s="365"/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</row>
    <row r="258" spans="1:26" ht="14.25" customHeight="1" x14ac:dyDescent="0.25">
      <c r="A258" s="365"/>
      <c r="B258" s="365"/>
      <c r="C258" s="365"/>
      <c r="D258" s="365"/>
      <c r="E258" s="365"/>
      <c r="F258" s="365"/>
      <c r="G258" s="365"/>
      <c r="H258" s="365"/>
      <c r="I258" s="365"/>
      <c r="J258" s="365"/>
      <c r="K258" s="365"/>
      <c r="L258" s="365"/>
      <c r="M258" s="365"/>
      <c r="N258" s="365"/>
      <c r="O258" s="365"/>
      <c r="P258" s="365"/>
      <c r="Q258" s="365"/>
      <c r="R258" s="365"/>
      <c r="S258" s="365"/>
      <c r="T258" s="365"/>
      <c r="U258" s="365"/>
      <c r="V258" s="365"/>
      <c r="W258" s="365"/>
      <c r="X258" s="365"/>
      <c r="Y258" s="365"/>
      <c r="Z258" s="365"/>
    </row>
    <row r="259" spans="1:26" ht="14.25" customHeight="1" x14ac:dyDescent="0.25">
      <c r="A259" s="365"/>
      <c r="B259" s="365"/>
      <c r="C259" s="365"/>
      <c r="D259" s="365"/>
      <c r="E259" s="365"/>
      <c r="F259" s="365"/>
      <c r="G259" s="365"/>
      <c r="H259" s="365"/>
      <c r="I259" s="365"/>
      <c r="J259" s="365"/>
      <c r="K259" s="365"/>
      <c r="L259" s="365"/>
      <c r="M259" s="365"/>
      <c r="N259" s="365"/>
      <c r="O259" s="365"/>
      <c r="P259" s="365"/>
      <c r="Q259" s="365"/>
      <c r="R259" s="365"/>
      <c r="S259" s="365"/>
      <c r="T259" s="365"/>
      <c r="U259" s="365"/>
      <c r="V259" s="365"/>
      <c r="W259" s="365"/>
      <c r="X259" s="365"/>
      <c r="Y259" s="365"/>
      <c r="Z259" s="365"/>
    </row>
    <row r="260" spans="1:26" ht="14.25" customHeight="1" x14ac:dyDescent="0.25">
      <c r="A260" s="365"/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5"/>
      <c r="Q260" s="365"/>
      <c r="R260" s="365"/>
      <c r="S260" s="365"/>
      <c r="T260" s="365"/>
      <c r="U260" s="365"/>
      <c r="V260" s="365"/>
      <c r="W260" s="365"/>
      <c r="X260" s="365"/>
      <c r="Y260" s="365"/>
      <c r="Z260" s="365"/>
    </row>
    <row r="261" spans="1:26" ht="14.25" customHeight="1" x14ac:dyDescent="0.25">
      <c r="A261" s="365"/>
      <c r="B261" s="365"/>
      <c r="C261" s="365"/>
      <c r="D261" s="365"/>
      <c r="E261" s="365"/>
      <c r="F261" s="365"/>
      <c r="G261" s="365"/>
      <c r="H261" s="365"/>
      <c r="I261" s="365"/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</row>
    <row r="262" spans="1:26" ht="14.25" customHeight="1" x14ac:dyDescent="0.25">
      <c r="A262" s="365"/>
      <c r="B262" s="365"/>
      <c r="C262" s="365"/>
      <c r="D262" s="365"/>
      <c r="E262" s="365"/>
      <c r="F262" s="365"/>
      <c r="G262" s="365"/>
      <c r="H262" s="365"/>
      <c r="I262" s="365"/>
      <c r="J262" s="365"/>
      <c r="K262" s="365"/>
      <c r="L262" s="365"/>
      <c r="M262" s="365"/>
      <c r="N262" s="365"/>
      <c r="O262" s="365"/>
      <c r="P262" s="365"/>
      <c r="Q262" s="365"/>
      <c r="R262" s="365"/>
      <c r="S262" s="365"/>
      <c r="T262" s="365"/>
      <c r="U262" s="365"/>
      <c r="V262" s="365"/>
      <c r="W262" s="365"/>
      <c r="X262" s="365"/>
      <c r="Y262" s="365"/>
      <c r="Z262" s="365"/>
    </row>
    <row r="263" spans="1:26" ht="14.25" customHeight="1" x14ac:dyDescent="0.25">
      <c r="A263" s="365"/>
      <c r="B263" s="365"/>
      <c r="C263" s="365"/>
      <c r="D263" s="365"/>
      <c r="E263" s="365"/>
      <c r="F263" s="365"/>
      <c r="G263" s="365"/>
      <c r="H263" s="365"/>
      <c r="I263" s="365"/>
      <c r="J263" s="365"/>
      <c r="K263" s="365"/>
      <c r="L263" s="365"/>
      <c r="M263" s="365"/>
      <c r="N263" s="365"/>
      <c r="O263" s="365"/>
      <c r="P263" s="365"/>
      <c r="Q263" s="365"/>
      <c r="R263" s="365"/>
      <c r="S263" s="365"/>
      <c r="T263" s="365"/>
      <c r="U263" s="365"/>
      <c r="V263" s="365"/>
      <c r="W263" s="365"/>
      <c r="X263" s="365"/>
      <c r="Y263" s="365"/>
      <c r="Z263" s="365"/>
    </row>
    <row r="264" spans="1:26" ht="14.25" customHeight="1" x14ac:dyDescent="0.25">
      <c r="A264" s="365"/>
      <c r="B264" s="365"/>
      <c r="C264" s="365"/>
      <c r="D264" s="365"/>
      <c r="E264" s="365"/>
      <c r="F264" s="365"/>
      <c r="G264" s="365"/>
      <c r="H264" s="365"/>
      <c r="I264" s="365"/>
      <c r="J264" s="365"/>
      <c r="K264" s="365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  <c r="Y264" s="365"/>
      <c r="Z264" s="365"/>
    </row>
    <row r="265" spans="1:26" ht="14.25" customHeight="1" x14ac:dyDescent="0.25">
      <c r="A265" s="365"/>
      <c r="B265" s="365"/>
      <c r="C265" s="365"/>
      <c r="D265" s="365"/>
      <c r="E265" s="365"/>
      <c r="F265" s="365"/>
      <c r="G265" s="365"/>
      <c r="H265" s="365"/>
      <c r="I265" s="365"/>
      <c r="J265" s="365"/>
      <c r="K265" s="365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  <c r="Y265" s="365"/>
      <c r="Z265" s="365"/>
    </row>
    <row r="266" spans="1:26" ht="14.25" customHeight="1" x14ac:dyDescent="0.25">
      <c r="A266" s="365"/>
      <c r="B266" s="365"/>
      <c r="C266" s="365"/>
      <c r="D266" s="365"/>
      <c r="E266" s="365"/>
      <c r="F266" s="365"/>
      <c r="G266" s="365"/>
      <c r="H266" s="365"/>
      <c r="I266" s="365"/>
      <c r="J266" s="365"/>
      <c r="K266" s="365"/>
      <c r="L266" s="365"/>
      <c r="M266" s="365"/>
      <c r="N266" s="365"/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  <c r="Y266" s="365"/>
      <c r="Z266" s="365"/>
    </row>
    <row r="267" spans="1:26" ht="14.25" customHeight="1" x14ac:dyDescent="0.25">
      <c r="A267" s="365"/>
      <c r="B267" s="365"/>
      <c r="C267" s="365"/>
      <c r="D267" s="365"/>
      <c r="E267" s="365"/>
      <c r="F267" s="365"/>
      <c r="G267" s="365"/>
      <c r="H267" s="365"/>
      <c r="I267" s="365"/>
      <c r="J267" s="365"/>
      <c r="K267" s="365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</row>
    <row r="268" spans="1:26" ht="14.25" customHeight="1" x14ac:dyDescent="0.25">
      <c r="A268" s="365"/>
      <c r="B268" s="365"/>
      <c r="C268" s="365"/>
      <c r="D268" s="365"/>
      <c r="E268" s="365"/>
      <c r="F268" s="365"/>
      <c r="G268" s="365"/>
      <c r="H268" s="365"/>
      <c r="I268" s="365"/>
      <c r="J268" s="365"/>
      <c r="K268" s="365"/>
      <c r="L268" s="365"/>
      <c r="M268" s="365"/>
      <c r="N268" s="365"/>
      <c r="O268" s="365"/>
      <c r="P268" s="365"/>
      <c r="Q268" s="365"/>
      <c r="R268" s="365"/>
      <c r="S268" s="365"/>
      <c r="T268" s="365"/>
      <c r="U268" s="365"/>
      <c r="V268" s="365"/>
      <c r="W268" s="365"/>
      <c r="X268" s="365"/>
      <c r="Y268" s="365"/>
      <c r="Z268" s="365"/>
    </row>
    <row r="269" spans="1:26" ht="14.25" customHeight="1" x14ac:dyDescent="0.25">
      <c r="A269" s="365"/>
      <c r="B269" s="365"/>
      <c r="C269" s="365"/>
      <c r="D269" s="365"/>
      <c r="E269" s="365"/>
      <c r="F269" s="365"/>
      <c r="G269" s="365"/>
      <c r="H269" s="365"/>
      <c r="I269" s="365"/>
      <c r="J269" s="365"/>
      <c r="K269" s="365"/>
      <c r="L269" s="365"/>
      <c r="M269" s="365"/>
      <c r="N269" s="365"/>
      <c r="O269" s="365"/>
      <c r="P269" s="365"/>
      <c r="Q269" s="365"/>
      <c r="R269" s="365"/>
      <c r="S269" s="365"/>
      <c r="T269" s="365"/>
      <c r="U269" s="365"/>
      <c r="V269" s="365"/>
      <c r="W269" s="365"/>
      <c r="X269" s="365"/>
      <c r="Y269" s="365"/>
      <c r="Z269" s="365"/>
    </row>
    <row r="270" spans="1:26" ht="14.25" customHeight="1" x14ac:dyDescent="0.25">
      <c r="A270" s="365"/>
      <c r="B270" s="365"/>
      <c r="C270" s="365"/>
      <c r="D270" s="365"/>
      <c r="E270" s="365"/>
      <c r="F270" s="365"/>
      <c r="G270" s="365"/>
      <c r="H270" s="365"/>
      <c r="I270" s="365"/>
      <c r="J270" s="365"/>
      <c r="K270" s="365"/>
      <c r="L270" s="365"/>
      <c r="M270" s="365"/>
      <c r="N270" s="365"/>
      <c r="O270" s="365"/>
      <c r="P270" s="365"/>
      <c r="Q270" s="365"/>
      <c r="R270" s="365"/>
      <c r="S270" s="365"/>
      <c r="T270" s="365"/>
      <c r="U270" s="365"/>
      <c r="V270" s="365"/>
      <c r="W270" s="365"/>
      <c r="X270" s="365"/>
      <c r="Y270" s="365"/>
      <c r="Z270" s="365"/>
    </row>
    <row r="271" spans="1:26" ht="14.25" customHeight="1" x14ac:dyDescent="0.25">
      <c r="A271" s="365"/>
      <c r="B271" s="365"/>
      <c r="C271" s="365"/>
      <c r="D271" s="365"/>
      <c r="E271" s="365"/>
      <c r="F271" s="365"/>
      <c r="G271" s="365"/>
      <c r="H271" s="365"/>
      <c r="I271" s="365"/>
      <c r="J271" s="365"/>
      <c r="K271" s="365"/>
      <c r="L271" s="365"/>
      <c r="M271" s="365"/>
      <c r="N271" s="365"/>
      <c r="O271" s="365"/>
      <c r="P271" s="365"/>
      <c r="Q271" s="365"/>
      <c r="R271" s="365"/>
      <c r="S271" s="365"/>
      <c r="T271" s="365"/>
      <c r="U271" s="365"/>
      <c r="V271" s="365"/>
      <c r="W271" s="365"/>
      <c r="X271" s="365"/>
      <c r="Y271" s="365"/>
      <c r="Z271" s="365"/>
    </row>
    <row r="272" spans="1:26" ht="14.25" customHeight="1" x14ac:dyDescent="0.25">
      <c r="A272" s="365"/>
      <c r="B272" s="365"/>
      <c r="C272" s="365"/>
      <c r="D272" s="365"/>
      <c r="E272" s="365"/>
      <c r="F272" s="365"/>
      <c r="G272" s="365"/>
      <c r="H272" s="365"/>
      <c r="I272" s="365"/>
      <c r="J272" s="365"/>
      <c r="K272" s="365"/>
      <c r="L272" s="365"/>
      <c r="M272" s="365"/>
      <c r="N272" s="365"/>
      <c r="O272" s="365"/>
      <c r="P272" s="365"/>
      <c r="Q272" s="365"/>
      <c r="R272" s="365"/>
      <c r="S272" s="365"/>
      <c r="T272" s="365"/>
      <c r="U272" s="365"/>
      <c r="V272" s="365"/>
      <c r="W272" s="365"/>
      <c r="X272" s="365"/>
      <c r="Y272" s="365"/>
      <c r="Z272" s="365"/>
    </row>
    <row r="273" spans="1:26" ht="14.25" customHeight="1" x14ac:dyDescent="0.25">
      <c r="A273" s="365"/>
      <c r="B273" s="365"/>
      <c r="C273" s="365"/>
      <c r="D273" s="365"/>
      <c r="E273" s="365"/>
      <c r="F273" s="365"/>
      <c r="G273" s="365"/>
      <c r="H273" s="365"/>
      <c r="I273" s="365"/>
      <c r="J273" s="365"/>
      <c r="K273" s="365"/>
      <c r="L273" s="365"/>
      <c r="M273" s="365"/>
      <c r="N273" s="365"/>
      <c r="O273" s="365"/>
      <c r="P273" s="365"/>
      <c r="Q273" s="365"/>
      <c r="R273" s="365"/>
      <c r="S273" s="365"/>
      <c r="T273" s="365"/>
      <c r="U273" s="365"/>
      <c r="V273" s="365"/>
      <c r="W273" s="365"/>
      <c r="X273" s="365"/>
      <c r="Y273" s="365"/>
      <c r="Z273" s="365"/>
    </row>
    <row r="274" spans="1:26" ht="14.25" customHeight="1" x14ac:dyDescent="0.25">
      <c r="A274" s="365"/>
      <c r="B274" s="365"/>
      <c r="C274" s="365"/>
      <c r="D274" s="365"/>
      <c r="E274" s="365"/>
      <c r="F274" s="365"/>
      <c r="G274" s="365"/>
      <c r="H274" s="365"/>
      <c r="I274" s="365"/>
      <c r="J274" s="365"/>
      <c r="K274" s="365"/>
      <c r="L274" s="365"/>
      <c r="M274" s="365"/>
      <c r="N274" s="365"/>
      <c r="O274" s="365"/>
      <c r="P274" s="365"/>
      <c r="Q274" s="365"/>
      <c r="R274" s="365"/>
      <c r="S274" s="365"/>
      <c r="T274" s="365"/>
      <c r="U274" s="365"/>
      <c r="V274" s="365"/>
      <c r="W274" s="365"/>
      <c r="X274" s="365"/>
      <c r="Y274" s="365"/>
      <c r="Z274" s="365"/>
    </row>
    <row r="275" spans="1:26" ht="14.25" customHeight="1" x14ac:dyDescent="0.25">
      <c r="A275" s="365"/>
      <c r="B275" s="365"/>
      <c r="C275" s="365"/>
      <c r="D275" s="365"/>
      <c r="E275" s="365"/>
      <c r="F275" s="365"/>
      <c r="G275" s="365"/>
      <c r="H275" s="365"/>
      <c r="I275" s="365"/>
      <c r="J275" s="365"/>
      <c r="K275" s="365"/>
      <c r="L275" s="365"/>
      <c r="M275" s="365"/>
      <c r="N275" s="365"/>
      <c r="O275" s="365"/>
      <c r="P275" s="365"/>
      <c r="Q275" s="365"/>
      <c r="R275" s="365"/>
      <c r="S275" s="365"/>
      <c r="T275" s="365"/>
      <c r="U275" s="365"/>
      <c r="V275" s="365"/>
      <c r="W275" s="365"/>
      <c r="X275" s="365"/>
      <c r="Y275" s="365"/>
      <c r="Z275" s="365"/>
    </row>
    <row r="276" spans="1:26" ht="14.25" customHeight="1" x14ac:dyDescent="0.25">
      <c r="A276" s="365"/>
      <c r="B276" s="365"/>
      <c r="C276" s="365"/>
      <c r="D276" s="365"/>
      <c r="E276" s="365"/>
      <c r="F276" s="365"/>
      <c r="G276" s="365"/>
      <c r="H276" s="365"/>
      <c r="I276" s="365"/>
      <c r="J276" s="365"/>
      <c r="K276" s="365"/>
      <c r="L276" s="365"/>
      <c r="M276" s="365"/>
      <c r="N276" s="365"/>
      <c r="O276" s="365"/>
      <c r="P276" s="365"/>
      <c r="Q276" s="365"/>
      <c r="R276" s="365"/>
      <c r="S276" s="365"/>
      <c r="T276" s="365"/>
      <c r="U276" s="365"/>
      <c r="V276" s="365"/>
      <c r="W276" s="365"/>
      <c r="X276" s="365"/>
      <c r="Y276" s="365"/>
      <c r="Z276" s="365"/>
    </row>
    <row r="277" spans="1:26" ht="14.25" customHeight="1" x14ac:dyDescent="0.25">
      <c r="A277" s="365"/>
      <c r="B277" s="365"/>
      <c r="C277" s="365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  <c r="T277" s="365"/>
      <c r="U277" s="365"/>
      <c r="V277" s="365"/>
      <c r="W277" s="365"/>
      <c r="X277" s="365"/>
      <c r="Y277" s="365"/>
      <c r="Z277" s="365"/>
    </row>
    <row r="278" spans="1:26" ht="14.25" customHeight="1" x14ac:dyDescent="0.25">
      <c r="A278" s="365"/>
      <c r="B278" s="365"/>
      <c r="C278" s="365"/>
      <c r="D278" s="365"/>
      <c r="E278" s="365"/>
      <c r="F278" s="365"/>
      <c r="G278" s="365"/>
      <c r="H278" s="365"/>
      <c r="I278" s="365"/>
      <c r="J278" s="365"/>
      <c r="K278" s="365"/>
      <c r="L278" s="365"/>
      <c r="M278" s="365"/>
      <c r="N278" s="365"/>
      <c r="O278" s="365"/>
      <c r="P278" s="365"/>
      <c r="Q278" s="365"/>
      <c r="R278" s="365"/>
      <c r="S278" s="365"/>
      <c r="T278" s="365"/>
      <c r="U278" s="365"/>
      <c r="V278" s="365"/>
      <c r="W278" s="365"/>
      <c r="X278" s="365"/>
      <c r="Y278" s="365"/>
      <c r="Z278" s="365"/>
    </row>
    <row r="279" spans="1:26" ht="14.25" customHeight="1" x14ac:dyDescent="0.25">
      <c r="A279" s="365"/>
      <c r="B279" s="365"/>
      <c r="C279" s="365"/>
      <c r="D279" s="365"/>
      <c r="E279" s="365"/>
      <c r="F279" s="365"/>
      <c r="G279" s="365"/>
      <c r="H279" s="365"/>
      <c r="I279" s="365"/>
      <c r="J279" s="365"/>
      <c r="K279" s="365"/>
      <c r="L279" s="365"/>
      <c r="M279" s="365"/>
      <c r="N279" s="365"/>
      <c r="O279" s="365"/>
      <c r="P279" s="365"/>
      <c r="Q279" s="365"/>
      <c r="R279" s="365"/>
      <c r="S279" s="365"/>
      <c r="T279" s="365"/>
      <c r="U279" s="365"/>
      <c r="V279" s="365"/>
      <c r="W279" s="365"/>
      <c r="X279" s="365"/>
      <c r="Y279" s="365"/>
      <c r="Z279" s="365"/>
    </row>
    <row r="280" spans="1:26" ht="14.25" customHeight="1" x14ac:dyDescent="0.25">
      <c r="A280" s="365"/>
      <c r="B280" s="365"/>
      <c r="C280" s="365"/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365"/>
      <c r="P280" s="365"/>
      <c r="Q280" s="365"/>
      <c r="R280" s="365"/>
      <c r="S280" s="365"/>
      <c r="T280" s="365"/>
      <c r="U280" s="365"/>
      <c r="V280" s="365"/>
      <c r="W280" s="365"/>
      <c r="X280" s="365"/>
      <c r="Y280" s="365"/>
      <c r="Z280" s="365"/>
    </row>
    <row r="281" spans="1:26" ht="14.25" customHeight="1" x14ac:dyDescent="0.25">
      <c r="A281" s="365"/>
      <c r="B281" s="365"/>
      <c r="C281" s="365"/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365"/>
      <c r="P281" s="365"/>
      <c r="Q281" s="365"/>
      <c r="R281" s="365"/>
      <c r="S281" s="365"/>
      <c r="T281" s="365"/>
      <c r="U281" s="365"/>
      <c r="V281" s="365"/>
      <c r="W281" s="365"/>
      <c r="X281" s="365"/>
      <c r="Y281" s="365"/>
      <c r="Z281" s="365"/>
    </row>
    <row r="282" spans="1:26" ht="14.25" customHeight="1" x14ac:dyDescent="0.25">
      <c r="A282" s="365"/>
      <c r="B282" s="365"/>
      <c r="C282" s="365"/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365"/>
      <c r="P282" s="365"/>
      <c r="Q282" s="365"/>
      <c r="R282" s="365"/>
      <c r="S282" s="365"/>
      <c r="T282" s="365"/>
      <c r="U282" s="365"/>
      <c r="V282" s="365"/>
      <c r="W282" s="365"/>
      <c r="X282" s="365"/>
      <c r="Y282" s="365"/>
      <c r="Z282" s="365"/>
    </row>
    <row r="283" spans="1:26" ht="14.25" customHeight="1" x14ac:dyDescent="0.25">
      <c r="A283" s="365"/>
      <c r="B283" s="365"/>
      <c r="C283" s="365"/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365"/>
      <c r="P283" s="365"/>
      <c r="Q283" s="365"/>
      <c r="R283" s="365"/>
      <c r="S283" s="365"/>
      <c r="T283" s="365"/>
      <c r="U283" s="365"/>
      <c r="V283" s="365"/>
      <c r="W283" s="365"/>
      <c r="X283" s="365"/>
      <c r="Y283" s="365"/>
      <c r="Z283" s="365"/>
    </row>
    <row r="284" spans="1:26" ht="14.25" customHeight="1" x14ac:dyDescent="0.25">
      <c r="A284" s="365"/>
      <c r="B284" s="365"/>
      <c r="C284" s="365"/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365"/>
      <c r="P284" s="365"/>
      <c r="Q284" s="365"/>
      <c r="R284" s="365"/>
      <c r="S284" s="365"/>
      <c r="T284" s="365"/>
      <c r="U284" s="365"/>
      <c r="V284" s="365"/>
      <c r="W284" s="365"/>
      <c r="X284" s="365"/>
      <c r="Y284" s="365"/>
      <c r="Z284" s="365"/>
    </row>
    <row r="285" spans="1:26" ht="14.25" customHeight="1" x14ac:dyDescent="0.25">
      <c r="A285" s="365"/>
      <c r="B285" s="365"/>
      <c r="C285" s="365"/>
      <c r="D285" s="365"/>
      <c r="E285" s="365"/>
      <c r="F285" s="365"/>
      <c r="G285" s="365"/>
      <c r="H285" s="365"/>
      <c r="I285" s="365"/>
      <c r="J285" s="365"/>
      <c r="K285" s="365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  <c r="Y285" s="365"/>
      <c r="Z285" s="365"/>
    </row>
    <row r="286" spans="1:26" ht="14.25" customHeight="1" x14ac:dyDescent="0.25">
      <c r="A286" s="365"/>
      <c r="B286" s="365"/>
      <c r="C286" s="365"/>
      <c r="D286" s="365"/>
      <c r="E286" s="365"/>
      <c r="F286" s="365"/>
      <c r="G286" s="365"/>
      <c r="H286" s="365"/>
      <c r="I286" s="365"/>
      <c r="J286" s="365"/>
      <c r="K286" s="365"/>
      <c r="L286" s="365"/>
      <c r="M286" s="365"/>
      <c r="N286" s="365"/>
      <c r="O286" s="365"/>
      <c r="P286" s="365"/>
      <c r="Q286" s="365"/>
      <c r="R286" s="365"/>
      <c r="S286" s="365"/>
      <c r="T286" s="365"/>
      <c r="U286" s="365"/>
      <c r="V286" s="365"/>
      <c r="W286" s="365"/>
      <c r="X286" s="365"/>
      <c r="Y286" s="365"/>
      <c r="Z286" s="365"/>
    </row>
    <row r="287" spans="1:26" ht="14.25" customHeight="1" x14ac:dyDescent="0.25">
      <c r="A287" s="365"/>
      <c r="B287" s="365"/>
      <c r="C287" s="365"/>
      <c r="D287" s="365"/>
      <c r="E287" s="365"/>
      <c r="F287" s="365"/>
      <c r="G287" s="365"/>
      <c r="H287" s="365"/>
      <c r="I287" s="365"/>
      <c r="J287" s="365"/>
      <c r="K287" s="365"/>
      <c r="L287" s="365"/>
      <c r="M287" s="365"/>
      <c r="N287" s="365"/>
      <c r="O287" s="365"/>
      <c r="P287" s="365"/>
      <c r="Q287" s="365"/>
      <c r="R287" s="365"/>
      <c r="S287" s="365"/>
      <c r="T287" s="365"/>
      <c r="U287" s="365"/>
      <c r="V287" s="365"/>
      <c r="W287" s="365"/>
      <c r="X287" s="365"/>
      <c r="Y287" s="365"/>
      <c r="Z287" s="365"/>
    </row>
    <row r="288" spans="1:26" ht="14.25" customHeight="1" x14ac:dyDescent="0.25">
      <c r="A288" s="365"/>
      <c r="B288" s="365"/>
      <c r="C288" s="365"/>
      <c r="D288" s="365"/>
      <c r="E288" s="365"/>
      <c r="F288" s="365"/>
      <c r="G288" s="365"/>
      <c r="H288" s="365"/>
      <c r="I288" s="365"/>
      <c r="J288" s="365"/>
      <c r="K288" s="365"/>
      <c r="L288" s="365"/>
      <c r="M288" s="365"/>
      <c r="N288" s="365"/>
      <c r="O288" s="365"/>
      <c r="P288" s="365"/>
      <c r="Q288" s="365"/>
      <c r="R288" s="365"/>
      <c r="S288" s="365"/>
      <c r="T288" s="365"/>
      <c r="U288" s="365"/>
      <c r="V288" s="365"/>
      <c r="W288" s="365"/>
      <c r="X288" s="365"/>
      <c r="Y288" s="365"/>
      <c r="Z288" s="365"/>
    </row>
    <row r="289" spans="1:26" ht="14.25" customHeight="1" x14ac:dyDescent="0.25">
      <c r="A289" s="365"/>
      <c r="B289" s="365"/>
      <c r="C289" s="365"/>
      <c r="D289" s="365"/>
      <c r="E289" s="365"/>
      <c r="F289" s="365"/>
      <c r="G289" s="365"/>
      <c r="H289" s="365"/>
      <c r="I289" s="365"/>
      <c r="J289" s="365"/>
      <c r="K289" s="365"/>
      <c r="L289" s="365"/>
      <c r="M289" s="365"/>
      <c r="N289" s="365"/>
      <c r="O289" s="365"/>
      <c r="P289" s="365"/>
      <c r="Q289" s="365"/>
      <c r="R289" s="365"/>
      <c r="S289" s="365"/>
      <c r="T289" s="365"/>
      <c r="U289" s="365"/>
      <c r="V289" s="365"/>
      <c r="W289" s="365"/>
      <c r="X289" s="365"/>
      <c r="Y289" s="365"/>
      <c r="Z289" s="365"/>
    </row>
    <row r="290" spans="1:26" ht="14.25" customHeight="1" x14ac:dyDescent="0.25">
      <c r="A290" s="365"/>
      <c r="B290" s="365"/>
      <c r="C290" s="365"/>
      <c r="D290" s="365"/>
      <c r="E290" s="365"/>
      <c r="F290" s="365"/>
      <c r="G290" s="365"/>
      <c r="H290" s="365"/>
      <c r="I290" s="365"/>
      <c r="J290" s="365"/>
      <c r="K290" s="365"/>
      <c r="L290" s="365"/>
      <c r="M290" s="365"/>
      <c r="N290" s="365"/>
      <c r="O290" s="365"/>
      <c r="P290" s="365"/>
      <c r="Q290" s="365"/>
      <c r="R290" s="365"/>
      <c r="S290" s="365"/>
      <c r="T290" s="365"/>
      <c r="U290" s="365"/>
      <c r="V290" s="365"/>
      <c r="W290" s="365"/>
      <c r="X290" s="365"/>
      <c r="Y290" s="365"/>
      <c r="Z290" s="365"/>
    </row>
    <row r="291" spans="1:26" ht="14.25" customHeight="1" x14ac:dyDescent="0.25">
      <c r="A291" s="365"/>
      <c r="B291" s="365"/>
      <c r="C291" s="365"/>
      <c r="D291" s="365"/>
      <c r="E291" s="365"/>
      <c r="F291" s="365"/>
      <c r="G291" s="365"/>
      <c r="H291" s="365"/>
      <c r="I291" s="365"/>
      <c r="J291" s="365"/>
      <c r="K291" s="365"/>
      <c r="L291" s="365"/>
      <c r="M291" s="365"/>
      <c r="N291" s="365"/>
      <c r="O291" s="365"/>
      <c r="P291" s="365"/>
      <c r="Q291" s="365"/>
      <c r="R291" s="365"/>
      <c r="S291" s="365"/>
      <c r="T291" s="365"/>
      <c r="U291" s="365"/>
      <c r="V291" s="365"/>
      <c r="W291" s="365"/>
      <c r="X291" s="365"/>
      <c r="Y291" s="365"/>
      <c r="Z291" s="365"/>
    </row>
    <row r="292" spans="1:26" ht="14.25" customHeight="1" x14ac:dyDescent="0.25">
      <c r="A292" s="365"/>
      <c r="B292" s="365"/>
      <c r="C292" s="365"/>
      <c r="D292" s="365"/>
      <c r="E292" s="365"/>
      <c r="F292" s="365"/>
      <c r="G292" s="365"/>
      <c r="H292" s="365"/>
      <c r="I292" s="365"/>
      <c r="J292" s="365"/>
      <c r="K292" s="365"/>
      <c r="L292" s="365"/>
      <c r="M292" s="365"/>
      <c r="N292" s="365"/>
      <c r="O292" s="365"/>
      <c r="P292" s="365"/>
      <c r="Q292" s="365"/>
      <c r="R292" s="365"/>
      <c r="S292" s="365"/>
      <c r="T292" s="365"/>
      <c r="U292" s="365"/>
      <c r="V292" s="365"/>
      <c r="W292" s="365"/>
      <c r="X292" s="365"/>
      <c r="Y292" s="365"/>
      <c r="Z292" s="365"/>
    </row>
    <row r="293" spans="1:26" ht="14.25" customHeight="1" x14ac:dyDescent="0.25">
      <c r="A293" s="365"/>
      <c r="B293" s="365"/>
      <c r="C293" s="365"/>
      <c r="D293" s="365"/>
      <c r="E293" s="365"/>
      <c r="F293" s="365"/>
      <c r="G293" s="365"/>
      <c r="H293" s="365"/>
      <c r="I293" s="365"/>
      <c r="J293" s="365"/>
      <c r="K293" s="365"/>
      <c r="L293" s="365"/>
      <c r="M293" s="365"/>
      <c r="N293" s="365"/>
      <c r="O293" s="365"/>
      <c r="P293" s="365"/>
      <c r="Q293" s="365"/>
      <c r="R293" s="365"/>
      <c r="S293" s="365"/>
      <c r="T293" s="365"/>
      <c r="U293" s="365"/>
      <c r="V293" s="365"/>
      <c r="W293" s="365"/>
      <c r="X293" s="365"/>
      <c r="Y293" s="365"/>
      <c r="Z293" s="365"/>
    </row>
    <row r="294" spans="1:26" ht="14.25" customHeight="1" x14ac:dyDescent="0.25">
      <c r="A294" s="365"/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  <c r="X294" s="365"/>
      <c r="Y294" s="365"/>
      <c r="Z294" s="365"/>
    </row>
    <row r="295" spans="1:26" ht="14.25" customHeight="1" x14ac:dyDescent="0.25">
      <c r="A295" s="365"/>
      <c r="B295" s="365"/>
      <c r="C295" s="365"/>
      <c r="D295" s="365"/>
      <c r="E295" s="365"/>
      <c r="F295" s="365"/>
      <c r="G295" s="365"/>
      <c r="H295" s="365"/>
      <c r="I295" s="365"/>
      <c r="J295" s="365"/>
      <c r="K295" s="365"/>
      <c r="L295" s="365"/>
      <c r="M295" s="365"/>
      <c r="N295" s="365"/>
      <c r="O295" s="365"/>
      <c r="P295" s="365"/>
      <c r="Q295" s="365"/>
      <c r="R295" s="365"/>
      <c r="S295" s="365"/>
      <c r="T295" s="365"/>
      <c r="U295" s="365"/>
      <c r="V295" s="365"/>
      <c r="W295" s="365"/>
      <c r="X295" s="365"/>
      <c r="Y295" s="365"/>
      <c r="Z295" s="365"/>
    </row>
    <row r="296" spans="1:26" ht="14.25" customHeight="1" x14ac:dyDescent="0.25">
      <c r="A296" s="365"/>
      <c r="B296" s="365"/>
      <c r="C296" s="365"/>
      <c r="D296" s="365"/>
      <c r="E296" s="365"/>
      <c r="F296" s="365"/>
      <c r="G296" s="365"/>
      <c r="H296" s="365"/>
      <c r="I296" s="365"/>
      <c r="J296" s="365"/>
      <c r="K296" s="365"/>
      <c r="L296" s="365"/>
      <c r="M296" s="365"/>
      <c r="N296" s="365"/>
      <c r="O296" s="365"/>
      <c r="P296" s="365"/>
      <c r="Q296" s="365"/>
      <c r="R296" s="365"/>
      <c r="S296" s="365"/>
      <c r="T296" s="365"/>
      <c r="U296" s="365"/>
      <c r="V296" s="365"/>
      <c r="W296" s="365"/>
      <c r="X296" s="365"/>
      <c r="Y296" s="365"/>
      <c r="Z296" s="365"/>
    </row>
    <row r="297" spans="1:26" ht="14.25" customHeight="1" x14ac:dyDescent="0.25">
      <c r="A297" s="365"/>
      <c r="B297" s="365"/>
      <c r="C297" s="365"/>
      <c r="D297" s="365"/>
      <c r="E297" s="365"/>
      <c r="F297" s="365"/>
      <c r="G297" s="365"/>
      <c r="H297" s="365"/>
      <c r="I297" s="365"/>
      <c r="J297" s="365"/>
      <c r="K297" s="365"/>
      <c r="L297" s="365"/>
      <c r="M297" s="365"/>
      <c r="N297" s="365"/>
      <c r="O297" s="365"/>
      <c r="P297" s="365"/>
      <c r="Q297" s="365"/>
      <c r="R297" s="365"/>
      <c r="S297" s="365"/>
      <c r="T297" s="365"/>
      <c r="U297" s="365"/>
      <c r="V297" s="365"/>
      <c r="W297" s="365"/>
      <c r="X297" s="365"/>
      <c r="Y297" s="365"/>
      <c r="Z297" s="365"/>
    </row>
    <row r="298" spans="1:26" ht="14.25" customHeight="1" x14ac:dyDescent="0.25">
      <c r="A298" s="365"/>
      <c r="B298" s="365"/>
      <c r="C298" s="365"/>
      <c r="D298" s="365"/>
      <c r="E298" s="365"/>
      <c r="F298" s="365"/>
      <c r="G298" s="365"/>
      <c r="H298" s="365"/>
      <c r="I298" s="365"/>
      <c r="J298" s="365"/>
      <c r="K298" s="365"/>
      <c r="L298" s="365"/>
      <c r="M298" s="365"/>
      <c r="N298" s="365"/>
      <c r="O298" s="365"/>
      <c r="P298" s="365"/>
      <c r="Q298" s="365"/>
      <c r="R298" s="365"/>
      <c r="S298" s="365"/>
      <c r="T298" s="365"/>
      <c r="U298" s="365"/>
      <c r="V298" s="365"/>
      <c r="W298" s="365"/>
      <c r="X298" s="365"/>
      <c r="Y298" s="365"/>
      <c r="Z298" s="365"/>
    </row>
    <row r="299" spans="1:26" ht="14.25" customHeight="1" x14ac:dyDescent="0.25">
      <c r="A299" s="365"/>
      <c r="B299" s="365"/>
      <c r="C299" s="365"/>
      <c r="D299" s="365"/>
      <c r="E299" s="365"/>
      <c r="F299" s="365"/>
      <c r="G299" s="365"/>
      <c r="H299" s="365"/>
      <c r="I299" s="365"/>
      <c r="J299" s="365"/>
      <c r="K299" s="365"/>
      <c r="L299" s="365"/>
      <c r="M299" s="365"/>
      <c r="N299" s="365"/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  <c r="Y299" s="365"/>
      <c r="Z299" s="365"/>
    </row>
    <row r="300" spans="1:26" ht="14.25" customHeight="1" x14ac:dyDescent="0.25">
      <c r="A300" s="365"/>
      <c r="B300" s="365"/>
      <c r="C300" s="365"/>
      <c r="D300" s="365"/>
      <c r="E300" s="365"/>
      <c r="F300" s="365"/>
      <c r="G300" s="365"/>
      <c r="H300" s="365"/>
      <c r="I300" s="365"/>
      <c r="J300" s="365"/>
      <c r="K300" s="365"/>
      <c r="L300" s="365"/>
      <c r="M300" s="365"/>
      <c r="N300" s="365"/>
      <c r="O300" s="365"/>
      <c r="P300" s="365"/>
      <c r="Q300" s="365"/>
      <c r="R300" s="365"/>
      <c r="S300" s="365"/>
      <c r="T300" s="365"/>
      <c r="U300" s="365"/>
      <c r="V300" s="365"/>
      <c r="W300" s="365"/>
      <c r="X300" s="365"/>
      <c r="Y300" s="365"/>
      <c r="Z300" s="365"/>
    </row>
    <row r="301" spans="1:26" ht="14.25" customHeight="1" x14ac:dyDescent="0.25">
      <c r="A301" s="365"/>
      <c r="B301" s="365"/>
      <c r="C301" s="365"/>
      <c r="D301" s="365"/>
      <c r="E301" s="365"/>
      <c r="F301" s="365"/>
      <c r="G301" s="365"/>
      <c r="H301" s="365"/>
      <c r="I301" s="365"/>
      <c r="J301" s="365"/>
      <c r="K301" s="365"/>
      <c r="L301" s="365"/>
      <c r="M301" s="365"/>
      <c r="N301" s="365"/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  <c r="Y301" s="365"/>
      <c r="Z301" s="365"/>
    </row>
    <row r="302" spans="1:26" ht="14.25" customHeight="1" x14ac:dyDescent="0.25">
      <c r="A302" s="365"/>
      <c r="B302" s="365"/>
      <c r="C302" s="365"/>
      <c r="D302" s="365"/>
      <c r="E302" s="365"/>
      <c r="F302" s="365"/>
      <c r="G302" s="365"/>
      <c r="H302" s="365"/>
      <c r="I302" s="365"/>
      <c r="J302" s="365"/>
      <c r="K302" s="365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</row>
    <row r="303" spans="1:26" ht="14.25" customHeight="1" x14ac:dyDescent="0.25">
      <c r="A303" s="365"/>
      <c r="B303" s="365"/>
      <c r="C303" s="365"/>
      <c r="D303" s="365"/>
      <c r="E303" s="365"/>
      <c r="F303" s="365"/>
      <c r="G303" s="365"/>
      <c r="H303" s="365"/>
      <c r="I303" s="365"/>
      <c r="J303" s="365"/>
      <c r="K303" s="365"/>
      <c r="L303" s="365"/>
      <c r="M303" s="365"/>
      <c r="N303" s="365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  <c r="Y303" s="365"/>
      <c r="Z303" s="365"/>
    </row>
    <row r="304" spans="1:26" ht="14.25" customHeight="1" x14ac:dyDescent="0.25">
      <c r="A304" s="365"/>
      <c r="B304" s="365"/>
      <c r="C304" s="365"/>
      <c r="D304" s="365"/>
      <c r="E304" s="365"/>
      <c r="F304" s="365"/>
      <c r="G304" s="365"/>
      <c r="H304" s="365"/>
      <c r="I304" s="365"/>
      <c r="J304" s="365"/>
      <c r="K304" s="365"/>
      <c r="L304" s="365"/>
      <c r="M304" s="365"/>
      <c r="N304" s="365"/>
      <c r="O304" s="365"/>
      <c r="P304" s="365"/>
      <c r="Q304" s="365"/>
      <c r="R304" s="365"/>
      <c r="S304" s="365"/>
      <c r="T304" s="365"/>
      <c r="U304" s="365"/>
      <c r="V304" s="365"/>
      <c r="W304" s="365"/>
      <c r="X304" s="365"/>
      <c r="Y304" s="365"/>
      <c r="Z304" s="365"/>
    </row>
    <row r="305" spans="1:26" ht="14.25" customHeight="1" x14ac:dyDescent="0.25">
      <c r="A305" s="365"/>
      <c r="B305" s="365"/>
      <c r="C305" s="365"/>
      <c r="D305" s="365"/>
      <c r="E305" s="365"/>
      <c r="F305" s="365"/>
      <c r="G305" s="365"/>
      <c r="H305" s="365"/>
      <c r="I305" s="365"/>
      <c r="J305" s="365"/>
      <c r="K305" s="365"/>
      <c r="L305" s="365"/>
      <c r="M305" s="365"/>
      <c r="N305" s="365"/>
      <c r="O305" s="365"/>
      <c r="P305" s="365"/>
      <c r="Q305" s="365"/>
      <c r="R305" s="365"/>
      <c r="S305" s="365"/>
      <c r="T305" s="365"/>
      <c r="U305" s="365"/>
      <c r="V305" s="365"/>
      <c r="W305" s="365"/>
      <c r="X305" s="365"/>
      <c r="Y305" s="365"/>
      <c r="Z305" s="365"/>
    </row>
    <row r="306" spans="1:26" ht="14.25" customHeight="1" x14ac:dyDescent="0.25">
      <c r="A306" s="365"/>
      <c r="B306" s="365"/>
      <c r="C306" s="365"/>
      <c r="D306" s="365"/>
      <c r="E306" s="365"/>
      <c r="F306" s="365"/>
      <c r="G306" s="365"/>
      <c r="H306" s="365"/>
      <c r="I306" s="365"/>
      <c r="J306" s="365"/>
      <c r="K306" s="365"/>
      <c r="L306" s="365"/>
      <c r="M306" s="365"/>
      <c r="N306" s="365"/>
      <c r="O306" s="365"/>
      <c r="P306" s="365"/>
      <c r="Q306" s="365"/>
      <c r="R306" s="365"/>
      <c r="S306" s="365"/>
      <c r="T306" s="365"/>
      <c r="U306" s="365"/>
      <c r="V306" s="365"/>
      <c r="W306" s="365"/>
      <c r="X306" s="365"/>
      <c r="Y306" s="365"/>
      <c r="Z306" s="365"/>
    </row>
    <row r="307" spans="1:26" ht="14.25" customHeight="1" x14ac:dyDescent="0.25">
      <c r="A307" s="365"/>
      <c r="B307" s="365"/>
      <c r="C307" s="365"/>
      <c r="D307" s="365"/>
      <c r="E307" s="365"/>
      <c r="F307" s="365"/>
      <c r="G307" s="365"/>
      <c r="H307" s="365"/>
      <c r="I307" s="365"/>
      <c r="J307" s="365"/>
      <c r="K307" s="365"/>
      <c r="L307" s="365"/>
      <c r="M307" s="365"/>
      <c r="N307" s="365"/>
      <c r="O307" s="365"/>
      <c r="P307" s="365"/>
      <c r="Q307" s="365"/>
      <c r="R307" s="365"/>
      <c r="S307" s="365"/>
      <c r="T307" s="365"/>
      <c r="U307" s="365"/>
      <c r="V307" s="365"/>
      <c r="W307" s="365"/>
      <c r="X307" s="365"/>
      <c r="Y307" s="365"/>
      <c r="Z307" s="365"/>
    </row>
    <row r="308" spans="1:26" ht="14.25" customHeight="1" x14ac:dyDescent="0.25">
      <c r="A308" s="365"/>
      <c r="B308" s="365"/>
      <c r="C308" s="365"/>
      <c r="D308" s="365"/>
      <c r="E308" s="365"/>
      <c r="F308" s="365"/>
      <c r="G308" s="365"/>
      <c r="H308" s="365"/>
      <c r="I308" s="365"/>
      <c r="J308" s="365"/>
      <c r="K308" s="365"/>
      <c r="L308" s="365"/>
      <c r="M308" s="365"/>
      <c r="N308" s="365"/>
      <c r="O308" s="365"/>
      <c r="P308" s="365"/>
      <c r="Q308" s="365"/>
      <c r="R308" s="365"/>
      <c r="S308" s="365"/>
      <c r="T308" s="365"/>
      <c r="U308" s="365"/>
      <c r="V308" s="365"/>
      <c r="W308" s="365"/>
      <c r="X308" s="365"/>
      <c r="Y308" s="365"/>
      <c r="Z308" s="365"/>
    </row>
    <row r="309" spans="1:26" ht="14.25" customHeight="1" x14ac:dyDescent="0.25">
      <c r="A309" s="365"/>
      <c r="B309" s="365"/>
      <c r="C309" s="365"/>
      <c r="D309" s="365"/>
      <c r="E309" s="365"/>
      <c r="F309" s="365"/>
      <c r="G309" s="365"/>
      <c r="H309" s="365"/>
      <c r="I309" s="365"/>
      <c r="J309" s="365"/>
      <c r="K309" s="365"/>
      <c r="L309" s="365"/>
      <c r="M309" s="365"/>
      <c r="N309" s="365"/>
      <c r="O309" s="365"/>
      <c r="P309" s="365"/>
      <c r="Q309" s="365"/>
      <c r="R309" s="365"/>
      <c r="S309" s="365"/>
      <c r="T309" s="365"/>
      <c r="U309" s="365"/>
      <c r="V309" s="365"/>
      <c r="W309" s="365"/>
      <c r="X309" s="365"/>
      <c r="Y309" s="365"/>
      <c r="Z309" s="365"/>
    </row>
    <row r="310" spans="1:26" ht="14.25" customHeight="1" x14ac:dyDescent="0.25">
      <c r="A310" s="365"/>
      <c r="B310" s="365"/>
      <c r="C310" s="365"/>
      <c r="D310" s="365"/>
      <c r="E310" s="365"/>
      <c r="F310" s="365"/>
      <c r="G310" s="365"/>
      <c r="H310" s="365"/>
      <c r="I310" s="365"/>
      <c r="J310" s="365"/>
      <c r="K310" s="365"/>
      <c r="L310" s="365"/>
      <c r="M310" s="365"/>
      <c r="N310" s="365"/>
      <c r="O310" s="365"/>
      <c r="P310" s="365"/>
      <c r="Q310" s="365"/>
      <c r="R310" s="365"/>
      <c r="S310" s="365"/>
      <c r="T310" s="365"/>
      <c r="U310" s="365"/>
      <c r="V310" s="365"/>
      <c r="W310" s="365"/>
      <c r="X310" s="365"/>
      <c r="Y310" s="365"/>
      <c r="Z310" s="365"/>
    </row>
    <row r="311" spans="1:26" ht="14.25" customHeight="1" x14ac:dyDescent="0.25">
      <c r="A311" s="365"/>
      <c r="B311" s="365"/>
      <c r="C311" s="365"/>
      <c r="D311" s="365"/>
      <c r="E311" s="365"/>
      <c r="F311" s="365"/>
      <c r="G311" s="365"/>
      <c r="H311" s="365"/>
      <c r="I311" s="365"/>
      <c r="J311" s="365"/>
      <c r="K311" s="365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  <c r="Y311" s="365"/>
      <c r="Z311" s="365"/>
    </row>
    <row r="312" spans="1:26" ht="14.25" customHeight="1" x14ac:dyDescent="0.25">
      <c r="A312" s="365"/>
      <c r="B312" s="365"/>
      <c r="C312" s="365"/>
      <c r="D312" s="365"/>
      <c r="E312" s="365"/>
      <c r="F312" s="365"/>
      <c r="G312" s="365"/>
      <c r="H312" s="365"/>
      <c r="I312" s="365"/>
      <c r="J312" s="365"/>
      <c r="K312" s="365"/>
      <c r="L312" s="365"/>
      <c r="M312" s="365"/>
      <c r="N312" s="365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  <c r="Y312" s="365"/>
      <c r="Z312" s="365"/>
    </row>
    <row r="313" spans="1:26" ht="14.25" customHeight="1" x14ac:dyDescent="0.25">
      <c r="A313" s="365"/>
      <c r="B313" s="365"/>
      <c r="C313" s="365"/>
      <c r="D313" s="365"/>
      <c r="E313" s="365"/>
      <c r="F313" s="365"/>
      <c r="G313" s="365"/>
      <c r="H313" s="365"/>
      <c r="I313" s="365"/>
      <c r="J313" s="365"/>
      <c r="K313" s="365"/>
      <c r="L313" s="365"/>
      <c r="M313" s="365"/>
      <c r="N313" s="365"/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  <c r="Y313" s="365"/>
      <c r="Z313" s="365"/>
    </row>
    <row r="314" spans="1:26" ht="14.25" customHeight="1" x14ac:dyDescent="0.25">
      <c r="A314" s="365"/>
      <c r="B314" s="365"/>
      <c r="C314" s="365"/>
      <c r="D314" s="365"/>
      <c r="E314" s="365"/>
      <c r="F314" s="365"/>
      <c r="G314" s="365"/>
      <c r="H314" s="365"/>
      <c r="I314" s="365"/>
      <c r="J314" s="365"/>
      <c r="K314" s="365"/>
      <c r="L314" s="365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</row>
    <row r="315" spans="1:26" ht="14.25" customHeight="1" x14ac:dyDescent="0.25">
      <c r="A315" s="365"/>
      <c r="B315" s="365"/>
      <c r="C315" s="365"/>
      <c r="D315" s="365"/>
      <c r="E315" s="365"/>
      <c r="F315" s="365"/>
      <c r="G315" s="365"/>
      <c r="H315" s="365"/>
      <c r="I315" s="365"/>
      <c r="J315" s="365"/>
      <c r="K315" s="365"/>
      <c r="L315" s="365"/>
      <c r="M315" s="365"/>
      <c r="N315" s="365"/>
      <c r="O315" s="365"/>
      <c r="P315" s="365"/>
      <c r="Q315" s="365"/>
      <c r="R315" s="365"/>
      <c r="S315" s="365"/>
      <c r="T315" s="365"/>
      <c r="U315" s="365"/>
      <c r="V315" s="365"/>
      <c r="W315" s="365"/>
      <c r="X315" s="365"/>
      <c r="Y315" s="365"/>
      <c r="Z315" s="365"/>
    </row>
    <row r="316" spans="1:26" ht="14.25" customHeight="1" x14ac:dyDescent="0.25">
      <c r="A316" s="365"/>
      <c r="B316" s="365"/>
      <c r="C316" s="365"/>
      <c r="D316" s="365"/>
      <c r="E316" s="365"/>
      <c r="F316" s="365"/>
      <c r="G316" s="365"/>
      <c r="H316" s="365"/>
      <c r="I316" s="365"/>
      <c r="J316" s="365"/>
      <c r="K316" s="365"/>
      <c r="L316" s="365"/>
      <c r="M316" s="365"/>
      <c r="N316" s="365"/>
      <c r="O316" s="365"/>
      <c r="P316" s="365"/>
      <c r="Q316" s="365"/>
      <c r="R316" s="365"/>
      <c r="S316" s="365"/>
      <c r="T316" s="365"/>
      <c r="U316" s="365"/>
      <c r="V316" s="365"/>
      <c r="W316" s="365"/>
      <c r="X316" s="365"/>
      <c r="Y316" s="365"/>
      <c r="Z316" s="365"/>
    </row>
    <row r="317" spans="1:26" ht="14.25" customHeight="1" x14ac:dyDescent="0.25">
      <c r="A317" s="365"/>
      <c r="B317" s="365"/>
      <c r="C317" s="365"/>
      <c r="D317" s="365"/>
      <c r="E317" s="365"/>
      <c r="F317" s="365"/>
      <c r="G317" s="365"/>
      <c r="H317" s="365"/>
      <c r="I317" s="365"/>
      <c r="J317" s="365"/>
      <c r="K317" s="365"/>
      <c r="L317" s="365"/>
      <c r="M317" s="365"/>
      <c r="N317" s="365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  <c r="Y317" s="365"/>
      <c r="Z317" s="365"/>
    </row>
    <row r="318" spans="1:26" ht="14.25" customHeight="1" x14ac:dyDescent="0.25">
      <c r="A318" s="365"/>
      <c r="B318" s="365"/>
      <c r="C318" s="365"/>
      <c r="D318" s="365"/>
      <c r="E318" s="365"/>
      <c r="F318" s="365"/>
      <c r="G318" s="365"/>
      <c r="H318" s="365"/>
      <c r="I318" s="365"/>
      <c r="J318" s="365"/>
      <c r="K318" s="365"/>
      <c r="L318" s="365"/>
      <c r="M318" s="365"/>
      <c r="N318" s="365"/>
      <c r="O318" s="365"/>
      <c r="P318" s="365"/>
      <c r="Q318" s="365"/>
      <c r="R318" s="365"/>
      <c r="S318" s="365"/>
      <c r="T318" s="365"/>
      <c r="U318" s="365"/>
      <c r="V318" s="365"/>
      <c r="W318" s="365"/>
      <c r="X318" s="365"/>
      <c r="Y318" s="365"/>
      <c r="Z318" s="365"/>
    </row>
    <row r="319" spans="1:26" ht="14.25" customHeight="1" x14ac:dyDescent="0.25">
      <c r="A319" s="365"/>
      <c r="B319" s="365"/>
      <c r="C319" s="365"/>
      <c r="D319" s="365"/>
      <c r="E319" s="365"/>
      <c r="F319" s="365"/>
      <c r="G319" s="365"/>
      <c r="H319" s="365"/>
      <c r="I319" s="365"/>
      <c r="J319" s="365"/>
      <c r="K319" s="365"/>
      <c r="L319" s="365"/>
      <c r="M319" s="365"/>
      <c r="N319" s="365"/>
      <c r="O319" s="365"/>
      <c r="P319" s="365"/>
      <c r="Q319" s="365"/>
      <c r="R319" s="365"/>
      <c r="S319" s="365"/>
      <c r="T319" s="365"/>
      <c r="U319" s="365"/>
      <c r="V319" s="365"/>
      <c r="W319" s="365"/>
      <c r="X319" s="365"/>
      <c r="Y319" s="365"/>
      <c r="Z319" s="365"/>
    </row>
    <row r="320" spans="1:26" ht="14.25" customHeight="1" x14ac:dyDescent="0.25">
      <c r="A320" s="365"/>
      <c r="B320" s="365"/>
      <c r="C320" s="365"/>
      <c r="D320" s="365"/>
      <c r="E320" s="365"/>
      <c r="F320" s="365"/>
      <c r="G320" s="365"/>
      <c r="H320" s="365"/>
      <c r="I320" s="365"/>
      <c r="J320" s="365"/>
      <c r="K320" s="365"/>
      <c r="L320" s="365"/>
      <c r="M320" s="365"/>
      <c r="N320" s="365"/>
      <c r="O320" s="365"/>
      <c r="P320" s="365"/>
      <c r="Q320" s="365"/>
      <c r="R320" s="365"/>
      <c r="S320" s="365"/>
      <c r="T320" s="365"/>
      <c r="U320" s="365"/>
      <c r="V320" s="365"/>
      <c r="W320" s="365"/>
      <c r="X320" s="365"/>
      <c r="Y320" s="365"/>
      <c r="Z320" s="365"/>
    </row>
    <row r="321" spans="1:26" ht="14.25" customHeight="1" x14ac:dyDescent="0.25">
      <c r="A321" s="365"/>
      <c r="B321" s="365"/>
      <c r="C321" s="365"/>
      <c r="D321" s="365"/>
      <c r="E321" s="365"/>
      <c r="F321" s="365"/>
      <c r="G321" s="365"/>
      <c r="H321" s="365"/>
      <c r="I321" s="365"/>
      <c r="J321" s="365"/>
      <c r="K321" s="365"/>
      <c r="L321" s="365"/>
      <c r="M321" s="365"/>
      <c r="N321" s="365"/>
      <c r="O321" s="365"/>
      <c r="P321" s="365"/>
      <c r="Q321" s="365"/>
      <c r="R321" s="365"/>
      <c r="S321" s="365"/>
      <c r="T321" s="365"/>
      <c r="U321" s="365"/>
      <c r="V321" s="365"/>
      <c r="W321" s="365"/>
      <c r="X321" s="365"/>
      <c r="Y321" s="365"/>
      <c r="Z321" s="365"/>
    </row>
    <row r="322" spans="1:26" ht="14.25" customHeight="1" x14ac:dyDescent="0.25">
      <c r="A322" s="365"/>
      <c r="B322" s="365"/>
      <c r="C322" s="365"/>
      <c r="D322" s="365"/>
      <c r="E322" s="365"/>
      <c r="F322" s="365"/>
      <c r="G322" s="365"/>
      <c r="H322" s="365"/>
      <c r="I322" s="365"/>
      <c r="J322" s="365"/>
      <c r="K322" s="365"/>
      <c r="L322" s="365"/>
      <c r="M322" s="365"/>
      <c r="N322" s="365"/>
      <c r="O322" s="365"/>
      <c r="P322" s="365"/>
      <c r="Q322" s="365"/>
      <c r="R322" s="365"/>
      <c r="S322" s="365"/>
      <c r="T322" s="365"/>
      <c r="U322" s="365"/>
      <c r="V322" s="365"/>
      <c r="W322" s="365"/>
      <c r="X322" s="365"/>
      <c r="Y322" s="365"/>
      <c r="Z322" s="365"/>
    </row>
    <row r="323" spans="1:26" ht="14.25" customHeight="1" x14ac:dyDescent="0.25">
      <c r="A323" s="365"/>
      <c r="B323" s="365"/>
      <c r="C323" s="365"/>
      <c r="D323" s="365"/>
      <c r="E323" s="365"/>
      <c r="F323" s="365"/>
      <c r="G323" s="365"/>
      <c r="H323" s="365"/>
      <c r="I323" s="365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  <c r="T323" s="365"/>
      <c r="U323" s="365"/>
      <c r="V323" s="365"/>
      <c r="W323" s="365"/>
      <c r="X323" s="365"/>
      <c r="Y323" s="365"/>
      <c r="Z323" s="365"/>
    </row>
    <row r="324" spans="1:26" ht="14.25" customHeight="1" x14ac:dyDescent="0.25">
      <c r="A324" s="365"/>
      <c r="B324" s="365"/>
      <c r="C324" s="365"/>
      <c r="D324" s="365"/>
      <c r="E324" s="365"/>
      <c r="F324" s="365"/>
      <c r="G324" s="365"/>
      <c r="H324" s="365"/>
      <c r="I324" s="365"/>
      <c r="J324" s="365"/>
      <c r="K324" s="365"/>
      <c r="L324" s="365"/>
      <c r="M324" s="365"/>
      <c r="N324" s="365"/>
      <c r="O324" s="365"/>
      <c r="P324" s="365"/>
      <c r="Q324" s="365"/>
      <c r="R324" s="365"/>
      <c r="S324" s="365"/>
      <c r="T324" s="365"/>
      <c r="U324" s="365"/>
      <c r="V324" s="365"/>
      <c r="W324" s="365"/>
      <c r="X324" s="365"/>
      <c r="Y324" s="365"/>
      <c r="Z324" s="365"/>
    </row>
    <row r="325" spans="1:26" ht="14.25" customHeight="1" x14ac:dyDescent="0.25">
      <c r="A325" s="365"/>
      <c r="B325" s="365"/>
      <c r="C325" s="365"/>
      <c r="D325" s="365"/>
      <c r="E325" s="365"/>
      <c r="F325" s="365"/>
      <c r="G325" s="365"/>
      <c r="H325" s="365"/>
      <c r="I325" s="365"/>
      <c r="J325" s="365"/>
      <c r="K325" s="365"/>
      <c r="L325" s="365"/>
      <c r="M325" s="365"/>
      <c r="N325" s="365"/>
      <c r="O325" s="365"/>
      <c r="P325" s="365"/>
      <c r="Q325" s="365"/>
      <c r="R325" s="365"/>
      <c r="S325" s="365"/>
      <c r="T325" s="365"/>
      <c r="U325" s="365"/>
      <c r="V325" s="365"/>
      <c r="W325" s="365"/>
      <c r="X325" s="365"/>
      <c r="Y325" s="365"/>
      <c r="Z325" s="365"/>
    </row>
    <row r="326" spans="1:26" ht="14.25" customHeight="1" x14ac:dyDescent="0.25">
      <c r="A326" s="365"/>
      <c r="B326" s="365"/>
      <c r="C326" s="365"/>
      <c r="D326" s="365"/>
      <c r="E326" s="365"/>
      <c r="F326" s="365"/>
      <c r="G326" s="365"/>
      <c r="H326" s="365"/>
      <c r="I326" s="365"/>
      <c r="J326" s="365"/>
      <c r="K326" s="365"/>
      <c r="L326" s="365"/>
      <c r="M326" s="365"/>
      <c r="N326" s="365"/>
      <c r="O326" s="365"/>
      <c r="P326" s="365"/>
      <c r="Q326" s="365"/>
      <c r="R326" s="365"/>
      <c r="S326" s="365"/>
      <c r="T326" s="365"/>
      <c r="U326" s="365"/>
      <c r="V326" s="365"/>
      <c r="W326" s="365"/>
      <c r="X326" s="365"/>
      <c r="Y326" s="365"/>
      <c r="Z326" s="365"/>
    </row>
    <row r="327" spans="1:26" ht="14.25" customHeight="1" x14ac:dyDescent="0.25">
      <c r="A327" s="365"/>
      <c r="B327" s="365"/>
      <c r="C327" s="365"/>
      <c r="D327" s="365"/>
      <c r="E327" s="365"/>
      <c r="F327" s="365"/>
      <c r="G327" s="365"/>
      <c r="H327" s="365"/>
      <c r="I327" s="365"/>
      <c r="J327" s="365"/>
      <c r="K327" s="365"/>
      <c r="L327" s="365"/>
      <c r="M327" s="365"/>
      <c r="N327" s="365"/>
      <c r="O327" s="365"/>
      <c r="P327" s="365"/>
      <c r="Q327" s="365"/>
      <c r="R327" s="365"/>
      <c r="S327" s="365"/>
      <c r="T327" s="365"/>
      <c r="U327" s="365"/>
      <c r="V327" s="365"/>
      <c r="W327" s="365"/>
      <c r="X327" s="365"/>
      <c r="Y327" s="365"/>
      <c r="Z327" s="365"/>
    </row>
    <row r="328" spans="1:26" ht="14.25" customHeight="1" x14ac:dyDescent="0.25">
      <c r="A328" s="365"/>
      <c r="B328" s="365"/>
      <c r="C328" s="365"/>
      <c r="D328" s="365"/>
      <c r="E328" s="365"/>
      <c r="F328" s="365"/>
      <c r="G328" s="365"/>
      <c r="H328" s="365"/>
      <c r="I328" s="365"/>
      <c r="J328" s="365"/>
      <c r="K328" s="365"/>
      <c r="L328" s="365"/>
      <c r="M328" s="365"/>
      <c r="N328" s="365"/>
      <c r="O328" s="365"/>
      <c r="P328" s="365"/>
      <c r="Q328" s="365"/>
      <c r="R328" s="365"/>
      <c r="S328" s="365"/>
      <c r="T328" s="365"/>
      <c r="U328" s="365"/>
      <c r="V328" s="365"/>
      <c r="W328" s="365"/>
      <c r="X328" s="365"/>
      <c r="Y328" s="365"/>
      <c r="Z328" s="365"/>
    </row>
    <row r="329" spans="1:26" ht="14.25" customHeight="1" x14ac:dyDescent="0.25">
      <c r="A329" s="365"/>
      <c r="B329" s="365"/>
      <c r="C329" s="365"/>
      <c r="D329" s="365"/>
      <c r="E329" s="365"/>
      <c r="F329" s="365"/>
      <c r="G329" s="365"/>
      <c r="H329" s="365"/>
      <c r="I329" s="365"/>
      <c r="J329" s="365"/>
      <c r="K329" s="365"/>
      <c r="L329" s="365"/>
      <c r="M329" s="365"/>
      <c r="N329" s="365"/>
      <c r="O329" s="365"/>
      <c r="P329" s="365"/>
      <c r="Q329" s="365"/>
      <c r="R329" s="365"/>
      <c r="S329" s="365"/>
      <c r="T329" s="365"/>
      <c r="U329" s="365"/>
      <c r="V329" s="365"/>
      <c r="W329" s="365"/>
      <c r="X329" s="365"/>
      <c r="Y329" s="365"/>
      <c r="Z329" s="365"/>
    </row>
    <row r="330" spans="1:26" ht="14.25" customHeight="1" x14ac:dyDescent="0.25">
      <c r="A330" s="365"/>
      <c r="B330" s="365"/>
      <c r="C330" s="365"/>
      <c r="D330" s="365"/>
      <c r="E330" s="365"/>
      <c r="F330" s="365"/>
      <c r="G330" s="365"/>
      <c r="H330" s="365"/>
      <c r="I330" s="365"/>
      <c r="J330" s="365"/>
      <c r="K330" s="365"/>
      <c r="L330" s="365"/>
      <c r="M330" s="365"/>
      <c r="N330" s="365"/>
      <c r="O330" s="365"/>
      <c r="P330" s="365"/>
      <c r="Q330" s="365"/>
      <c r="R330" s="365"/>
      <c r="S330" s="365"/>
      <c r="T330" s="365"/>
      <c r="U330" s="365"/>
      <c r="V330" s="365"/>
      <c r="W330" s="365"/>
      <c r="X330" s="365"/>
      <c r="Y330" s="365"/>
      <c r="Z330" s="365"/>
    </row>
    <row r="331" spans="1:26" ht="14.25" customHeight="1" x14ac:dyDescent="0.25">
      <c r="A331" s="365"/>
      <c r="B331" s="365"/>
      <c r="C331" s="365"/>
      <c r="D331" s="365"/>
      <c r="E331" s="365"/>
      <c r="F331" s="365"/>
      <c r="G331" s="365"/>
      <c r="H331" s="365"/>
      <c r="I331" s="365"/>
      <c r="J331" s="365"/>
      <c r="K331" s="365"/>
      <c r="L331" s="365"/>
      <c r="M331" s="365"/>
      <c r="N331" s="365"/>
      <c r="O331" s="365"/>
      <c r="P331" s="365"/>
      <c r="Q331" s="365"/>
      <c r="R331" s="365"/>
      <c r="S331" s="365"/>
      <c r="T331" s="365"/>
      <c r="U331" s="365"/>
      <c r="V331" s="365"/>
      <c r="W331" s="365"/>
      <c r="X331" s="365"/>
      <c r="Y331" s="365"/>
      <c r="Z331" s="365"/>
    </row>
    <row r="332" spans="1:26" ht="14.25" customHeight="1" x14ac:dyDescent="0.25">
      <c r="A332" s="365"/>
      <c r="B332" s="365"/>
      <c r="C332" s="365"/>
      <c r="D332" s="365"/>
      <c r="E332" s="365"/>
      <c r="F332" s="365"/>
      <c r="G332" s="365"/>
      <c r="H332" s="365"/>
      <c r="I332" s="365"/>
      <c r="J332" s="365"/>
      <c r="K332" s="365"/>
      <c r="L332" s="365"/>
      <c r="M332" s="365"/>
      <c r="N332" s="365"/>
      <c r="O332" s="365"/>
      <c r="P332" s="365"/>
      <c r="Q332" s="365"/>
      <c r="R332" s="365"/>
      <c r="S332" s="365"/>
      <c r="T332" s="365"/>
      <c r="U332" s="365"/>
      <c r="V332" s="365"/>
      <c r="W332" s="365"/>
      <c r="X332" s="365"/>
      <c r="Y332" s="365"/>
      <c r="Z332" s="365"/>
    </row>
    <row r="333" spans="1:26" ht="14.25" customHeight="1" x14ac:dyDescent="0.25">
      <c r="A333" s="365"/>
      <c r="B333" s="365"/>
      <c r="C333" s="365"/>
      <c r="D333" s="365"/>
      <c r="E333" s="365"/>
      <c r="F333" s="365"/>
      <c r="G333" s="365"/>
      <c r="H333" s="365"/>
      <c r="I333" s="365"/>
      <c r="J333" s="365"/>
      <c r="K333" s="365"/>
      <c r="L333" s="365"/>
      <c r="M333" s="365"/>
      <c r="N333" s="365"/>
      <c r="O333" s="365"/>
      <c r="P333" s="365"/>
      <c r="Q333" s="365"/>
      <c r="R333" s="365"/>
      <c r="S333" s="365"/>
      <c r="T333" s="365"/>
      <c r="U333" s="365"/>
      <c r="V333" s="365"/>
      <c r="W333" s="365"/>
      <c r="X333" s="365"/>
      <c r="Y333" s="365"/>
      <c r="Z333" s="365"/>
    </row>
    <row r="334" spans="1:26" ht="14.25" customHeight="1" x14ac:dyDescent="0.25">
      <c r="A334" s="365"/>
      <c r="B334" s="365"/>
      <c r="C334" s="365"/>
      <c r="D334" s="365"/>
      <c r="E334" s="365"/>
      <c r="F334" s="365"/>
      <c r="G334" s="365"/>
      <c r="H334" s="365"/>
      <c r="I334" s="365"/>
      <c r="J334" s="365"/>
      <c r="K334" s="365"/>
      <c r="L334" s="365"/>
      <c r="M334" s="365"/>
      <c r="N334" s="365"/>
      <c r="O334" s="365"/>
      <c r="P334" s="365"/>
      <c r="Q334" s="365"/>
      <c r="R334" s="365"/>
      <c r="S334" s="365"/>
      <c r="T334" s="365"/>
      <c r="U334" s="365"/>
      <c r="V334" s="365"/>
      <c r="W334" s="365"/>
      <c r="X334" s="365"/>
      <c r="Y334" s="365"/>
      <c r="Z334" s="365"/>
    </row>
    <row r="335" spans="1:26" ht="14.25" customHeight="1" x14ac:dyDescent="0.25">
      <c r="A335" s="365"/>
      <c r="B335" s="365"/>
      <c r="C335" s="365"/>
      <c r="D335" s="365"/>
      <c r="E335" s="365"/>
      <c r="F335" s="365"/>
      <c r="G335" s="365"/>
      <c r="H335" s="365"/>
      <c r="I335" s="365"/>
      <c r="J335" s="365"/>
      <c r="K335" s="365"/>
      <c r="L335" s="365"/>
      <c r="M335" s="365"/>
      <c r="N335" s="365"/>
      <c r="O335" s="365"/>
      <c r="P335" s="365"/>
      <c r="Q335" s="365"/>
      <c r="R335" s="365"/>
      <c r="S335" s="365"/>
      <c r="T335" s="365"/>
      <c r="U335" s="365"/>
      <c r="V335" s="365"/>
      <c r="W335" s="365"/>
      <c r="X335" s="365"/>
      <c r="Y335" s="365"/>
      <c r="Z335" s="365"/>
    </row>
    <row r="336" spans="1:26" ht="14.25" customHeight="1" x14ac:dyDescent="0.25">
      <c r="A336" s="365"/>
      <c r="B336" s="365"/>
      <c r="C336" s="365"/>
      <c r="D336" s="365"/>
      <c r="E336" s="365"/>
      <c r="F336" s="365"/>
      <c r="G336" s="365"/>
      <c r="H336" s="365"/>
      <c r="I336" s="365"/>
      <c r="J336" s="365"/>
      <c r="K336" s="365"/>
      <c r="L336" s="365"/>
      <c r="M336" s="365"/>
      <c r="N336" s="365"/>
      <c r="O336" s="365"/>
      <c r="P336" s="365"/>
      <c r="Q336" s="365"/>
      <c r="R336" s="365"/>
      <c r="S336" s="365"/>
      <c r="T336" s="365"/>
      <c r="U336" s="365"/>
      <c r="V336" s="365"/>
      <c r="W336" s="365"/>
      <c r="X336" s="365"/>
      <c r="Y336" s="365"/>
      <c r="Z336" s="365"/>
    </row>
    <row r="337" spans="1:26" ht="14.25" customHeight="1" x14ac:dyDescent="0.25">
      <c r="A337" s="365"/>
      <c r="B337" s="365"/>
      <c r="C337" s="365"/>
      <c r="D337" s="365"/>
      <c r="E337" s="365"/>
      <c r="F337" s="365"/>
      <c r="G337" s="365"/>
      <c r="H337" s="365"/>
      <c r="I337" s="365"/>
      <c r="J337" s="365"/>
      <c r="K337" s="365"/>
      <c r="L337" s="365"/>
      <c r="M337" s="365"/>
      <c r="N337" s="365"/>
      <c r="O337" s="365"/>
      <c r="P337" s="365"/>
      <c r="Q337" s="365"/>
      <c r="R337" s="365"/>
      <c r="S337" s="365"/>
      <c r="T337" s="365"/>
      <c r="U337" s="365"/>
      <c r="V337" s="365"/>
      <c r="W337" s="365"/>
      <c r="X337" s="365"/>
      <c r="Y337" s="365"/>
      <c r="Z337" s="365"/>
    </row>
    <row r="338" spans="1:26" ht="14.25" customHeight="1" x14ac:dyDescent="0.25">
      <c r="A338" s="365"/>
      <c r="B338" s="365"/>
      <c r="C338" s="365"/>
      <c r="D338" s="365"/>
      <c r="E338" s="365"/>
      <c r="F338" s="365"/>
      <c r="G338" s="365"/>
      <c r="H338" s="365"/>
      <c r="I338" s="365"/>
      <c r="J338" s="365"/>
      <c r="K338" s="365"/>
      <c r="L338" s="365"/>
      <c r="M338" s="365"/>
      <c r="N338" s="365"/>
      <c r="O338" s="365"/>
      <c r="P338" s="365"/>
      <c r="Q338" s="365"/>
      <c r="R338" s="365"/>
      <c r="S338" s="365"/>
      <c r="T338" s="365"/>
      <c r="U338" s="365"/>
      <c r="V338" s="365"/>
      <c r="W338" s="365"/>
      <c r="X338" s="365"/>
      <c r="Y338" s="365"/>
      <c r="Z338" s="365"/>
    </row>
    <row r="339" spans="1:26" ht="14.25" customHeight="1" x14ac:dyDescent="0.25">
      <c r="A339" s="365"/>
      <c r="B339" s="365"/>
      <c r="C339" s="365"/>
      <c r="D339" s="365"/>
      <c r="E339" s="365"/>
      <c r="F339" s="365"/>
      <c r="G339" s="365"/>
      <c r="H339" s="365"/>
      <c r="I339" s="365"/>
      <c r="J339" s="365"/>
      <c r="K339" s="365"/>
      <c r="L339" s="365"/>
      <c r="M339" s="365"/>
      <c r="N339" s="365"/>
      <c r="O339" s="365"/>
      <c r="P339" s="365"/>
      <c r="Q339" s="365"/>
      <c r="R339" s="365"/>
      <c r="S339" s="365"/>
      <c r="T339" s="365"/>
      <c r="U339" s="365"/>
      <c r="V339" s="365"/>
      <c r="W339" s="365"/>
      <c r="X339" s="365"/>
      <c r="Y339" s="365"/>
      <c r="Z339" s="365"/>
    </row>
    <row r="340" spans="1:26" ht="14.25" customHeight="1" x14ac:dyDescent="0.25">
      <c r="A340" s="365"/>
      <c r="B340" s="365"/>
      <c r="C340" s="365"/>
      <c r="D340" s="365"/>
      <c r="E340" s="365"/>
      <c r="F340" s="365"/>
      <c r="G340" s="365"/>
      <c r="H340" s="365"/>
      <c r="I340" s="365"/>
      <c r="J340" s="365"/>
      <c r="K340" s="365"/>
      <c r="L340" s="365"/>
      <c r="M340" s="365"/>
      <c r="N340" s="365"/>
      <c r="O340" s="365"/>
      <c r="P340" s="365"/>
      <c r="Q340" s="365"/>
      <c r="R340" s="365"/>
      <c r="S340" s="365"/>
      <c r="T340" s="365"/>
      <c r="U340" s="365"/>
      <c r="V340" s="365"/>
      <c r="W340" s="365"/>
      <c r="X340" s="365"/>
      <c r="Y340" s="365"/>
      <c r="Z340" s="365"/>
    </row>
    <row r="341" spans="1:26" ht="14.25" customHeight="1" x14ac:dyDescent="0.25">
      <c r="A341" s="365"/>
      <c r="B341" s="365"/>
      <c r="C341" s="365"/>
      <c r="D341" s="365"/>
      <c r="E341" s="365"/>
      <c r="F341" s="365"/>
      <c r="G341" s="365"/>
      <c r="H341" s="365"/>
      <c r="I341" s="365"/>
      <c r="J341" s="365"/>
      <c r="K341" s="365"/>
      <c r="L341" s="365"/>
      <c r="M341" s="365"/>
      <c r="N341" s="365"/>
      <c r="O341" s="365"/>
      <c r="P341" s="365"/>
      <c r="Q341" s="365"/>
      <c r="R341" s="365"/>
      <c r="S341" s="365"/>
      <c r="T341" s="365"/>
      <c r="U341" s="365"/>
      <c r="V341" s="365"/>
      <c r="W341" s="365"/>
      <c r="X341" s="365"/>
      <c r="Y341" s="365"/>
      <c r="Z341" s="365"/>
    </row>
    <row r="342" spans="1:26" ht="14.25" customHeight="1" x14ac:dyDescent="0.25">
      <c r="A342" s="365"/>
      <c r="B342" s="365"/>
      <c r="C342" s="365"/>
      <c r="D342" s="365"/>
      <c r="E342" s="365"/>
      <c r="F342" s="365"/>
      <c r="G342" s="365"/>
      <c r="H342" s="365"/>
      <c r="I342" s="365"/>
      <c r="J342" s="365"/>
      <c r="K342" s="365"/>
      <c r="L342" s="365"/>
      <c r="M342" s="365"/>
      <c r="N342" s="365"/>
      <c r="O342" s="365"/>
      <c r="P342" s="365"/>
      <c r="Q342" s="365"/>
      <c r="R342" s="365"/>
      <c r="S342" s="365"/>
      <c r="T342" s="365"/>
      <c r="U342" s="365"/>
      <c r="V342" s="365"/>
      <c r="W342" s="365"/>
      <c r="X342" s="365"/>
      <c r="Y342" s="365"/>
      <c r="Z342" s="365"/>
    </row>
    <row r="343" spans="1:26" ht="14.25" customHeight="1" x14ac:dyDescent="0.25">
      <c r="A343" s="365"/>
      <c r="B343" s="365"/>
      <c r="C343" s="365"/>
      <c r="D343" s="365"/>
      <c r="E343" s="365"/>
      <c r="F343" s="365"/>
      <c r="G343" s="365"/>
      <c r="H343" s="365"/>
      <c r="I343" s="365"/>
      <c r="J343" s="365"/>
      <c r="K343" s="365"/>
      <c r="L343" s="365"/>
      <c r="M343" s="365"/>
      <c r="N343" s="365"/>
      <c r="O343" s="365"/>
      <c r="P343" s="365"/>
      <c r="Q343" s="365"/>
      <c r="R343" s="365"/>
      <c r="S343" s="365"/>
      <c r="T343" s="365"/>
      <c r="U343" s="365"/>
      <c r="V343" s="365"/>
      <c r="W343" s="365"/>
      <c r="X343" s="365"/>
      <c r="Y343" s="365"/>
      <c r="Z343" s="365"/>
    </row>
    <row r="344" spans="1:26" ht="14.25" customHeight="1" x14ac:dyDescent="0.25">
      <c r="A344" s="365"/>
      <c r="B344" s="365"/>
      <c r="C344" s="365"/>
      <c r="D344" s="365"/>
      <c r="E344" s="365"/>
      <c r="F344" s="365"/>
      <c r="G344" s="365"/>
      <c r="H344" s="365"/>
      <c r="I344" s="365"/>
      <c r="J344" s="365"/>
      <c r="K344" s="365"/>
      <c r="L344" s="365"/>
      <c r="M344" s="365"/>
      <c r="N344" s="365"/>
      <c r="O344" s="365"/>
      <c r="P344" s="365"/>
      <c r="Q344" s="365"/>
      <c r="R344" s="365"/>
      <c r="S344" s="365"/>
      <c r="T344" s="365"/>
      <c r="U344" s="365"/>
      <c r="V344" s="365"/>
      <c r="W344" s="365"/>
      <c r="X344" s="365"/>
      <c r="Y344" s="365"/>
      <c r="Z344" s="365"/>
    </row>
    <row r="345" spans="1:26" ht="14.25" customHeight="1" x14ac:dyDescent="0.25">
      <c r="A345" s="365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65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</row>
    <row r="346" spans="1:26" ht="14.25" customHeight="1" x14ac:dyDescent="0.25">
      <c r="A346" s="365"/>
      <c r="B346" s="365"/>
      <c r="C346" s="365"/>
      <c r="D346" s="365"/>
      <c r="E346" s="365"/>
      <c r="F346" s="365"/>
      <c r="G346" s="365"/>
      <c r="H346" s="365"/>
      <c r="I346" s="365"/>
      <c r="J346" s="365"/>
      <c r="K346" s="365"/>
      <c r="L346" s="365"/>
      <c r="M346" s="365"/>
      <c r="N346" s="365"/>
      <c r="O346" s="365"/>
      <c r="P346" s="365"/>
      <c r="Q346" s="365"/>
      <c r="R346" s="365"/>
      <c r="S346" s="365"/>
      <c r="T346" s="365"/>
      <c r="U346" s="365"/>
      <c r="V346" s="365"/>
      <c r="W346" s="365"/>
      <c r="X346" s="365"/>
      <c r="Y346" s="365"/>
      <c r="Z346" s="365"/>
    </row>
    <row r="347" spans="1:26" ht="14.25" customHeight="1" x14ac:dyDescent="0.25">
      <c r="A347" s="365"/>
      <c r="B347" s="365"/>
      <c r="C347" s="365"/>
      <c r="D347" s="365"/>
      <c r="E347" s="365"/>
      <c r="F347" s="365"/>
      <c r="G347" s="365"/>
      <c r="H347" s="365"/>
      <c r="I347" s="365"/>
      <c r="J347" s="365"/>
      <c r="K347" s="365"/>
      <c r="L347" s="365"/>
      <c r="M347" s="365"/>
      <c r="N347" s="365"/>
      <c r="O347" s="365"/>
      <c r="P347" s="365"/>
      <c r="Q347" s="365"/>
      <c r="R347" s="365"/>
      <c r="S347" s="365"/>
      <c r="T347" s="365"/>
      <c r="U347" s="365"/>
      <c r="V347" s="365"/>
      <c r="W347" s="365"/>
      <c r="X347" s="365"/>
      <c r="Y347" s="365"/>
      <c r="Z347" s="365"/>
    </row>
    <row r="348" spans="1:26" ht="14.25" customHeight="1" x14ac:dyDescent="0.25">
      <c r="A348" s="365"/>
      <c r="B348" s="365"/>
      <c r="C348" s="365"/>
      <c r="D348" s="365"/>
      <c r="E348" s="365"/>
      <c r="F348" s="365"/>
      <c r="G348" s="365"/>
      <c r="H348" s="365"/>
      <c r="I348" s="365"/>
      <c r="J348" s="365"/>
      <c r="K348" s="365"/>
      <c r="L348" s="365"/>
      <c r="M348" s="365"/>
      <c r="N348" s="365"/>
      <c r="O348" s="365"/>
      <c r="P348" s="365"/>
      <c r="Q348" s="365"/>
      <c r="R348" s="365"/>
      <c r="S348" s="365"/>
      <c r="T348" s="365"/>
      <c r="U348" s="365"/>
      <c r="V348" s="365"/>
      <c r="W348" s="365"/>
      <c r="X348" s="365"/>
      <c r="Y348" s="365"/>
      <c r="Z348" s="365"/>
    </row>
    <row r="349" spans="1:26" ht="14.25" customHeight="1" x14ac:dyDescent="0.25">
      <c r="A349" s="365"/>
      <c r="B349" s="365"/>
      <c r="C349" s="365"/>
      <c r="D349" s="365"/>
      <c r="E349" s="365"/>
      <c r="F349" s="365"/>
      <c r="G349" s="365"/>
      <c r="H349" s="365"/>
      <c r="I349" s="365"/>
      <c r="J349" s="365"/>
      <c r="K349" s="365"/>
      <c r="L349" s="365"/>
      <c r="M349" s="365"/>
      <c r="N349" s="365"/>
      <c r="O349" s="365"/>
      <c r="P349" s="365"/>
      <c r="Q349" s="365"/>
      <c r="R349" s="365"/>
      <c r="S349" s="365"/>
      <c r="T349" s="365"/>
      <c r="U349" s="365"/>
      <c r="V349" s="365"/>
      <c r="W349" s="365"/>
      <c r="X349" s="365"/>
      <c r="Y349" s="365"/>
      <c r="Z349" s="365"/>
    </row>
    <row r="350" spans="1:26" ht="14.25" customHeight="1" x14ac:dyDescent="0.25">
      <c r="A350" s="365"/>
      <c r="B350" s="365"/>
      <c r="C350" s="365"/>
      <c r="D350" s="365"/>
      <c r="E350" s="365"/>
      <c r="F350" s="365"/>
      <c r="G350" s="365"/>
      <c r="H350" s="365"/>
      <c r="I350" s="365"/>
      <c r="J350" s="365"/>
      <c r="K350" s="365"/>
      <c r="L350" s="365"/>
      <c r="M350" s="365"/>
      <c r="N350" s="365"/>
      <c r="O350" s="365"/>
      <c r="P350" s="365"/>
      <c r="Q350" s="365"/>
      <c r="R350" s="365"/>
      <c r="S350" s="365"/>
      <c r="T350" s="365"/>
      <c r="U350" s="365"/>
      <c r="V350" s="365"/>
      <c r="W350" s="365"/>
      <c r="X350" s="365"/>
      <c r="Y350" s="365"/>
      <c r="Z350" s="365"/>
    </row>
    <row r="351" spans="1:26" ht="14.25" customHeight="1" x14ac:dyDescent="0.25">
      <c r="A351" s="365"/>
      <c r="B351" s="365"/>
      <c r="C351" s="365"/>
      <c r="D351" s="365"/>
      <c r="E351" s="365"/>
      <c r="F351" s="365"/>
      <c r="G351" s="365"/>
      <c r="H351" s="365"/>
      <c r="I351" s="365"/>
      <c r="J351" s="365"/>
      <c r="K351" s="365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  <c r="Y351" s="365"/>
      <c r="Z351" s="365"/>
    </row>
    <row r="352" spans="1:26" ht="14.25" customHeight="1" x14ac:dyDescent="0.25">
      <c r="A352" s="365"/>
      <c r="B352" s="365"/>
      <c r="C352" s="365"/>
      <c r="D352" s="365"/>
      <c r="E352" s="365"/>
      <c r="F352" s="365"/>
      <c r="G352" s="365"/>
      <c r="H352" s="365"/>
      <c r="I352" s="365"/>
      <c r="J352" s="365"/>
      <c r="K352" s="365"/>
      <c r="L352" s="365"/>
      <c r="M352" s="365"/>
      <c r="N352" s="365"/>
      <c r="O352" s="365"/>
      <c r="P352" s="365"/>
      <c r="Q352" s="365"/>
      <c r="R352" s="365"/>
      <c r="S352" s="365"/>
      <c r="T352" s="365"/>
      <c r="U352" s="365"/>
      <c r="V352" s="365"/>
      <c r="W352" s="365"/>
      <c r="X352" s="365"/>
      <c r="Y352" s="365"/>
      <c r="Z352" s="365"/>
    </row>
    <row r="353" spans="1:26" ht="14.25" customHeight="1" x14ac:dyDescent="0.25">
      <c r="A353" s="365"/>
      <c r="B353" s="365"/>
      <c r="C353" s="365"/>
      <c r="D353" s="365"/>
      <c r="E353" s="365"/>
      <c r="F353" s="365"/>
      <c r="G353" s="365"/>
      <c r="H353" s="365"/>
      <c r="I353" s="365"/>
      <c r="J353" s="365"/>
      <c r="K353" s="365"/>
      <c r="L353" s="365"/>
      <c r="M353" s="365"/>
      <c r="N353" s="365"/>
      <c r="O353" s="365"/>
      <c r="P353" s="365"/>
      <c r="Q353" s="365"/>
      <c r="R353" s="365"/>
      <c r="S353" s="365"/>
      <c r="T353" s="365"/>
      <c r="U353" s="365"/>
      <c r="V353" s="365"/>
      <c r="W353" s="365"/>
      <c r="X353" s="365"/>
      <c r="Y353" s="365"/>
      <c r="Z353" s="365"/>
    </row>
    <row r="354" spans="1:26" ht="14.25" customHeight="1" x14ac:dyDescent="0.25">
      <c r="A354" s="365"/>
      <c r="B354" s="365"/>
      <c r="C354" s="365"/>
      <c r="D354" s="365"/>
      <c r="E354" s="365"/>
      <c r="F354" s="365"/>
      <c r="G354" s="365"/>
      <c r="H354" s="365"/>
      <c r="I354" s="365"/>
      <c r="J354" s="365"/>
      <c r="K354" s="365"/>
      <c r="L354" s="365"/>
      <c r="M354" s="365"/>
      <c r="N354" s="365"/>
      <c r="O354" s="365"/>
      <c r="P354" s="365"/>
      <c r="Q354" s="365"/>
      <c r="R354" s="365"/>
      <c r="S354" s="365"/>
      <c r="T354" s="365"/>
      <c r="U354" s="365"/>
      <c r="V354" s="365"/>
      <c r="W354" s="365"/>
      <c r="X354" s="365"/>
      <c r="Y354" s="365"/>
      <c r="Z354" s="365"/>
    </row>
    <row r="355" spans="1:26" ht="14.25" customHeight="1" x14ac:dyDescent="0.25">
      <c r="A355" s="365"/>
      <c r="B355" s="365"/>
      <c r="C355" s="365"/>
      <c r="D355" s="365"/>
      <c r="E355" s="365"/>
      <c r="F355" s="365"/>
      <c r="G355" s="365"/>
      <c r="H355" s="365"/>
      <c r="I355" s="365"/>
      <c r="J355" s="365"/>
      <c r="K355" s="365"/>
      <c r="L355" s="365"/>
      <c r="M355" s="365"/>
      <c r="N355" s="365"/>
      <c r="O355" s="365"/>
      <c r="P355" s="365"/>
      <c r="Q355" s="365"/>
      <c r="R355" s="365"/>
      <c r="S355" s="365"/>
      <c r="T355" s="365"/>
      <c r="U355" s="365"/>
      <c r="V355" s="365"/>
      <c r="W355" s="365"/>
      <c r="X355" s="365"/>
      <c r="Y355" s="365"/>
      <c r="Z355" s="365"/>
    </row>
    <row r="356" spans="1:26" ht="14.25" customHeight="1" x14ac:dyDescent="0.25">
      <c r="A356" s="365"/>
      <c r="B356" s="365"/>
      <c r="C356" s="365"/>
      <c r="D356" s="365"/>
      <c r="E356" s="365"/>
      <c r="F356" s="365"/>
      <c r="G356" s="365"/>
      <c r="H356" s="365"/>
      <c r="I356" s="365"/>
      <c r="J356" s="365"/>
      <c r="K356" s="365"/>
      <c r="L356" s="365"/>
      <c r="M356" s="365"/>
      <c r="N356" s="365"/>
      <c r="O356" s="365"/>
      <c r="P356" s="365"/>
      <c r="Q356" s="365"/>
      <c r="R356" s="365"/>
      <c r="S356" s="365"/>
      <c r="T356" s="365"/>
      <c r="U356" s="365"/>
      <c r="V356" s="365"/>
      <c r="W356" s="365"/>
      <c r="X356" s="365"/>
      <c r="Y356" s="365"/>
      <c r="Z356" s="365"/>
    </row>
    <row r="357" spans="1:26" ht="14.25" customHeight="1" x14ac:dyDescent="0.25">
      <c r="A357" s="365"/>
      <c r="B357" s="365"/>
      <c r="C357" s="365"/>
      <c r="D357" s="365"/>
      <c r="E357" s="365"/>
      <c r="F357" s="365"/>
      <c r="G357" s="365"/>
      <c r="H357" s="365"/>
      <c r="I357" s="365"/>
      <c r="J357" s="365"/>
      <c r="K357" s="365"/>
      <c r="L357" s="365"/>
      <c r="M357" s="365"/>
      <c r="N357" s="365"/>
      <c r="O357" s="365"/>
      <c r="P357" s="365"/>
      <c r="Q357" s="365"/>
      <c r="R357" s="365"/>
      <c r="S357" s="365"/>
      <c r="T357" s="365"/>
      <c r="U357" s="365"/>
      <c r="V357" s="365"/>
      <c r="W357" s="365"/>
      <c r="X357" s="365"/>
      <c r="Y357" s="365"/>
      <c r="Z357" s="365"/>
    </row>
    <row r="358" spans="1:26" ht="14.25" customHeight="1" x14ac:dyDescent="0.25">
      <c r="A358" s="365"/>
      <c r="B358" s="365"/>
      <c r="C358" s="365"/>
      <c r="D358" s="365"/>
      <c r="E358" s="365"/>
      <c r="F358" s="365"/>
      <c r="G358" s="365"/>
      <c r="H358" s="365"/>
      <c r="I358" s="365"/>
      <c r="J358" s="365"/>
      <c r="K358" s="365"/>
      <c r="L358" s="365"/>
      <c r="M358" s="365"/>
      <c r="N358" s="365"/>
      <c r="O358" s="365"/>
      <c r="P358" s="365"/>
      <c r="Q358" s="365"/>
      <c r="R358" s="365"/>
      <c r="S358" s="365"/>
      <c r="T358" s="365"/>
      <c r="U358" s="365"/>
      <c r="V358" s="365"/>
      <c r="W358" s="365"/>
      <c r="X358" s="365"/>
      <c r="Y358" s="365"/>
      <c r="Z358" s="365"/>
    </row>
    <row r="359" spans="1:26" ht="14.25" customHeight="1" x14ac:dyDescent="0.25">
      <c r="A359" s="365"/>
      <c r="B359" s="365"/>
      <c r="C359" s="365"/>
      <c r="D359" s="365"/>
      <c r="E359" s="365"/>
      <c r="F359" s="365"/>
      <c r="G359" s="365"/>
      <c r="H359" s="365"/>
      <c r="I359" s="365"/>
      <c r="J359" s="365"/>
      <c r="K359" s="365"/>
      <c r="L359" s="365"/>
      <c r="M359" s="365"/>
      <c r="N359" s="365"/>
      <c r="O359" s="365"/>
      <c r="P359" s="365"/>
      <c r="Q359" s="365"/>
      <c r="R359" s="365"/>
      <c r="S359" s="365"/>
      <c r="T359" s="365"/>
      <c r="U359" s="365"/>
      <c r="V359" s="365"/>
      <c r="W359" s="365"/>
      <c r="X359" s="365"/>
      <c r="Y359" s="365"/>
      <c r="Z359" s="365"/>
    </row>
    <row r="360" spans="1:26" ht="14.25" customHeight="1" x14ac:dyDescent="0.25">
      <c r="A360" s="365"/>
      <c r="B360" s="365"/>
      <c r="C360" s="365"/>
      <c r="D360" s="365"/>
      <c r="E360" s="365"/>
      <c r="F360" s="365"/>
      <c r="G360" s="365"/>
      <c r="H360" s="365"/>
      <c r="I360" s="365"/>
      <c r="J360" s="365"/>
      <c r="K360" s="365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  <c r="Y360" s="365"/>
      <c r="Z360" s="365"/>
    </row>
    <row r="361" spans="1:26" ht="14.25" customHeight="1" x14ac:dyDescent="0.25">
      <c r="A361" s="365"/>
      <c r="B361" s="365"/>
      <c r="C361" s="365"/>
      <c r="D361" s="365"/>
      <c r="E361" s="365"/>
      <c r="F361" s="365"/>
      <c r="G361" s="365"/>
      <c r="H361" s="365"/>
      <c r="I361" s="365"/>
      <c r="J361" s="365"/>
      <c r="K361" s="365"/>
      <c r="L361" s="365"/>
      <c r="M361" s="365"/>
      <c r="N361" s="365"/>
      <c r="O361" s="365"/>
      <c r="P361" s="365"/>
      <c r="Q361" s="365"/>
      <c r="R361" s="365"/>
      <c r="S361" s="365"/>
      <c r="T361" s="365"/>
      <c r="U361" s="365"/>
      <c r="V361" s="365"/>
      <c r="W361" s="365"/>
      <c r="X361" s="365"/>
      <c r="Y361" s="365"/>
      <c r="Z361" s="365"/>
    </row>
    <row r="362" spans="1:26" ht="14.25" customHeight="1" x14ac:dyDescent="0.25">
      <c r="A362" s="365"/>
      <c r="B362" s="365"/>
      <c r="C362" s="365"/>
      <c r="D362" s="365"/>
      <c r="E362" s="365"/>
      <c r="F362" s="365"/>
      <c r="G362" s="365"/>
      <c r="H362" s="365"/>
      <c r="I362" s="365"/>
      <c r="J362" s="365"/>
      <c r="K362" s="365"/>
      <c r="L362" s="365"/>
      <c r="M362" s="365"/>
      <c r="N362" s="365"/>
      <c r="O362" s="365"/>
      <c r="P362" s="365"/>
      <c r="Q362" s="365"/>
      <c r="R362" s="365"/>
      <c r="S362" s="365"/>
      <c r="T362" s="365"/>
      <c r="U362" s="365"/>
      <c r="V362" s="365"/>
      <c r="W362" s="365"/>
      <c r="X362" s="365"/>
      <c r="Y362" s="365"/>
      <c r="Z362" s="365"/>
    </row>
    <row r="363" spans="1:26" ht="14.25" customHeight="1" x14ac:dyDescent="0.25">
      <c r="A363" s="365"/>
      <c r="B363" s="365"/>
      <c r="C363" s="365"/>
      <c r="D363" s="365"/>
      <c r="E363" s="365"/>
      <c r="F363" s="365"/>
      <c r="G363" s="365"/>
      <c r="H363" s="365"/>
      <c r="I363" s="365"/>
      <c r="J363" s="365"/>
      <c r="K363" s="365"/>
      <c r="L363" s="365"/>
      <c r="M363" s="365"/>
      <c r="N363" s="365"/>
      <c r="O363" s="365"/>
      <c r="P363" s="365"/>
      <c r="Q363" s="365"/>
      <c r="R363" s="365"/>
      <c r="S363" s="365"/>
      <c r="T363" s="365"/>
      <c r="U363" s="365"/>
      <c r="V363" s="365"/>
      <c r="W363" s="365"/>
      <c r="X363" s="365"/>
      <c r="Y363" s="365"/>
      <c r="Z363" s="365"/>
    </row>
    <row r="364" spans="1:26" ht="14.25" customHeight="1" x14ac:dyDescent="0.25">
      <c r="A364" s="365"/>
      <c r="B364" s="365"/>
      <c r="C364" s="365"/>
      <c r="D364" s="365"/>
      <c r="E364" s="365"/>
      <c r="F364" s="365"/>
      <c r="G364" s="365"/>
      <c r="H364" s="365"/>
      <c r="I364" s="365"/>
      <c r="J364" s="365"/>
      <c r="K364" s="365"/>
      <c r="L364" s="365"/>
      <c r="M364" s="365"/>
      <c r="N364" s="365"/>
      <c r="O364" s="365"/>
      <c r="P364" s="365"/>
      <c r="Q364" s="365"/>
      <c r="R364" s="365"/>
      <c r="S364" s="365"/>
      <c r="T364" s="365"/>
      <c r="U364" s="365"/>
      <c r="V364" s="365"/>
      <c r="W364" s="365"/>
      <c r="X364" s="365"/>
      <c r="Y364" s="365"/>
      <c r="Z364" s="365"/>
    </row>
    <row r="365" spans="1:26" ht="14.25" customHeight="1" x14ac:dyDescent="0.25">
      <c r="A365" s="365"/>
      <c r="B365" s="365"/>
      <c r="C365" s="365"/>
      <c r="D365" s="365"/>
      <c r="E365" s="365"/>
      <c r="F365" s="365"/>
      <c r="G365" s="365"/>
      <c r="H365" s="365"/>
      <c r="I365" s="365"/>
      <c r="J365" s="365"/>
      <c r="K365" s="365"/>
      <c r="L365" s="365"/>
      <c r="M365" s="365"/>
      <c r="N365" s="365"/>
      <c r="O365" s="365"/>
      <c r="P365" s="365"/>
      <c r="Q365" s="365"/>
      <c r="R365" s="365"/>
      <c r="S365" s="365"/>
      <c r="T365" s="365"/>
      <c r="U365" s="365"/>
      <c r="V365" s="365"/>
      <c r="W365" s="365"/>
      <c r="X365" s="365"/>
      <c r="Y365" s="365"/>
      <c r="Z365" s="365"/>
    </row>
    <row r="366" spans="1:26" ht="14.25" customHeight="1" x14ac:dyDescent="0.25">
      <c r="A366" s="365"/>
      <c r="B366" s="365"/>
      <c r="C366" s="365"/>
      <c r="D366" s="365"/>
      <c r="E366" s="365"/>
      <c r="F366" s="365"/>
      <c r="G366" s="365"/>
      <c r="H366" s="365"/>
      <c r="I366" s="365"/>
      <c r="J366" s="365"/>
      <c r="K366" s="365"/>
      <c r="L366" s="365"/>
      <c r="M366" s="365"/>
      <c r="N366" s="365"/>
      <c r="O366" s="365"/>
      <c r="P366" s="365"/>
      <c r="Q366" s="365"/>
      <c r="R366" s="365"/>
      <c r="S366" s="365"/>
      <c r="T366" s="365"/>
      <c r="U366" s="365"/>
      <c r="V366" s="365"/>
      <c r="W366" s="365"/>
      <c r="X366" s="365"/>
      <c r="Y366" s="365"/>
      <c r="Z366" s="365"/>
    </row>
    <row r="367" spans="1:26" ht="14.25" customHeight="1" x14ac:dyDescent="0.25">
      <c r="A367" s="365"/>
      <c r="B367" s="365"/>
      <c r="C367" s="365"/>
      <c r="D367" s="365"/>
      <c r="E367" s="365"/>
      <c r="F367" s="365"/>
      <c r="G367" s="365"/>
      <c r="H367" s="365"/>
      <c r="I367" s="365"/>
      <c r="J367" s="365"/>
      <c r="K367" s="365"/>
      <c r="L367" s="365"/>
      <c r="M367" s="365"/>
      <c r="N367" s="365"/>
      <c r="O367" s="365"/>
      <c r="P367" s="365"/>
      <c r="Q367" s="365"/>
      <c r="R367" s="365"/>
      <c r="S367" s="365"/>
      <c r="T367" s="365"/>
      <c r="U367" s="365"/>
      <c r="V367" s="365"/>
      <c r="W367" s="365"/>
      <c r="X367" s="365"/>
      <c r="Y367" s="365"/>
      <c r="Z367" s="365"/>
    </row>
    <row r="368" spans="1:26" ht="14.25" customHeight="1" x14ac:dyDescent="0.25">
      <c r="A368" s="365"/>
      <c r="B368" s="365"/>
      <c r="C368" s="365"/>
      <c r="D368" s="365"/>
      <c r="E368" s="365"/>
      <c r="F368" s="365"/>
      <c r="G368" s="365"/>
      <c r="H368" s="365"/>
      <c r="I368" s="365"/>
      <c r="J368" s="365"/>
      <c r="K368" s="365"/>
      <c r="L368" s="365"/>
      <c r="M368" s="365"/>
      <c r="N368" s="365"/>
      <c r="O368" s="365"/>
      <c r="P368" s="365"/>
      <c r="Q368" s="365"/>
      <c r="R368" s="365"/>
      <c r="S368" s="365"/>
      <c r="T368" s="365"/>
      <c r="U368" s="365"/>
      <c r="V368" s="365"/>
      <c r="W368" s="365"/>
      <c r="X368" s="365"/>
      <c r="Y368" s="365"/>
      <c r="Z368" s="365"/>
    </row>
    <row r="369" spans="1:26" ht="14.25" customHeight="1" x14ac:dyDescent="0.25">
      <c r="A369" s="365"/>
      <c r="B369" s="365"/>
      <c r="C369" s="365"/>
      <c r="D369" s="365"/>
      <c r="E369" s="365"/>
      <c r="F369" s="365"/>
      <c r="G369" s="365"/>
      <c r="H369" s="365"/>
      <c r="I369" s="365"/>
      <c r="J369" s="365"/>
      <c r="K369" s="365"/>
      <c r="L369" s="365"/>
      <c r="M369" s="365"/>
      <c r="N369" s="365"/>
      <c r="O369" s="365"/>
      <c r="P369" s="365"/>
      <c r="Q369" s="365"/>
      <c r="R369" s="365"/>
      <c r="S369" s="365"/>
      <c r="T369" s="365"/>
      <c r="U369" s="365"/>
      <c r="V369" s="365"/>
      <c r="W369" s="365"/>
      <c r="X369" s="365"/>
      <c r="Y369" s="365"/>
      <c r="Z369" s="365"/>
    </row>
    <row r="370" spans="1:26" ht="14.25" customHeight="1" x14ac:dyDescent="0.25">
      <c r="A370" s="365"/>
      <c r="B370" s="365"/>
      <c r="C370" s="365"/>
      <c r="D370" s="365"/>
      <c r="E370" s="365"/>
      <c r="F370" s="365"/>
      <c r="G370" s="365"/>
      <c r="H370" s="365"/>
      <c r="I370" s="365"/>
      <c r="J370" s="365"/>
      <c r="K370" s="365"/>
      <c r="L370" s="365"/>
      <c r="M370" s="365"/>
      <c r="N370" s="365"/>
      <c r="O370" s="365"/>
      <c r="P370" s="365"/>
      <c r="Q370" s="365"/>
      <c r="R370" s="365"/>
      <c r="S370" s="365"/>
      <c r="T370" s="365"/>
      <c r="U370" s="365"/>
      <c r="V370" s="365"/>
      <c r="W370" s="365"/>
      <c r="X370" s="365"/>
      <c r="Y370" s="365"/>
      <c r="Z370" s="365"/>
    </row>
    <row r="371" spans="1:26" ht="14.25" customHeight="1" x14ac:dyDescent="0.25">
      <c r="A371" s="365"/>
      <c r="B371" s="365"/>
      <c r="C371" s="365"/>
      <c r="D371" s="365"/>
      <c r="E371" s="365"/>
      <c r="F371" s="365"/>
      <c r="G371" s="365"/>
      <c r="H371" s="365"/>
      <c r="I371" s="365"/>
      <c r="J371" s="365"/>
      <c r="K371" s="365"/>
      <c r="L371" s="365"/>
      <c r="M371" s="365"/>
      <c r="N371" s="365"/>
      <c r="O371" s="365"/>
      <c r="P371" s="365"/>
      <c r="Q371" s="365"/>
      <c r="R371" s="365"/>
      <c r="S371" s="365"/>
      <c r="T371" s="365"/>
      <c r="U371" s="365"/>
      <c r="V371" s="365"/>
      <c r="W371" s="365"/>
      <c r="X371" s="365"/>
      <c r="Y371" s="365"/>
      <c r="Z371" s="365"/>
    </row>
    <row r="372" spans="1:26" ht="14.25" customHeight="1" x14ac:dyDescent="0.25">
      <c r="A372" s="365"/>
      <c r="B372" s="365"/>
      <c r="C372" s="365"/>
      <c r="D372" s="365"/>
      <c r="E372" s="365"/>
      <c r="F372" s="365"/>
      <c r="G372" s="365"/>
      <c r="H372" s="365"/>
      <c r="I372" s="365"/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  <c r="T372" s="365"/>
      <c r="U372" s="365"/>
      <c r="V372" s="365"/>
      <c r="W372" s="365"/>
      <c r="X372" s="365"/>
      <c r="Y372" s="365"/>
      <c r="Z372" s="365"/>
    </row>
    <row r="373" spans="1:26" ht="14.25" customHeight="1" x14ac:dyDescent="0.25">
      <c r="A373" s="365"/>
      <c r="B373" s="365"/>
      <c r="C373" s="365"/>
      <c r="D373" s="365"/>
      <c r="E373" s="365"/>
      <c r="F373" s="365"/>
      <c r="G373" s="365"/>
      <c r="H373" s="365"/>
      <c r="I373" s="365"/>
      <c r="J373" s="365"/>
      <c r="K373" s="365"/>
      <c r="L373" s="365"/>
      <c r="M373" s="365"/>
      <c r="N373" s="365"/>
      <c r="O373" s="365"/>
      <c r="P373" s="365"/>
      <c r="Q373" s="365"/>
      <c r="R373" s="365"/>
      <c r="S373" s="365"/>
      <c r="T373" s="365"/>
      <c r="U373" s="365"/>
      <c r="V373" s="365"/>
      <c r="W373" s="365"/>
      <c r="X373" s="365"/>
      <c r="Y373" s="365"/>
      <c r="Z373" s="365"/>
    </row>
    <row r="374" spans="1:26" ht="14.25" customHeight="1" x14ac:dyDescent="0.25">
      <c r="A374" s="365"/>
      <c r="B374" s="365"/>
      <c r="C374" s="365"/>
      <c r="D374" s="365"/>
      <c r="E374" s="365"/>
      <c r="F374" s="365"/>
      <c r="G374" s="365"/>
      <c r="H374" s="365"/>
      <c r="I374" s="365"/>
      <c r="J374" s="365"/>
      <c r="K374" s="365"/>
      <c r="L374" s="365"/>
      <c r="M374" s="365"/>
      <c r="N374" s="365"/>
      <c r="O374" s="365"/>
      <c r="P374" s="365"/>
      <c r="Q374" s="365"/>
      <c r="R374" s="365"/>
      <c r="S374" s="365"/>
      <c r="T374" s="365"/>
      <c r="U374" s="365"/>
      <c r="V374" s="365"/>
      <c r="W374" s="365"/>
      <c r="X374" s="365"/>
      <c r="Y374" s="365"/>
      <c r="Z374" s="365"/>
    </row>
    <row r="375" spans="1:26" ht="14.25" customHeight="1" x14ac:dyDescent="0.25">
      <c r="A375" s="365"/>
      <c r="B375" s="365"/>
      <c r="C375" s="365"/>
      <c r="D375" s="365"/>
      <c r="E375" s="365"/>
      <c r="F375" s="365"/>
      <c r="G375" s="365"/>
      <c r="H375" s="365"/>
      <c r="I375" s="365"/>
      <c r="J375" s="365"/>
      <c r="K375" s="365"/>
      <c r="L375" s="365"/>
      <c r="M375" s="365"/>
      <c r="N375" s="365"/>
      <c r="O375" s="365"/>
      <c r="P375" s="365"/>
      <c r="Q375" s="365"/>
      <c r="R375" s="365"/>
      <c r="S375" s="365"/>
      <c r="T375" s="365"/>
      <c r="U375" s="365"/>
      <c r="V375" s="365"/>
      <c r="W375" s="365"/>
      <c r="X375" s="365"/>
      <c r="Y375" s="365"/>
      <c r="Z375" s="365"/>
    </row>
    <row r="376" spans="1:26" ht="14.25" customHeight="1" x14ac:dyDescent="0.25">
      <c r="A376" s="365"/>
      <c r="B376" s="365"/>
      <c r="C376" s="365"/>
      <c r="D376" s="365"/>
      <c r="E376" s="365"/>
      <c r="F376" s="365"/>
      <c r="G376" s="365"/>
      <c r="H376" s="365"/>
      <c r="I376" s="365"/>
      <c r="J376" s="365"/>
      <c r="K376" s="365"/>
      <c r="L376" s="365"/>
      <c r="M376" s="365"/>
      <c r="N376" s="365"/>
      <c r="O376" s="365"/>
      <c r="P376" s="365"/>
      <c r="Q376" s="365"/>
      <c r="R376" s="365"/>
      <c r="S376" s="365"/>
      <c r="T376" s="365"/>
      <c r="U376" s="365"/>
      <c r="V376" s="365"/>
      <c r="W376" s="365"/>
      <c r="X376" s="365"/>
      <c r="Y376" s="365"/>
      <c r="Z376" s="365"/>
    </row>
    <row r="377" spans="1:26" ht="14.25" customHeight="1" x14ac:dyDescent="0.25">
      <c r="A377" s="365"/>
      <c r="B377" s="365"/>
      <c r="C377" s="365"/>
      <c r="D377" s="365"/>
      <c r="E377" s="365"/>
      <c r="F377" s="365"/>
      <c r="G377" s="365"/>
      <c r="H377" s="365"/>
      <c r="I377" s="365"/>
      <c r="J377" s="365"/>
      <c r="K377" s="365"/>
      <c r="L377" s="365"/>
      <c r="M377" s="365"/>
      <c r="N377" s="365"/>
      <c r="O377" s="365"/>
      <c r="P377" s="365"/>
      <c r="Q377" s="365"/>
      <c r="R377" s="365"/>
      <c r="S377" s="365"/>
      <c r="T377" s="365"/>
      <c r="U377" s="365"/>
      <c r="V377" s="365"/>
      <c r="W377" s="365"/>
      <c r="X377" s="365"/>
      <c r="Y377" s="365"/>
      <c r="Z377" s="365"/>
    </row>
    <row r="378" spans="1:26" ht="14.25" customHeight="1" x14ac:dyDescent="0.25">
      <c r="A378" s="365"/>
      <c r="B378" s="365"/>
      <c r="C378" s="365"/>
      <c r="D378" s="365"/>
      <c r="E378" s="365"/>
      <c r="F378" s="365"/>
      <c r="G378" s="365"/>
      <c r="H378" s="365"/>
      <c r="I378" s="365"/>
      <c r="J378" s="365"/>
      <c r="K378" s="365"/>
      <c r="L378" s="365"/>
      <c r="M378" s="365"/>
      <c r="N378" s="365"/>
      <c r="O378" s="365"/>
      <c r="P378" s="365"/>
      <c r="Q378" s="365"/>
      <c r="R378" s="365"/>
      <c r="S378" s="365"/>
      <c r="T378" s="365"/>
      <c r="U378" s="365"/>
      <c r="V378" s="365"/>
      <c r="W378" s="365"/>
      <c r="X378" s="365"/>
      <c r="Y378" s="365"/>
      <c r="Z378" s="365"/>
    </row>
    <row r="379" spans="1:26" ht="14.25" customHeight="1" x14ac:dyDescent="0.25">
      <c r="A379" s="365"/>
      <c r="B379" s="365"/>
      <c r="C379" s="365"/>
      <c r="D379" s="365"/>
      <c r="E379" s="365"/>
      <c r="F379" s="365"/>
      <c r="G379" s="365"/>
      <c r="H379" s="365"/>
      <c r="I379" s="365"/>
      <c r="J379" s="365"/>
      <c r="K379" s="365"/>
      <c r="L379" s="365"/>
      <c r="M379" s="365"/>
      <c r="N379" s="365"/>
      <c r="O379" s="365"/>
      <c r="P379" s="365"/>
      <c r="Q379" s="365"/>
      <c r="R379" s="365"/>
      <c r="S379" s="365"/>
      <c r="T379" s="365"/>
      <c r="U379" s="365"/>
      <c r="V379" s="365"/>
      <c r="W379" s="365"/>
      <c r="X379" s="365"/>
      <c r="Y379" s="365"/>
      <c r="Z379" s="365"/>
    </row>
    <row r="380" spans="1:26" ht="14.25" customHeight="1" x14ac:dyDescent="0.25">
      <c r="A380" s="365"/>
      <c r="B380" s="365"/>
      <c r="C380" s="365"/>
      <c r="D380" s="365"/>
      <c r="E380" s="365"/>
      <c r="F380" s="365"/>
      <c r="G380" s="365"/>
      <c r="H380" s="365"/>
      <c r="I380" s="365"/>
      <c r="J380" s="365"/>
      <c r="K380" s="365"/>
      <c r="L380" s="365"/>
      <c r="M380" s="365"/>
      <c r="N380" s="365"/>
      <c r="O380" s="365"/>
      <c r="P380" s="365"/>
      <c r="Q380" s="365"/>
      <c r="R380" s="365"/>
      <c r="S380" s="365"/>
      <c r="T380" s="365"/>
      <c r="U380" s="365"/>
      <c r="V380" s="365"/>
      <c r="W380" s="365"/>
      <c r="X380" s="365"/>
      <c r="Y380" s="365"/>
      <c r="Z380" s="365"/>
    </row>
    <row r="381" spans="1:26" ht="14.25" customHeight="1" x14ac:dyDescent="0.25">
      <c r="A381" s="365"/>
      <c r="B381" s="365"/>
      <c r="C381" s="365"/>
      <c r="D381" s="365"/>
      <c r="E381" s="365"/>
      <c r="F381" s="365"/>
      <c r="G381" s="365"/>
      <c r="H381" s="365"/>
      <c r="I381" s="365"/>
      <c r="J381" s="365"/>
      <c r="K381" s="365"/>
      <c r="L381" s="365"/>
      <c r="M381" s="365"/>
      <c r="N381" s="365"/>
      <c r="O381" s="365"/>
      <c r="P381" s="365"/>
      <c r="Q381" s="365"/>
      <c r="R381" s="365"/>
      <c r="S381" s="365"/>
      <c r="T381" s="365"/>
      <c r="U381" s="365"/>
      <c r="V381" s="365"/>
      <c r="W381" s="365"/>
      <c r="X381" s="365"/>
      <c r="Y381" s="365"/>
      <c r="Z381" s="365"/>
    </row>
    <row r="382" spans="1:26" ht="14.25" customHeight="1" x14ac:dyDescent="0.25">
      <c r="A382" s="365"/>
      <c r="B382" s="365"/>
      <c r="C382" s="365"/>
      <c r="D382" s="365"/>
      <c r="E382" s="365"/>
      <c r="F382" s="365"/>
      <c r="G382" s="365"/>
      <c r="H382" s="365"/>
      <c r="I382" s="365"/>
      <c r="J382" s="365"/>
      <c r="K382" s="365"/>
      <c r="L382" s="365"/>
      <c r="M382" s="365"/>
      <c r="N382" s="365"/>
      <c r="O382" s="365"/>
      <c r="P382" s="365"/>
      <c r="Q382" s="365"/>
      <c r="R382" s="365"/>
      <c r="S382" s="365"/>
      <c r="T382" s="365"/>
      <c r="U382" s="365"/>
      <c r="V382" s="365"/>
      <c r="W382" s="365"/>
      <c r="X382" s="365"/>
      <c r="Y382" s="365"/>
      <c r="Z382" s="365"/>
    </row>
    <row r="383" spans="1:26" ht="14.25" customHeight="1" x14ac:dyDescent="0.25">
      <c r="A383" s="365"/>
      <c r="B383" s="365"/>
      <c r="C383" s="365"/>
      <c r="D383" s="365"/>
      <c r="E383" s="365"/>
      <c r="F383" s="365"/>
      <c r="G383" s="365"/>
      <c r="H383" s="365"/>
      <c r="I383" s="365"/>
      <c r="J383" s="365"/>
      <c r="K383" s="365"/>
      <c r="L383" s="365"/>
      <c r="M383" s="365"/>
      <c r="N383" s="365"/>
      <c r="O383" s="365"/>
      <c r="P383" s="365"/>
      <c r="Q383" s="365"/>
      <c r="R383" s="365"/>
      <c r="S383" s="365"/>
      <c r="T383" s="365"/>
      <c r="U383" s="365"/>
      <c r="V383" s="365"/>
      <c r="W383" s="365"/>
      <c r="X383" s="365"/>
      <c r="Y383" s="365"/>
      <c r="Z383" s="365"/>
    </row>
    <row r="384" spans="1:26" ht="14.25" customHeight="1" x14ac:dyDescent="0.25">
      <c r="A384" s="365"/>
      <c r="B384" s="365"/>
      <c r="C384" s="365"/>
      <c r="D384" s="365"/>
      <c r="E384" s="365"/>
      <c r="F384" s="365"/>
      <c r="G384" s="365"/>
      <c r="H384" s="365"/>
      <c r="I384" s="365"/>
      <c r="J384" s="365"/>
      <c r="K384" s="365"/>
      <c r="L384" s="365"/>
      <c r="M384" s="365"/>
      <c r="N384" s="365"/>
      <c r="O384" s="365"/>
      <c r="P384" s="365"/>
      <c r="Q384" s="365"/>
      <c r="R384" s="365"/>
      <c r="S384" s="365"/>
      <c r="T384" s="365"/>
      <c r="U384" s="365"/>
      <c r="V384" s="365"/>
      <c r="W384" s="365"/>
      <c r="X384" s="365"/>
      <c r="Y384" s="365"/>
      <c r="Z384" s="365"/>
    </row>
    <row r="385" spans="1:26" ht="14.25" customHeight="1" x14ac:dyDescent="0.25">
      <c r="A385" s="365"/>
      <c r="B385" s="365"/>
      <c r="C385" s="365"/>
      <c r="D385" s="365"/>
      <c r="E385" s="365"/>
      <c r="F385" s="365"/>
      <c r="G385" s="365"/>
      <c r="H385" s="365"/>
      <c r="I385" s="365"/>
      <c r="J385" s="365"/>
      <c r="K385" s="365"/>
      <c r="L385" s="365"/>
      <c r="M385" s="365"/>
      <c r="N385" s="365"/>
      <c r="O385" s="365"/>
      <c r="P385" s="365"/>
      <c r="Q385" s="365"/>
      <c r="R385" s="365"/>
      <c r="S385" s="365"/>
      <c r="T385" s="365"/>
      <c r="U385" s="365"/>
      <c r="V385" s="365"/>
      <c r="W385" s="365"/>
      <c r="X385" s="365"/>
      <c r="Y385" s="365"/>
      <c r="Z385" s="365"/>
    </row>
    <row r="386" spans="1:26" ht="14.25" customHeight="1" x14ac:dyDescent="0.25">
      <c r="A386" s="365"/>
      <c r="B386" s="365"/>
      <c r="C386" s="365"/>
      <c r="D386" s="365"/>
      <c r="E386" s="365"/>
      <c r="F386" s="365"/>
      <c r="G386" s="365"/>
      <c r="H386" s="365"/>
      <c r="I386" s="365"/>
      <c r="J386" s="365"/>
      <c r="K386" s="365"/>
      <c r="L386" s="365"/>
      <c r="M386" s="365"/>
      <c r="N386" s="365"/>
      <c r="O386" s="365"/>
      <c r="P386" s="365"/>
      <c r="Q386" s="365"/>
      <c r="R386" s="365"/>
      <c r="S386" s="365"/>
      <c r="T386" s="365"/>
      <c r="U386" s="365"/>
      <c r="V386" s="365"/>
      <c r="W386" s="365"/>
      <c r="X386" s="365"/>
      <c r="Y386" s="365"/>
      <c r="Z386" s="365"/>
    </row>
    <row r="387" spans="1:26" ht="14.25" customHeight="1" x14ac:dyDescent="0.25">
      <c r="A387" s="365"/>
      <c r="B387" s="365"/>
      <c r="C387" s="365"/>
      <c r="D387" s="365"/>
      <c r="E387" s="365"/>
      <c r="F387" s="365"/>
      <c r="G387" s="365"/>
      <c r="H387" s="365"/>
      <c r="I387" s="365"/>
      <c r="J387" s="365"/>
      <c r="K387" s="365"/>
      <c r="L387" s="365"/>
      <c r="M387" s="365"/>
      <c r="N387" s="365"/>
      <c r="O387" s="365"/>
      <c r="P387" s="365"/>
      <c r="Q387" s="365"/>
      <c r="R387" s="365"/>
      <c r="S387" s="365"/>
      <c r="T387" s="365"/>
      <c r="U387" s="365"/>
      <c r="V387" s="365"/>
      <c r="W387" s="365"/>
      <c r="X387" s="365"/>
      <c r="Y387" s="365"/>
      <c r="Z387" s="365"/>
    </row>
    <row r="388" spans="1:26" ht="14.25" customHeight="1" x14ac:dyDescent="0.25">
      <c r="A388" s="365"/>
      <c r="B388" s="365"/>
      <c r="C388" s="365"/>
      <c r="D388" s="365"/>
      <c r="E388" s="365"/>
      <c r="F388" s="365"/>
      <c r="G388" s="365"/>
      <c r="H388" s="365"/>
      <c r="I388" s="365"/>
      <c r="J388" s="365"/>
      <c r="K388" s="365"/>
      <c r="L388" s="365"/>
      <c r="M388" s="365"/>
      <c r="N388" s="365"/>
      <c r="O388" s="365"/>
      <c r="P388" s="365"/>
      <c r="Q388" s="365"/>
      <c r="R388" s="365"/>
      <c r="S388" s="365"/>
      <c r="T388" s="365"/>
      <c r="U388" s="365"/>
      <c r="V388" s="365"/>
      <c r="W388" s="365"/>
      <c r="X388" s="365"/>
      <c r="Y388" s="365"/>
      <c r="Z388" s="365"/>
    </row>
    <row r="389" spans="1:26" ht="14.25" customHeight="1" x14ac:dyDescent="0.25">
      <c r="A389" s="365"/>
      <c r="B389" s="365"/>
      <c r="C389" s="365"/>
      <c r="D389" s="365"/>
      <c r="E389" s="365"/>
      <c r="F389" s="365"/>
      <c r="G389" s="365"/>
      <c r="H389" s="365"/>
      <c r="I389" s="365"/>
      <c r="J389" s="365"/>
      <c r="K389" s="365"/>
      <c r="L389" s="365"/>
      <c r="M389" s="365"/>
      <c r="N389" s="365"/>
      <c r="O389" s="365"/>
      <c r="P389" s="365"/>
      <c r="Q389" s="365"/>
      <c r="R389" s="365"/>
      <c r="S389" s="365"/>
      <c r="T389" s="365"/>
      <c r="U389" s="365"/>
      <c r="V389" s="365"/>
      <c r="W389" s="365"/>
      <c r="X389" s="365"/>
      <c r="Y389" s="365"/>
      <c r="Z389" s="365"/>
    </row>
    <row r="390" spans="1:26" ht="14.25" customHeight="1" x14ac:dyDescent="0.25">
      <c r="A390" s="365"/>
      <c r="B390" s="365"/>
      <c r="C390" s="365"/>
      <c r="D390" s="365"/>
      <c r="E390" s="365"/>
      <c r="F390" s="365"/>
      <c r="G390" s="365"/>
      <c r="H390" s="365"/>
      <c r="I390" s="365"/>
      <c r="J390" s="365"/>
      <c r="K390" s="365"/>
      <c r="L390" s="365"/>
      <c r="M390" s="365"/>
      <c r="N390" s="365"/>
      <c r="O390" s="365"/>
      <c r="P390" s="365"/>
      <c r="Q390" s="365"/>
      <c r="R390" s="365"/>
      <c r="S390" s="365"/>
      <c r="T390" s="365"/>
      <c r="U390" s="365"/>
      <c r="V390" s="365"/>
      <c r="W390" s="365"/>
      <c r="X390" s="365"/>
      <c r="Y390" s="365"/>
      <c r="Z390" s="365"/>
    </row>
    <row r="391" spans="1:26" ht="14.25" customHeight="1" x14ac:dyDescent="0.25">
      <c r="A391" s="365"/>
      <c r="B391" s="365"/>
      <c r="C391" s="365"/>
      <c r="D391" s="365"/>
      <c r="E391" s="365"/>
      <c r="F391" s="365"/>
      <c r="G391" s="365"/>
      <c r="H391" s="365"/>
      <c r="I391" s="365"/>
      <c r="J391" s="365"/>
      <c r="K391" s="365"/>
      <c r="L391" s="365"/>
      <c r="M391" s="365"/>
      <c r="N391" s="365"/>
      <c r="O391" s="365"/>
      <c r="P391" s="365"/>
      <c r="Q391" s="365"/>
      <c r="R391" s="365"/>
      <c r="S391" s="365"/>
      <c r="T391" s="365"/>
      <c r="U391" s="365"/>
      <c r="V391" s="365"/>
      <c r="W391" s="365"/>
      <c r="X391" s="365"/>
      <c r="Y391" s="365"/>
      <c r="Z391" s="365"/>
    </row>
    <row r="392" spans="1:26" ht="14.25" customHeight="1" x14ac:dyDescent="0.25">
      <c r="A392" s="365"/>
      <c r="B392" s="365"/>
      <c r="C392" s="365"/>
      <c r="D392" s="365"/>
      <c r="E392" s="365"/>
      <c r="F392" s="365"/>
      <c r="G392" s="365"/>
      <c r="H392" s="365"/>
      <c r="I392" s="365"/>
      <c r="J392" s="365"/>
      <c r="K392" s="365"/>
      <c r="L392" s="365"/>
      <c r="M392" s="365"/>
      <c r="N392" s="365"/>
      <c r="O392" s="365"/>
      <c r="P392" s="365"/>
      <c r="Q392" s="365"/>
      <c r="R392" s="365"/>
      <c r="S392" s="365"/>
      <c r="T392" s="365"/>
      <c r="U392" s="365"/>
      <c r="V392" s="365"/>
      <c r="W392" s="365"/>
      <c r="X392" s="365"/>
      <c r="Y392" s="365"/>
      <c r="Z392" s="365"/>
    </row>
    <row r="393" spans="1:26" ht="14.25" customHeight="1" x14ac:dyDescent="0.25">
      <c r="A393" s="365"/>
      <c r="B393" s="365"/>
      <c r="C393" s="365"/>
      <c r="D393" s="365"/>
      <c r="E393" s="365"/>
      <c r="F393" s="365"/>
      <c r="G393" s="365"/>
      <c r="H393" s="365"/>
      <c r="I393" s="365"/>
      <c r="J393" s="365"/>
      <c r="K393" s="365"/>
      <c r="L393" s="365"/>
      <c r="M393" s="365"/>
      <c r="N393" s="365"/>
      <c r="O393" s="365"/>
      <c r="P393" s="365"/>
      <c r="Q393" s="365"/>
      <c r="R393" s="365"/>
      <c r="S393" s="365"/>
      <c r="T393" s="365"/>
      <c r="U393" s="365"/>
      <c r="V393" s="365"/>
      <c r="W393" s="365"/>
      <c r="X393" s="365"/>
      <c r="Y393" s="365"/>
      <c r="Z393" s="365"/>
    </row>
    <row r="394" spans="1:26" ht="14.25" customHeight="1" x14ac:dyDescent="0.25">
      <c r="A394" s="365"/>
      <c r="B394" s="365"/>
      <c r="C394" s="365"/>
      <c r="D394" s="365"/>
      <c r="E394" s="365"/>
      <c r="F394" s="365"/>
      <c r="G394" s="365"/>
      <c r="H394" s="365"/>
      <c r="I394" s="365"/>
      <c r="J394" s="365"/>
      <c r="K394" s="365"/>
      <c r="L394" s="365"/>
      <c r="M394" s="365"/>
      <c r="N394" s="365"/>
      <c r="O394" s="365"/>
      <c r="P394" s="365"/>
      <c r="Q394" s="365"/>
      <c r="R394" s="365"/>
      <c r="S394" s="365"/>
      <c r="T394" s="365"/>
      <c r="U394" s="365"/>
      <c r="V394" s="365"/>
      <c r="W394" s="365"/>
      <c r="X394" s="365"/>
      <c r="Y394" s="365"/>
      <c r="Z394" s="365"/>
    </row>
    <row r="395" spans="1:26" ht="14.25" customHeight="1" x14ac:dyDescent="0.25">
      <c r="A395" s="365"/>
      <c r="B395" s="365"/>
      <c r="C395" s="365"/>
      <c r="D395" s="365"/>
      <c r="E395" s="365"/>
      <c r="F395" s="365"/>
      <c r="G395" s="365"/>
      <c r="H395" s="365"/>
      <c r="I395" s="365"/>
      <c r="J395" s="365"/>
      <c r="K395" s="365"/>
      <c r="L395" s="365"/>
      <c r="M395" s="365"/>
      <c r="N395" s="365"/>
      <c r="O395" s="365"/>
      <c r="P395" s="365"/>
      <c r="Q395" s="365"/>
      <c r="R395" s="365"/>
      <c r="S395" s="365"/>
      <c r="T395" s="365"/>
      <c r="U395" s="365"/>
      <c r="V395" s="365"/>
      <c r="W395" s="365"/>
      <c r="X395" s="365"/>
      <c r="Y395" s="365"/>
      <c r="Z395" s="365"/>
    </row>
    <row r="396" spans="1:26" ht="14.25" customHeight="1" x14ac:dyDescent="0.25">
      <c r="A396" s="365"/>
      <c r="B396" s="365"/>
      <c r="C396" s="365"/>
      <c r="D396" s="365"/>
      <c r="E396" s="365"/>
      <c r="F396" s="365"/>
      <c r="G396" s="365"/>
      <c r="H396" s="365"/>
      <c r="I396" s="365"/>
      <c r="J396" s="365"/>
      <c r="K396" s="365"/>
      <c r="L396" s="365"/>
      <c r="M396" s="365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  <c r="Y396" s="365"/>
      <c r="Z396" s="365"/>
    </row>
    <row r="397" spans="1:26" ht="14.25" customHeight="1" x14ac:dyDescent="0.25">
      <c r="A397" s="365"/>
      <c r="B397" s="365"/>
      <c r="C397" s="365"/>
      <c r="D397" s="365"/>
      <c r="E397" s="365"/>
      <c r="F397" s="365"/>
      <c r="G397" s="365"/>
      <c r="H397" s="365"/>
      <c r="I397" s="365"/>
      <c r="J397" s="365"/>
      <c r="K397" s="365"/>
      <c r="L397" s="365"/>
      <c r="M397" s="365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  <c r="Y397" s="365"/>
      <c r="Z397" s="365"/>
    </row>
    <row r="398" spans="1:26" ht="14.25" customHeight="1" x14ac:dyDescent="0.25">
      <c r="A398" s="365"/>
      <c r="B398" s="365"/>
      <c r="C398" s="365"/>
      <c r="D398" s="365"/>
      <c r="E398" s="365"/>
      <c r="F398" s="365"/>
      <c r="G398" s="365"/>
      <c r="H398" s="365"/>
      <c r="I398" s="365"/>
      <c r="J398" s="365"/>
      <c r="K398" s="365"/>
      <c r="L398" s="365"/>
      <c r="M398" s="365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  <c r="Y398" s="365"/>
      <c r="Z398" s="365"/>
    </row>
    <row r="399" spans="1:26" ht="14.25" customHeight="1" x14ac:dyDescent="0.25">
      <c r="A399" s="365"/>
      <c r="B399" s="365"/>
      <c r="C399" s="365"/>
      <c r="D399" s="365"/>
      <c r="E399" s="365"/>
      <c r="F399" s="365"/>
      <c r="G399" s="365"/>
      <c r="H399" s="365"/>
      <c r="I399" s="365"/>
      <c r="J399" s="365"/>
      <c r="K399" s="365"/>
      <c r="L399" s="365"/>
      <c r="M399" s="365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  <c r="Y399" s="365"/>
      <c r="Z399" s="365"/>
    </row>
    <row r="400" spans="1:26" ht="14.25" customHeight="1" x14ac:dyDescent="0.25">
      <c r="A400" s="365"/>
      <c r="B400" s="365"/>
      <c r="C400" s="365"/>
      <c r="D400" s="365"/>
      <c r="E400" s="365"/>
      <c r="F400" s="365"/>
      <c r="G400" s="365"/>
      <c r="H400" s="365"/>
      <c r="I400" s="365"/>
      <c r="J400" s="365"/>
      <c r="K400" s="365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</row>
    <row r="401" spans="1:26" ht="14.25" customHeight="1" x14ac:dyDescent="0.25">
      <c r="A401" s="365"/>
      <c r="B401" s="365"/>
      <c r="C401" s="365"/>
      <c r="D401" s="365"/>
      <c r="E401" s="365"/>
      <c r="F401" s="365"/>
      <c r="G401" s="365"/>
      <c r="H401" s="365"/>
      <c r="I401" s="365"/>
      <c r="J401" s="365"/>
      <c r="K401" s="365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</row>
    <row r="402" spans="1:26" ht="14.25" customHeight="1" x14ac:dyDescent="0.25">
      <c r="A402" s="365"/>
      <c r="B402" s="365"/>
      <c r="C402" s="365"/>
      <c r="D402" s="365"/>
      <c r="E402" s="365"/>
      <c r="F402" s="365"/>
      <c r="G402" s="365"/>
      <c r="H402" s="365"/>
      <c r="I402" s="365"/>
      <c r="J402" s="365"/>
      <c r="K402" s="365"/>
      <c r="L402" s="365"/>
      <c r="M402" s="365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  <c r="Y402" s="365"/>
      <c r="Z402" s="365"/>
    </row>
    <row r="403" spans="1:26" ht="14.25" customHeight="1" x14ac:dyDescent="0.25">
      <c r="A403" s="365"/>
      <c r="B403" s="365"/>
      <c r="C403" s="365"/>
      <c r="D403" s="365"/>
      <c r="E403" s="365"/>
      <c r="F403" s="365"/>
      <c r="G403" s="365"/>
      <c r="H403" s="365"/>
      <c r="I403" s="365"/>
      <c r="J403" s="365"/>
      <c r="K403" s="365"/>
      <c r="L403" s="365"/>
      <c r="M403" s="365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  <c r="Y403" s="365"/>
      <c r="Z403" s="365"/>
    </row>
    <row r="404" spans="1:26" ht="14.25" customHeight="1" x14ac:dyDescent="0.25">
      <c r="A404" s="365"/>
      <c r="B404" s="365"/>
      <c r="C404" s="365"/>
      <c r="D404" s="365"/>
      <c r="E404" s="365"/>
      <c r="F404" s="365"/>
      <c r="G404" s="365"/>
      <c r="H404" s="365"/>
      <c r="I404" s="365"/>
      <c r="J404" s="365"/>
      <c r="K404" s="365"/>
      <c r="L404" s="365"/>
      <c r="M404" s="365"/>
      <c r="N404" s="365"/>
      <c r="O404" s="365"/>
      <c r="P404" s="365"/>
      <c r="Q404" s="365"/>
      <c r="R404" s="365"/>
      <c r="S404" s="365"/>
      <c r="T404" s="365"/>
      <c r="U404" s="365"/>
      <c r="V404" s="365"/>
      <c r="W404" s="365"/>
      <c r="X404" s="365"/>
      <c r="Y404" s="365"/>
      <c r="Z404" s="365"/>
    </row>
    <row r="405" spans="1:26" ht="14.25" customHeight="1" x14ac:dyDescent="0.25">
      <c r="A405" s="365"/>
      <c r="B405" s="365"/>
      <c r="C405" s="365"/>
      <c r="D405" s="365"/>
      <c r="E405" s="365"/>
      <c r="F405" s="365"/>
      <c r="G405" s="365"/>
      <c r="H405" s="365"/>
      <c r="I405" s="365"/>
      <c r="J405" s="365"/>
      <c r="K405" s="365"/>
      <c r="L405" s="365"/>
      <c r="M405" s="365"/>
      <c r="N405" s="365"/>
      <c r="O405" s="365"/>
      <c r="P405" s="365"/>
      <c r="Q405" s="365"/>
      <c r="R405" s="365"/>
      <c r="S405" s="365"/>
      <c r="T405" s="365"/>
      <c r="U405" s="365"/>
      <c r="V405" s="365"/>
      <c r="W405" s="365"/>
      <c r="X405" s="365"/>
      <c r="Y405" s="365"/>
      <c r="Z405" s="365"/>
    </row>
    <row r="406" spans="1:26" ht="14.25" customHeight="1" x14ac:dyDescent="0.25">
      <c r="A406" s="365"/>
      <c r="B406" s="365"/>
      <c r="C406" s="365"/>
      <c r="D406" s="365"/>
      <c r="E406" s="365"/>
      <c r="F406" s="365"/>
      <c r="G406" s="365"/>
      <c r="H406" s="365"/>
      <c r="I406" s="365"/>
      <c r="J406" s="365"/>
      <c r="K406" s="365"/>
      <c r="L406" s="365"/>
      <c r="M406" s="365"/>
      <c r="N406" s="365"/>
      <c r="O406" s="365"/>
      <c r="P406" s="365"/>
      <c r="Q406" s="365"/>
      <c r="R406" s="365"/>
      <c r="S406" s="365"/>
      <c r="T406" s="365"/>
      <c r="U406" s="365"/>
      <c r="V406" s="365"/>
      <c r="W406" s="365"/>
      <c r="X406" s="365"/>
      <c r="Y406" s="365"/>
      <c r="Z406" s="365"/>
    </row>
    <row r="407" spans="1:26" ht="14.25" customHeight="1" x14ac:dyDescent="0.25">
      <c r="A407" s="365"/>
      <c r="B407" s="365"/>
      <c r="C407" s="365"/>
      <c r="D407" s="365"/>
      <c r="E407" s="365"/>
      <c r="F407" s="365"/>
      <c r="G407" s="365"/>
      <c r="H407" s="365"/>
      <c r="I407" s="365"/>
      <c r="J407" s="365"/>
      <c r="K407" s="365"/>
      <c r="L407" s="365"/>
      <c r="M407" s="365"/>
      <c r="N407" s="365"/>
      <c r="O407" s="365"/>
      <c r="P407" s="365"/>
      <c r="Q407" s="365"/>
      <c r="R407" s="365"/>
      <c r="S407" s="365"/>
      <c r="T407" s="365"/>
      <c r="U407" s="365"/>
      <c r="V407" s="365"/>
      <c r="W407" s="365"/>
      <c r="X407" s="365"/>
      <c r="Y407" s="365"/>
      <c r="Z407" s="365"/>
    </row>
    <row r="408" spans="1:26" ht="14.25" customHeight="1" x14ac:dyDescent="0.25">
      <c r="A408" s="365"/>
      <c r="B408" s="365"/>
      <c r="C408" s="365"/>
      <c r="D408" s="365"/>
      <c r="E408" s="365"/>
      <c r="F408" s="365"/>
      <c r="G408" s="365"/>
      <c r="H408" s="365"/>
      <c r="I408" s="365"/>
      <c r="J408" s="365"/>
      <c r="K408" s="365"/>
      <c r="L408" s="365"/>
      <c r="M408" s="365"/>
      <c r="N408" s="365"/>
      <c r="O408" s="365"/>
      <c r="P408" s="365"/>
      <c r="Q408" s="365"/>
      <c r="R408" s="365"/>
      <c r="S408" s="365"/>
      <c r="T408" s="365"/>
      <c r="U408" s="365"/>
      <c r="V408" s="365"/>
      <c r="W408" s="365"/>
      <c r="X408" s="365"/>
      <c r="Y408" s="365"/>
      <c r="Z408" s="365"/>
    </row>
    <row r="409" spans="1:26" ht="14.25" customHeight="1" x14ac:dyDescent="0.25">
      <c r="A409" s="365"/>
      <c r="B409" s="365"/>
      <c r="C409" s="365"/>
      <c r="D409" s="365"/>
      <c r="E409" s="365"/>
      <c r="F409" s="365"/>
      <c r="G409" s="365"/>
      <c r="H409" s="365"/>
      <c r="I409" s="365"/>
      <c r="J409" s="365"/>
      <c r="K409" s="365"/>
      <c r="L409" s="365"/>
      <c r="M409" s="365"/>
      <c r="N409" s="365"/>
      <c r="O409" s="365"/>
      <c r="P409" s="365"/>
      <c r="Q409" s="365"/>
      <c r="R409" s="365"/>
      <c r="S409" s="365"/>
      <c r="T409" s="365"/>
      <c r="U409" s="365"/>
      <c r="V409" s="365"/>
      <c r="W409" s="365"/>
      <c r="X409" s="365"/>
      <c r="Y409" s="365"/>
      <c r="Z409" s="365"/>
    </row>
    <row r="410" spans="1:26" ht="14.25" customHeight="1" x14ac:dyDescent="0.25">
      <c r="A410" s="365"/>
      <c r="B410" s="365"/>
      <c r="C410" s="365"/>
      <c r="D410" s="365"/>
      <c r="E410" s="365"/>
      <c r="F410" s="365"/>
      <c r="G410" s="365"/>
      <c r="H410" s="365"/>
      <c r="I410" s="365"/>
      <c r="J410" s="365"/>
      <c r="K410" s="365"/>
      <c r="L410" s="365"/>
      <c r="M410" s="365"/>
      <c r="N410" s="365"/>
      <c r="O410" s="365"/>
      <c r="P410" s="365"/>
      <c r="Q410" s="365"/>
      <c r="R410" s="365"/>
      <c r="S410" s="365"/>
      <c r="T410" s="365"/>
      <c r="U410" s="365"/>
      <c r="V410" s="365"/>
      <c r="W410" s="365"/>
      <c r="X410" s="365"/>
      <c r="Y410" s="365"/>
      <c r="Z410" s="365"/>
    </row>
    <row r="411" spans="1:26" ht="14.25" customHeight="1" x14ac:dyDescent="0.25">
      <c r="A411" s="365"/>
      <c r="B411" s="365"/>
      <c r="C411" s="365"/>
      <c r="D411" s="365"/>
      <c r="E411" s="365"/>
      <c r="F411" s="365"/>
      <c r="G411" s="365"/>
      <c r="H411" s="365"/>
      <c r="I411" s="365"/>
      <c r="J411" s="365"/>
      <c r="K411" s="365"/>
      <c r="L411" s="365"/>
      <c r="M411" s="365"/>
      <c r="N411" s="365"/>
      <c r="O411" s="365"/>
      <c r="P411" s="365"/>
      <c r="Q411" s="365"/>
      <c r="R411" s="365"/>
      <c r="S411" s="365"/>
      <c r="T411" s="365"/>
      <c r="U411" s="365"/>
      <c r="V411" s="365"/>
      <c r="W411" s="365"/>
      <c r="X411" s="365"/>
      <c r="Y411" s="365"/>
      <c r="Z411" s="365"/>
    </row>
    <row r="412" spans="1:26" ht="14.25" customHeight="1" x14ac:dyDescent="0.25">
      <c r="A412" s="365"/>
      <c r="B412" s="365"/>
      <c r="C412" s="365"/>
      <c r="D412" s="365"/>
      <c r="E412" s="365"/>
      <c r="F412" s="365"/>
      <c r="G412" s="365"/>
      <c r="H412" s="365"/>
      <c r="I412" s="365"/>
      <c r="J412" s="365"/>
      <c r="K412" s="365"/>
      <c r="L412" s="365"/>
      <c r="M412" s="365"/>
      <c r="N412" s="365"/>
      <c r="O412" s="365"/>
      <c r="P412" s="365"/>
      <c r="Q412" s="365"/>
      <c r="R412" s="365"/>
      <c r="S412" s="365"/>
      <c r="T412" s="365"/>
      <c r="U412" s="365"/>
      <c r="V412" s="365"/>
      <c r="W412" s="365"/>
      <c r="X412" s="365"/>
      <c r="Y412" s="365"/>
      <c r="Z412" s="365"/>
    </row>
    <row r="413" spans="1:26" ht="14.25" customHeight="1" x14ac:dyDescent="0.25">
      <c r="A413" s="365"/>
      <c r="B413" s="365"/>
      <c r="C413" s="365"/>
      <c r="D413" s="365"/>
      <c r="E413" s="365"/>
      <c r="F413" s="365"/>
      <c r="G413" s="365"/>
      <c r="H413" s="365"/>
      <c r="I413" s="365"/>
      <c r="J413" s="365"/>
      <c r="K413" s="365"/>
      <c r="L413" s="365"/>
      <c r="M413" s="365"/>
      <c r="N413" s="365"/>
      <c r="O413" s="365"/>
      <c r="P413" s="365"/>
      <c r="Q413" s="365"/>
      <c r="R413" s="365"/>
      <c r="S413" s="365"/>
      <c r="T413" s="365"/>
      <c r="U413" s="365"/>
      <c r="V413" s="365"/>
      <c r="W413" s="365"/>
      <c r="X413" s="365"/>
      <c r="Y413" s="365"/>
      <c r="Z413" s="365"/>
    </row>
    <row r="414" spans="1:26" ht="14.25" customHeight="1" x14ac:dyDescent="0.25">
      <c r="A414" s="365"/>
      <c r="B414" s="365"/>
      <c r="C414" s="365"/>
      <c r="D414" s="365"/>
      <c r="E414" s="365"/>
      <c r="F414" s="365"/>
      <c r="G414" s="365"/>
      <c r="H414" s="365"/>
      <c r="I414" s="365"/>
      <c r="J414" s="365"/>
      <c r="K414" s="365"/>
      <c r="L414" s="365"/>
      <c r="M414" s="365"/>
      <c r="N414" s="365"/>
      <c r="O414" s="365"/>
      <c r="P414" s="365"/>
      <c r="Q414" s="365"/>
      <c r="R414" s="365"/>
      <c r="S414" s="365"/>
      <c r="T414" s="365"/>
      <c r="U414" s="365"/>
      <c r="V414" s="365"/>
      <c r="W414" s="365"/>
      <c r="X414" s="365"/>
      <c r="Y414" s="365"/>
      <c r="Z414" s="365"/>
    </row>
    <row r="415" spans="1:26" ht="14.25" customHeight="1" x14ac:dyDescent="0.25">
      <c r="A415" s="365"/>
      <c r="B415" s="365"/>
      <c r="C415" s="365"/>
      <c r="D415" s="365"/>
      <c r="E415" s="365"/>
      <c r="F415" s="365"/>
      <c r="G415" s="365"/>
      <c r="H415" s="365"/>
      <c r="I415" s="365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  <c r="T415" s="365"/>
      <c r="U415" s="365"/>
      <c r="V415" s="365"/>
      <c r="W415" s="365"/>
      <c r="X415" s="365"/>
      <c r="Y415" s="365"/>
      <c r="Z415" s="365"/>
    </row>
    <row r="416" spans="1:26" ht="14.25" customHeight="1" x14ac:dyDescent="0.25">
      <c r="A416" s="365"/>
      <c r="B416" s="365"/>
      <c r="C416" s="365"/>
      <c r="D416" s="365"/>
      <c r="E416" s="365"/>
      <c r="F416" s="365"/>
      <c r="G416" s="365"/>
      <c r="H416" s="365"/>
      <c r="I416" s="365"/>
      <c r="J416" s="365"/>
      <c r="K416" s="365"/>
      <c r="L416" s="365"/>
      <c r="M416" s="365"/>
      <c r="N416" s="365"/>
      <c r="O416" s="365"/>
      <c r="P416" s="365"/>
      <c r="Q416" s="365"/>
      <c r="R416" s="365"/>
      <c r="S416" s="365"/>
      <c r="T416" s="365"/>
      <c r="U416" s="365"/>
      <c r="V416" s="365"/>
      <c r="W416" s="365"/>
      <c r="X416" s="365"/>
      <c r="Y416" s="365"/>
      <c r="Z416" s="365"/>
    </row>
    <row r="417" spans="1:26" ht="14.25" customHeight="1" x14ac:dyDescent="0.25">
      <c r="A417" s="365"/>
      <c r="B417" s="365"/>
      <c r="C417" s="365"/>
      <c r="D417" s="365"/>
      <c r="E417" s="365"/>
      <c r="F417" s="365"/>
      <c r="G417" s="365"/>
      <c r="H417" s="365"/>
      <c r="I417" s="365"/>
      <c r="J417" s="365"/>
      <c r="K417" s="365"/>
      <c r="L417" s="365"/>
      <c r="M417" s="365"/>
      <c r="N417" s="365"/>
      <c r="O417" s="365"/>
      <c r="P417" s="365"/>
      <c r="Q417" s="365"/>
      <c r="R417" s="365"/>
      <c r="S417" s="365"/>
      <c r="T417" s="365"/>
      <c r="U417" s="365"/>
      <c r="V417" s="365"/>
      <c r="W417" s="365"/>
      <c r="X417" s="365"/>
      <c r="Y417" s="365"/>
      <c r="Z417" s="365"/>
    </row>
    <row r="418" spans="1:26" ht="14.25" customHeight="1" x14ac:dyDescent="0.25">
      <c r="A418" s="365"/>
      <c r="B418" s="365"/>
      <c r="C418" s="365"/>
      <c r="D418" s="365"/>
      <c r="E418" s="365"/>
      <c r="F418" s="365"/>
      <c r="G418" s="365"/>
      <c r="H418" s="365"/>
      <c r="I418" s="365"/>
      <c r="J418" s="365"/>
      <c r="K418" s="365"/>
      <c r="L418" s="365"/>
      <c r="M418" s="365"/>
      <c r="N418" s="365"/>
      <c r="O418" s="365"/>
      <c r="P418" s="365"/>
      <c r="Q418" s="365"/>
      <c r="R418" s="365"/>
      <c r="S418" s="365"/>
      <c r="T418" s="365"/>
      <c r="U418" s="365"/>
      <c r="V418" s="365"/>
      <c r="W418" s="365"/>
      <c r="X418" s="365"/>
      <c r="Y418" s="365"/>
      <c r="Z418" s="365"/>
    </row>
    <row r="419" spans="1:26" ht="14.25" customHeight="1" x14ac:dyDescent="0.25">
      <c r="A419" s="365"/>
      <c r="B419" s="365"/>
      <c r="C419" s="365"/>
      <c r="D419" s="365"/>
      <c r="E419" s="365"/>
      <c r="F419" s="365"/>
      <c r="G419" s="365"/>
      <c r="H419" s="365"/>
      <c r="I419" s="365"/>
      <c r="J419" s="365"/>
      <c r="K419" s="365"/>
      <c r="L419" s="365"/>
      <c r="M419" s="365"/>
      <c r="N419" s="365"/>
      <c r="O419" s="365"/>
      <c r="P419" s="365"/>
      <c r="Q419" s="365"/>
      <c r="R419" s="365"/>
      <c r="S419" s="365"/>
      <c r="T419" s="365"/>
      <c r="U419" s="365"/>
      <c r="V419" s="365"/>
      <c r="W419" s="365"/>
      <c r="X419" s="365"/>
      <c r="Y419" s="365"/>
      <c r="Z419" s="365"/>
    </row>
    <row r="420" spans="1:26" ht="14.25" customHeight="1" x14ac:dyDescent="0.25">
      <c r="A420" s="365"/>
      <c r="B420" s="365"/>
      <c r="C420" s="365"/>
      <c r="D420" s="365"/>
      <c r="E420" s="365"/>
      <c r="F420" s="365"/>
      <c r="G420" s="365"/>
      <c r="H420" s="365"/>
      <c r="I420" s="365"/>
      <c r="J420" s="365"/>
      <c r="K420" s="365"/>
      <c r="L420" s="365"/>
      <c r="M420" s="365"/>
      <c r="N420" s="365"/>
      <c r="O420" s="365"/>
      <c r="P420" s="365"/>
      <c r="Q420" s="365"/>
      <c r="R420" s="365"/>
      <c r="S420" s="365"/>
      <c r="T420" s="365"/>
      <c r="U420" s="365"/>
      <c r="V420" s="365"/>
      <c r="W420" s="365"/>
      <c r="X420" s="365"/>
      <c r="Y420" s="365"/>
      <c r="Z420" s="365"/>
    </row>
    <row r="421" spans="1:26" ht="14.25" customHeight="1" x14ac:dyDescent="0.25">
      <c r="A421" s="365"/>
      <c r="B421" s="365"/>
      <c r="C421" s="365"/>
      <c r="D421" s="365"/>
      <c r="E421" s="365"/>
      <c r="F421" s="365"/>
      <c r="G421" s="365"/>
      <c r="H421" s="365"/>
      <c r="I421" s="365"/>
      <c r="J421" s="365"/>
      <c r="K421" s="365"/>
      <c r="L421" s="365"/>
      <c r="M421" s="365"/>
      <c r="N421" s="365"/>
      <c r="O421" s="365"/>
      <c r="P421" s="365"/>
      <c r="Q421" s="365"/>
      <c r="R421" s="365"/>
      <c r="S421" s="365"/>
      <c r="T421" s="365"/>
      <c r="U421" s="365"/>
      <c r="V421" s="365"/>
      <c r="W421" s="365"/>
      <c r="X421" s="365"/>
      <c r="Y421" s="365"/>
      <c r="Z421" s="365"/>
    </row>
    <row r="422" spans="1:26" ht="14.25" customHeight="1" x14ac:dyDescent="0.25">
      <c r="A422" s="365"/>
      <c r="B422" s="365"/>
      <c r="C422" s="365"/>
      <c r="D422" s="365"/>
      <c r="E422" s="365"/>
      <c r="F422" s="365"/>
      <c r="G422" s="365"/>
      <c r="H422" s="365"/>
      <c r="I422" s="365"/>
      <c r="J422" s="365"/>
      <c r="K422" s="365"/>
      <c r="L422" s="365"/>
      <c r="M422" s="365"/>
      <c r="N422" s="365"/>
      <c r="O422" s="365"/>
      <c r="P422" s="365"/>
      <c r="Q422" s="365"/>
      <c r="R422" s="365"/>
      <c r="S422" s="365"/>
      <c r="T422" s="365"/>
      <c r="U422" s="365"/>
      <c r="V422" s="365"/>
      <c r="W422" s="365"/>
      <c r="X422" s="365"/>
      <c r="Y422" s="365"/>
      <c r="Z422" s="365"/>
    </row>
    <row r="423" spans="1:26" ht="14.25" customHeight="1" x14ac:dyDescent="0.25">
      <c r="A423" s="365"/>
      <c r="B423" s="365"/>
      <c r="C423" s="365"/>
      <c r="D423" s="365"/>
      <c r="E423" s="365"/>
      <c r="F423" s="365"/>
      <c r="G423" s="365"/>
      <c r="H423" s="365"/>
      <c r="I423" s="365"/>
      <c r="J423" s="365"/>
      <c r="K423" s="365"/>
      <c r="L423" s="365"/>
      <c r="M423" s="365"/>
      <c r="N423" s="365"/>
      <c r="O423" s="365"/>
      <c r="P423" s="365"/>
      <c r="Q423" s="365"/>
      <c r="R423" s="365"/>
      <c r="S423" s="365"/>
      <c r="T423" s="365"/>
      <c r="U423" s="365"/>
      <c r="V423" s="365"/>
      <c r="W423" s="365"/>
      <c r="X423" s="365"/>
      <c r="Y423" s="365"/>
      <c r="Z423" s="365"/>
    </row>
    <row r="424" spans="1:26" ht="14.25" customHeight="1" x14ac:dyDescent="0.25">
      <c r="A424" s="365"/>
      <c r="B424" s="365"/>
      <c r="C424" s="365"/>
      <c r="D424" s="365"/>
      <c r="E424" s="365"/>
      <c r="F424" s="365"/>
      <c r="G424" s="365"/>
      <c r="H424" s="365"/>
      <c r="I424" s="365"/>
      <c r="J424" s="365"/>
      <c r="K424" s="365"/>
      <c r="L424" s="365"/>
      <c r="M424" s="365"/>
      <c r="N424" s="365"/>
      <c r="O424" s="365"/>
      <c r="P424" s="365"/>
      <c r="Q424" s="365"/>
      <c r="R424" s="365"/>
      <c r="S424" s="365"/>
      <c r="T424" s="365"/>
      <c r="U424" s="365"/>
      <c r="V424" s="365"/>
      <c r="W424" s="365"/>
      <c r="X424" s="365"/>
      <c r="Y424" s="365"/>
      <c r="Z424" s="365"/>
    </row>
    <row r="425" spans="1:26" ht="14.25" customHeight="1" x14ac:dyDescent="0.25">
      <c r="A425" s="365"/>
      <c r="B425" s="365"/>
      <c r="C425" s="365"/>
      <c r="D425" s="365"/>
      <c r="E425" s="365"/>
      <c r="F425" s="365"/>
      <c r="G425" s="365"/>
      <c r="H425" s="365"/>
      <c r="I425" s="365"/>
      <c r="J425" s="365"/>
      <c r="K425" s="365"/>
      <c r="L425" s="365"/>
      <c r="M425" s="365"/>
      <c r="N425" s="365"/>
      <c r="O425" s="365"/>
      <c r="P425" s="365"/>
      <c r="Q425" s="365"/>
      <c r="R425" s="365"/>
      <c r="S425" s="365"/>
      <c r="T425" s="365"/>
      <c r="U425" s="365"/>
      <c r="V425" s="365"/>
      <c r="W425" s="365"/>
      <c r="X425" s="365"/>
      <c r="Y425" s="365"/>
      <c r="Z425" s="365"/>
    </row>
    <row r="426" spans="1:26" ht="14.25" customHeight="1" x14ac:dyDescent="0.25">
      <c r="A426" s="365"/>
      <c r="B426" s="365"/>
      <c r="C426" s="365"/>
      <c r="D426" s="365"/>
      <c r="E426" s="365"/>
      <c r="F426" s="365"/>
      <c r="G426" s="365"/>
      <c r="H426" s="365"/>
      <c r="I426" s="365"/>
      <c r="J426" s="365"/>
      <c r="K426" s="365"/>
      <c r="L426" s="365"/>
      <c r="M426" s="365"/>
      <c r="N426" s="365"/>
      <c r="O426" s="365"/>
      <c r="P426" s="365"/>
      <c r="Q426" s="365"/>
      <c r="R426" s="365"/>
      <c r="S426" s="365"/>
      <c r="T426" s="365"/>
      <c r="U426" s="365"/>
      <c r="V426" s="365"/>
      <c r="W426" s="365"/>
      <c r="X426" s="365"/>
      <c r="Y426" s="365"/>
      <c r="Z426" s="365"/>
    </row>
    <row r="427" spans="1:26" ht="14.25" customHeight="1" x14ac:dyDescent="0.25">
      <c r="A427" s="365"/>
      <c r="B427" s="365"/>
      <c r="C427" s="365"/>
      <c r="D427" s="365"/>
      <c r="E427" s="365"/>
      <c r="F427" s="365"/>
      <c r="G427" s="365"/>
      <c r="H427" s="365"/>
      <c r="I427" s="365"/>
      <c r="J427" s="365"/>
      <c r="K427" s="365"/>
      <c r="L427" s="365"/>
      <c r="M427" s="365"/>
      <c r="N427" s="365"/>
      <c r="O427" s="365"/>
      <c r="P427" s="365"/>
      <c r="Q427" s="365"/>
      <c r="R427" s="365"/>
      <c r="S427" s="365"/>
      <c r="T427" s="365"/>
      <c r="U427" s="365"/>
      <c r="V427" s="365"/>
      <c r="W427" s="365"/>
      <c r="X427" s="365"/>
      <c r="Y427" s="365"/>
      <c r="Z427" s="365"/>
    </row>
    <row r="428" spans="1:26" ht="14.25" customHeight="1" x14ac:dyDescent="0.25">
      <c r="A428" s="365"/>
      <c r="B428" s="365"/>
      <c r="C428" s="365"/>
      <c r="D428" s="365"/>
      <c r="E428" s="365"/>
      <c r="F428" s="365"/>
      <c r="G428" s="365"/>
      <c r="H428" s="365"/>
      <c r="I428" s="365"/>
      <c r="J428" s="365"/>
      <c r="K428" s="365"/>
      <c r="L428" s="365"/>
      <c r="M428" s="365"/>
      <c r="N428" s="365"/>
      <c r="O428" s="365"/>
      <c r="P428" s="365"/>
      <c r="Q428" s="365"/>
      <c r="R428" s="365"/>
      <c r="S428" s="365"/>
      <c r="T428" s="365"/>
      <c r="U428" s="365"/>
      <c r="V428" s="365"/>
      <c r="W428" s="365"/>
      <c r="X428" s="365"/>
      <c r="Y428" s="365"/>
      <c r="Z428" s="365"/>
    </row>
    <row r="429" spans="1:26" ht="14.25" customHeight="1" x14ac:dyDescent="0.25">
      <c r="A429" s="365"/>
      <c r="B429" s="365"/>
      <c r="C429" s="365"/>
      <c r="D429" s="365"/>
      <c r="E429" s="365"/>
      <c r="F429" s="365"/>
      <c r="G429" s="365"/>
      <c r="H429" s="365"/>
      <c r="I429" s="365"/>
      <c r="J429" s="365"/>
      <c r="K429" s="365"/>
      <c r="L429" s="365"/>
      <c r="M429" s="365"/>
      <c r="N429" s="365"/>
      <c r="O429" s="365"/>
      <c r="P429" s="365"/>
      <c r="Q429" s="365"/>
      <c r="R429" s="365"/>
      <c r="S429" s="365"/>
      <c r="T429" s="365"/>
      <c r="U429" s="365"/>
      <c r="V429" s="365"/>
      <c r="W429" s="365"/>
      <c r="X429" s="365"/>
      <c r="Y429" s="365"/>
      <c r="Z429" s="365"/>
    </row>
    <row r="430" spans="1:26" ht="14.25" customHeight="1" x14ac:dyDescent="0.25">
      <c r="A430" s="365"/>
      <c r="B430" s="365"/>
      <c r="C430" s="365"/>
      <c r="D430" s="365"/>
      <c r="E430" s="365"/>
      <c r="F430" s="365"/>
      <c r="G430" s="365"/>
      <c r="H430" s="365"/>
      <c r="I430" s="365"/>
      <c r="J430" s="365"/>
      <c r="K430" s="365"/>
      <c r="L430" s="365"/>
      <c r="M430" s="365"/>
      <c r="N430" s="365"/>
      <c r="O430" s="365"/>
      <c r="P430" s="365"/>
      <c r="Q430" s="365"/>
      <c r="R430" s="365"/>
      <c r="S430" s="365"/>
      <c r="T430" s="365"/>
      <c r="U430" s="365"/>
      <c r="V430" s="365"/>
      <c r="W430" s="365"/>
      <c r="X430" s="365"/>
      <c r="Y430" s="365"/>
      <c r="Z430" s="365"/>
    </row>
    <row r="431" spans="1:26" ht="14.25" customHeight="1" x14ac:dyDescent="0.25">
      <c r="A431" s="365"/>
      <c r="B431" s="365"/>
      <c r="C431" s="365"/>
      <c r="D431" s="365"/>
      <c r="E431" s="365"/>
      <c r="F431" s="365"/>
      <c r="G431" s="365"/>
      <c r="H431" s="365"/>
      <c r="I431" s="365"/>
      <c r="J431" s="365"/>
      <c r="K431" s="365"/>
      <c r="L431" s="365"/>
      <c r="M431" s="365"/>
      <c r="N431" s="365"/>
      <c r="O431" s="365"/>
      <c r="P431" s="365"/>
      <c r="Q431" s="365"/>
      <c r="R431" s="365"/>
      <c r="S431" s="365"/>
      <c r="T431" s="365"/>
      <c r="U431" s="365"/>
      <c r="V431" s="365"/>
      <c r="W431" s="365"/>
      <c r="X431" s="365"/>
      <c r="Y431" s="365"/>
      <c r="Z431" s="365"/>
    </row>
    <row r="432" spans="1:26" ht="14.25" customHeight="1" x14ac:dyDescent="0.25">
      <c r="A432" s="365"/>
      <c r="B432" s="365"/>
      <c r="C432" s="365"/>
      <c r="D432" s="365"/>
      <c r="E432" s="365"/>
      <c r="F432" s="365"/>
      <c r="G432" s="365"/>
      <c r="H432" s="365"/>
      <c r="I432" s="365"/>
      <c r="J432" s="365"/>
      <c r="K432" s="365"/>
      <c r="L432" s="365"/>
      <c r="M432" s="365"/>
      <c r="N432" s="365"/>
      <c r="O432" s="365"/>
      <c r="P432" s="365"/>
      <c r="Q432" s="365"/>
      <c r="R432" s="365"/>
      <c r="S432" s="365"/>
      <c r="T432" s="365"/>
      <c r="U432" s="365"/>
      <c r="V432" s="365"/>
      <c r="W432" s="365"/>
      <c r="X432" s="365"/>
      <c r="Y432" s="365"/>
      <c r="Z432" s="365"/>
    </row>
    <row r="433" spans="1:26" ht="14.25" customHeight="1" x14ac:dyDescent="0.25">
      <c r="A433" s="365"/>
      <c r="B433" s="365"/>
      <c r="C433" s="365"/>
      <c r="D433" s="365"/>
      <c r="E433" s="365"/>
      <c r="F433" s="365"/>
      <c r="G433" s="365"/>
      <c r="H433" s="365"/>
      <c r="I433" s="365"/>
      <c r="J433" s="365"/>
      <c r="K433" s="365"/>
      <c r="L433" s="365"/>
      <c r="M433" s="365"/>
      <c r="N433" s="365"/>
      <c r="O433" s="365"/>
      <c r="P433" s="365"/>
      <c r="Q433" s="365"/>
      <c r="R433" s="365"/>
      <c r="S433" s="365"/>
      <c r="T433" s="365"/>
      <c r="U433" s="365"/>
      <c r="V433" s="365"/>
      <c r="W433" s="365"/>
      <c r="X433" s="365"/>
      <c r="Y433" s="365"/>
      <c r="Z433" s="365"/>
    </row>
    <row r="434" spans="1:26" ht="14.25" customHeight="1" x14ac:dyDescent="0.25">
      <c r="A434" s="365"/>
      <c r="B434" s="365"/>
      <c r="C434" s="365"/>
      <c r="D434" s="365"/>
      <c r="E434" s="365"/>
      <c r="F434" s="365"/>
      <c r="G434" s="365"/>
      <c r="H434" s="365"/>
      <c r="I434" s="365"/>
      <c r="J434" s="365"/>
      <c r="K434" s="365"/>
      <c r="L434" s="365"/>
      <c r="M434" s="365"/>
      <c r="N434" s="365"/>
      <c r="O434" s="365"/>
      <c r="P434" s="365"/>
      <c r="Q434" s="365"/>
      <c r="R434" s="365"/>
      <c r="S434" s="365"/>
      <c r="T434" s="365"/>
      <c r="U434" s="365"/>
      <c r="V434" s="365"/>
      <c r="W434" s="365"/>
      <c r="X434" s="365"/>
      <c r="Y434" s="365"/>
      <c r="Z434" s="365"/>
    </row>
    <row r="435" spans="1:26" ht="14.25" customHeight="1" x14ac:dyDescent="0.25">
      <c r="A435" s="365"/>
      <c r="B435" s="365"/>
      <c r="C435" s="365"/>
      <c r="D435" s="365"/>
      <c r="E435" s="365"/>
      <c r="F435" s="365"/>
      <c r="G435" s="365"/>
      <c r="H435" s="365"/>
      <c r="I435" s="365"/>
      <c r="J435" s="365"/>
      <c r="K435" s="365"/>
      <c r="L435" s="365"/>
      <c r="M435" s="365"/>
      <c r="N435" s="365"/>
      <c r="O435" s="365"/>
      <c r="P435" s="365"/>
      <c r="Q435" s="365"/>
      <c r="R435" s="365"/>
      <c r="S435" s="365"/>
      <c r="T435" s="365"/>
      <c r="U435" s="365"/>
      <c r="V435" s="365"/>
      <c r="W435" s="365"/>
      <c r="X435" s="365"/>
      <c r="Y435" s="365"/>
      <c r="Z435" s="365"/>
    </row>
    <row r="436" spans="1:26" ht="14.25" customHeight="1" x14ac:dyDescent="0.25">
      <c r="A436" s="365"/>
      <c r="B436" s="365"/>
      <c r="C436" s="365"/>
      <c r="D436" s="365"/>
      <c r="E436" s="365"/>
      <c r="F436" s="365"/>
      <c r="G436" s="365"/>
      <c r="H436" s="365"/>
      <c r="I436" s="365"/>
      <c r="J436" s="365"/>
      <c r="K436" s="365"/>
      <c r="L436" s="365"/>
      <c r="M436" s="365"/>
      <c r="N436" s="365"/>
      <c r="O436" s="365"/>
      <c r="P436" s="365"/>
      <c r="Q436" s="365"/>
      <c r="R436" s="365"/>
      <c r="S436" s="365"/>
      <c r="T436" s="365"/>
      <c r="U436" s="365"/>
      <c r="V436" s="365"/>
      <c r="W436" s="365"/>
      <c r="X436" s="365"/>
      <c r="Y436" s="365"/>
      <c r="Z436" s="365"/>
    </row>
    <row r="437" spans="1:26" ht="14.25" customHeight="1" x14ac:dyDescent="0.25">
      <c r="A437" s="365"/>
      <c r="B437" s="365"/>
      <c r="C437" s="365"/>
      <c r="D437" s="365"/>
      <c r="E437" s="365"/>
      <c r="F437" s="365"/>
      <c r="G437" s="365"/>
      <c r="H437" s="365"/>
      <c r="I437" s="365"/>
      <c r="J437" s="365"/>
      <c r="K437" s="365"/>
      <c r="L437" s="365"/>
      <c r="M437" s="365"/>
      <c r="N437" s="365"/>
      <c r="O437" s="365"/>
      <c r="P437" s="365"/>
      <c r="Q437" s="365"/>
      <c r="R437" s="365"/>
      <c r="S437" s="365"/>
      <c r="T437" s="365"/>
      <c r="U437" s="365"/>
      <c r="V437" s="365"/>
      <c r="W437" s="365"/>
      <c r="X437" s="365"/>
      <c r="Y437" s="365"/>
      <c r="Z437" s="365"/>
    </row>
    <row r="438" spans="1:26" ht="14.25" customHeight="1" x14ac:dyDescent="0.25">
      <c r="A438" s="365"/>
      <c r="B438" s="365"/>
      <c r="C438" s="365"/>
      <c r="D438" s="365"/>
      <c r="E438" s="365"/>
      <c r="F438" s="365"/>
      <c r="G438" s="365"/>
      <c r="H438" s="365"/>
      <c r="I438" s="365"/>
      <c r="J438" s="365"/>
      <c r="K438" s="365"/>
      <c r="L438" s="365"/>
      <c r="M438" s="365"/>
      <c r="N438" s="365"/>
      <c r="O438" s="365"/>
      <c r="P438" s="365"/>
      <c r="Q438" s="365"/>
      <c r="R438" s="365"/>
      <c r="S438" s="365"/>
      <c r="T438" s="365"/>
      <c r="U438" s="365"/>
      <c r="V438" s="365"/>
      <c r="W438" s="365"/>
      <c r="X438" s="365"/>
      <c r="Y438" s="365"/>
      <c r="Z438" s="365"/>
    </row>
    <row r="439" spans="1:26" ht="14.25" customHeight="1" x14ac:dyDescent="0.25">
      <c r="A439" s="365"/>
      <c r="B439" s="365"/>
      <c r="C439" s="365"/>
      <c r="D439" s="365"/>
      <c r="E439" s="365"/>
      <c r="F439" s="365"/>
      <c r="G439" s="365"/>
      <c r="H439" s="365"/>
      <c r="I439" s="365"/>
      <c r="J439" s="365"/>
      <c r="K439" s="365"/>
      <c r="L439" s="365"/>
      <c r="M439" s="365"/>
      <c r="N439" s="365"/>
      <c r="O439" s="365"/>
      <c r="P439" s="365"/>
      <c r="Q439" s="365"/>
      <c r="R439" s="365"/>
      <c r="S439" s="365"/>
      <c r="T439" s="365"/>
      <c r="U439" s="365"/>
      <c r="V439" s="365"/>
      <c r="W439" s="365"/>
      <c r="X439" s="365"/>
      <c r="Y439" s="365"/>
      <c r="Z439" s="365"/>
    </row>
    <row r="440" spans="1:26" ht="14.25" customHeight="1" x14ac:dyDescent="0.25">
      <c r="A440" s="365"/>
      <c r="B440" s="365"/>
      <c r="C440" s="365"/>
      <c r="D440" s="365"/>
      <c r="E440" s="365"/>
      <c r="F440" s="365"/>
      <c r="G440" s="365"/>
      <c r="H440" s="365"/>
      <c r="I440" s="365"/>
      <c r="J440" s="365"/>
      <c r="K440" s="365"/>
      <c r="L440" s="365"/>
      <c r="M440" s="365"/>
      <c r="N440" s="365"/>
      <c r="O440" s="365"/>
      <c r="P440" s="365"/>
      <c r="Q440" s="365"/>
      <c r="R440" s="365"/>
      <c r="S440" s="365"/>
      <c r="T440" s="365"/>
      <c r="U440" s="365"/>
      <c r="V440" s="365"/>
      <c r="W440" s="365"/>
      <c r="X440" s="365"/>
      <c r="Y440" s="365"/>
      <c r="Z440" s="365"/>
    </row>
    <row r="441" spans="1:26" ht="14.25" customHeight="1" x14ac:dyDescent="0.25">
      <c r="A441" s="365"/>
      <c r="B441" s="365"/>
      <c r="C441" s="365"/>
      <c r="D441" s="365"/>
      <c r="E441" s="365"/>
      <c r="F441" s="365"/>
      <c r="G441" s="365"/>
      <c r="H441" s="365"/>
      <c r="I441" s="365"/>
      <c r="J441" s="365"/>
      <c r="K441" s="365"/>
      <c r="L441" s="365"/>
      <c r="M441" s="365"/>
      <c r="N441" s="365"/>
      <c r="O441" s="365"/>
      <c r="P441" s="365"/>
      <c r="Q441" s="365"/>
      <c r="R441" s="365"/>
      <c r="S441" s="365"/>
      <c r="T441" s="365"/>
      <c r="U441" s="365"/>
      <c r="V441" s="365"/>
      <c r="W441" s="365"/>
      <c r="X441" s="365"/>
      <c r="Y441" s="365"/>
      <c r="Z441" s="365"/>
    </row>
    <row r="442" spans="1:26" ht="14.25" customHeight="1" x14ac:dyDescent="0.25">
      <c r="A442" s="365"/>
      <c r="B442" s="365"/>
      <c r="C442" s="365"/>
      <c r="D442" s="365"/>
      <c r="E442" s="365"/>
      <c r="F442" s="365"/>
      <c r="G442" s="365"/>
      <c r="H442" s="365"/>
      <c r="I442" s="365"/>
      <c r="J442" s="365"/>
      <c r="K442" s="365"/>
      <c r="L442" s="365"/>
      <c r="M442" s="365"/>
      <c r="N442" s="365"/>
      <c r="O442" s="365"/>
      <c r="P442" s="365"/>
      <c r="Q442" s="365"/>
      <c r="R442" s="365"/>
      <c r="S442" s="365"/>
      <c r="T442" s="365"/>
      <c r="U442" s="365"/>
      <c r="V442" s="365"/>
      <c r="W442" s="365"/>
      <c r="X442" s="365"/>
      <c r="Y442" s="365"/>
      <c r="Z442" s="365"/>
    </row>
    <row r="443" spans="1:26" ht="14.25" customHeight="1" x14ac:dyDescent="0.25">
      <c r="A443" s="365"/>
      <c r="B443" s="365"/>
      <c r="C443" s="365"/>
      <c r="D443" s="365"/>
      <c r="E443" s="365"/>
      <c r="F443" s="365"/>
      <c r="G443" s="365"/>
      <c r="H443" s="365"/>
      <c r="I443" s="365"/>
      <c r="J443" s="365"/>
      <c r="K443" s="365"/>
      <c r="L443" s="365"/>
      <c r="M443" s="365"/>
      <c r="N443" s="365"/>
      <c r="O443" s="365"/>
      <c r="P443" s="365"/>
      <c r="Q443" s="365"/>
      <c r="R443" s="365"/>
      <c r="S443" s="365"/>
      <c r="T443" s="365"/>
      <c r="U443" s="365"/>
      <c r="V443" s="365"/>
      <c r="W443" s="365"/>
      <c r="X443" s="365"/>
      <c r="Y443" s="365"/>
      <c r="Z443" s="365"/>
    </row>
    <row r="444" spans="1:26" ht="14.25" customHeight="1" x14ac:dyDescent="0.25">
      <c r="A444" s="365"/>
      <c r="B444" s="365"/>
      <c r="C444" s="365"/>
      <c r="D444" s="365"/>
      <c r="E444" s="365"/>
      <c r="F444" s="365"/>
      <c r="G444" s="365"/>
      <c r="H444" s="365"/>
      <c r="I444" s="365"/>
      <c r="J444" s="365"/>
      <c r="K444" s="365"/>
      <c r="L444" s="365"/>
      <c r="M444" s="365"/>
      <c r="N444" s="365"/>
      <c r="O444" s="365"/>
      <c r="P444" s="365"/>
      <c r="Q444" s="365"/>
      <c r="R444" s="365"/>
      <c r="S444" s="365"/>
      <c r="T444" s="365"/>
      <c r="U444" s="365"/>
      <c r="V444" s="365"/>
      <c r="W444" s="365"/>
      <c r="X444" s="365"/>
      <c r="Y444" s="365"/>
      <c r="Z444" s="365"/>
    </row>
    <row r="445" spans="1:26" ht="14.25" customHeight="1" x14ac:dyDescent="0.25">
      <c r="A445" s="365"/>
      <c r="B445" s="365"/>
      <c r="C445" s="365"/>
      <c r="D445" s="365"/>
      <c r="E445" s="365"/>
      <c r="F445" s="365"/>
      <c r="G445" s="365"/>
      <c r="H445" s="365"/>
      <c r="I445" s="365"/>
      <c r="J445" s="365"/>
      <c r="K445" s="365"/>
      <c r="L445" s="365"/>
      <c r="M445" s="365"/>
      <c r="N445" s="365"/>
      <c r="O445" s="365"/>
      <c r="P445" s="365"/>
      <c r="Q445" s="365"/>
      <c r="R445" s="365"/>
      <c r="S445" s="365"/>
      <c r="T445" s="365"/>
      <c r="U445" s="365"/>
      <c r="V445" s="365"/>
      <c r="W445" s="365"/>
      <c r="X445" s="365"/>
      <c r="Y445" s="365"/>
      <c r="Z445" s="365"/>
    </row>
    <row r="446" spans="1:26" ht="14.25" customHeight="1" x14ac:dyDescent="0.25">
      <c r="A446" s="365"/>
      <c r="B446" s="365"/>
      <c r="C446" s="365"/>
      <c r="D446" s="365"/>
      <c r="E446" s="365"/>
      <c r="F446" s="365"/>
      <c r="G446" s="365"/>
      <c r="H446" s="365"/>
      <c r="I446" s="365"/>
      <c r="J446" s="365"/>
      <c r="K446" s="365"/>
      <c r="L446" s="365"/>
      <c r="M446" s="365"/>
      <c r="N446" s="365"/>
      <c r="O446" s="365"/>
      <c r="P446" s="365"/>
      <c r="Q446" s="365"/>
      <c r="R446" s="365"/>
      <c r="S446" s="365"/>
      <c r="T446" s="365"/>
      <c r="U446" s="365"/>
      <c r="V446" s="365"/>
      <c r="W446" s="365"/>
      <c r="X446" s="365"/>
      <c r="Y446" s="365"/>
      <c r="Z446" s="365"/>
    </row>
    <row r="447" spans="1:26" ht="14.25" customHeight="1" x14ac:dyDescent="0.25">
      <c r="A447" s="365"/>
      <c r="B447" s="365"/>
      <c r="C447" s="365"/>
      <c r="D447" s="365"/>
      <c r="E447" s="365"/>
      <c r="F447" s="365"/>
      <c r="G447" s="365"/>
      <c r="H447" s="365"/>
      <c r="I447" s="365"/>
      <c r="J447" s="365"/>
      <c r="K447" s="365"/>
      <c r="L447" s="365"/>
      <c r="M447" s="365"/>
      <c r="N447" s="365"/>
      <c r="O447" s="365"/>
      <c r="P447" s="365"/>
      <c r="Q447" s="365"/>
      <c r="R447" s="365"/>
      <c r="S447" s="365"/>
      <c r="T447" s="365"/>
      <c r="U447" s="365"/>
      <c r="V447" s="365"/>
      <c r="W447" s="365"/>
      <c r="X447" s="365"/>
      <c r="Y447" s="365"/>
      <c r="Z447" s="365"/>
    </row>
    <row r="448" spans="1:26" ht="14.25" customHeight="1" x14ac:dyDescent="0.25">
      <c r="A448" s="365"/>
      <c r="B448" s="365"/>
      <c r="C448" s="365"/>
      <c r="D448" s="365"/>
      <c r="E448" s="365"/>
      <c r="F448" s="365"/>
      <c r="G448" s="365"/>
      <c r="H448" s="365"/>
      <c r="I448" s="365"/>
      <c r="J448" s="365"/>
      <c r="K448" s="365"/>
      <c r="L448" s="365"/>
      <c r="M448" s="365"/>
      <c r="N448" s="365"/>
      <c r="O448" s="365"/>
      <c r="P448" s="365"/>
      <c r="Q448" s="365"/>
      <c r="R448" s="365"/>
      <c r="S448" s="365"/>
      <c r="T448" s="365"/>
      <c r="U448" s="365"/>
      <c r="V448" s="365"/>
      <c r="W448" s="365"/>
      <c r="X448" s="365"/>
      <c r="Y448" s="365"/>
      <c r="Z448" s="365"/>
    </row>
    <row r="449" spans="1:26" ht="14.25" customHeight="1" x14ac:dyDescent="0.25">
      <c r="A449" s="365"/>
      <c r="B449" s="365"/>
      <c r="C449" s="365"/>
      <c r="D449" s="365"/>
      <c r="E449" s="365"/>
      <c r="F449" s="365"/>
      <c r="G449" s="365"/>
      <c r="H449" s="365"/>
      <c r="I449" s="365"/>
      <c r="J449" s="365"/>
      <c r="K449" s="365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  <c r="Y449" s="365"/>
      <c r="Z449" s="365"/>
    </row>
    <row r="450" spans="1:26" ht="14.25" customHeight="1" x14ac:dyDescent="0.25">
      <c r="A450" s="365"/>
      <c r="B450" s="365"/>
      <c r="C450" s="365"/>
      <c r="D450" s="365"/>
      <c r="E450" s="365"/>
      <c r="F450" s="365"/>
      <c r="G450" s="365"/>
      <c r="H450" s="365"/>
      <c r="I450" s="365"/>
      <c r="J450" s="365"/>
      <c r="K450" s="365"/>
      <c r="L450" s="365"/>
      <c r="M450" s="365"/>
      <c r="N450" s="365"/>
      <c r="O450" s="365"/>
      <c r="P450" s="365"/>
      <c r="Q450" s="365"/>
      <c r="R450" s="365"/>
      <c r="S450" s="365"/>
      <c r="T450" s="365"/>
      <c r="U450" s="365"/>
      <c r="V450" s="365"/>
      <c r="W450" s="365"/>
      <c r="X450" s="365"/>
      <c r="Y450" s="365"/>
      <c r="Z450" s="365"/>
    </row>
    <row r="451" spans="1:26" ht="14.25" customHeight="1" x14ac:dyDescent="0.25">
      <c r="A451" s="365"/>
      <c r="B451" s="365"/>
      <c r="C451" s="365"/>
      <c r="D451" s="365"/>
      <c r="E451" s="365"/>
      <c r="F451" s="365"/>
      <c r="G451" s="365"/>
      <c r="H451" s="365"/>
      <c r="I451" s="365"/>
      <c r="J451" s="365"/>
      <c r="K451" s="365"/>
      <c r="L451" s="365"/>
      <c r="M451" s="365"/>
      <c r="N451" s="365"/>
      <c r="O451" s="365"/>
      <c r="P451" s="365"/>
      <c r="Q451" s="365"/>
      <c r="R451" s="365"/>
      <c r="S451" s="365"/>
      <c r="T451" s="365"/>
      <c r="U451" s="365"/>
      <c r="V451" s="365"/>
      <c r="W451" s="365"/>
      <c r="X451" s="365"/>
      <c r="Y451" s="365"/>
      <c r="Z451" s="365"/>
    </row>
    <row r="452" spans="1:26" ht="14.25" customHeight="1" x14ac:dyDescent="0.25">
      <c r="A452" s="365"/>
      <c r="B452" s="365"/>
      <c r="C452" s="365"/>
      <c r="D452" s="365"/>
      <c r="E452" s="365"/>
      <c r="F452" s="365"/>
      <c r="G452" s="365"/>
      <c r="H452" s="365"/>
      <c r="I452" s="365"/>
      <c r="J452" s="365"/>
      <c r="K452" s="365"/>
      <c r="L452" s="365"/>
      <c r="M452" s="365"/>
      <c r="N452" s="365"/>
      <c r="O452" s="365"/>
      <c r="P452" s="365"/>
      <c r="Q452" s="365"/>
      <c r="R452" s="365"/>
      <c r="S452" s="365"/>
      <c r="T452" s="365"/>
      <c r="U452" s="365"/>
      <c r="V452" s="365"/>
      <c r="W452" s="365"/>
      <c r="X452" s="365"/>
      <c r="Y452" s="365"/>
      <c r="Z452" s="365"/>
    </row>
    <row r="453" spans="1:26" ht="14.25" customHeight="1" x14ac:dyDescent="0.25">
      <c r="A453" s="365"/>
      <c r="B453" s="365"/>
      <c r="C453" s="365"/>
      <c r="D453" s="365"/>
      <c r="E453" s="365"/>
      <c r="F453" s="365"/>
      <c r="G453" s="365"/>
      <c r="H453" s="365"/>
      <c r="I453" s="365"/>
      <c r="J453" s="365"/>
      <c r="K453" s="365"/>
      <c r="L453" s="365"/>
      <c r="M453" s="365"/>
      <c r="N453" s="365"/>
      <c r="O453" s="365"/>
      <c r="P453" s="365"/>
      <c r="Q453" s="365"/>
      <c r="R453" s="365"/>
      <c r="S453" s="365"/>
      <c r="T453" s="365"/>
      <c r="U453" s="365"/>
      <c r="V453" s="365"/>
      <c r="W453" s="365"/>
      <c r="X453" s="365"/>
      <c r="Y453" s="365"/>
      <c r="Z453" s="365"/>
    </row>
    <row r="454" spans="1:26" ht="14.25" customHeight="1" x14ac:dyDescent="0.25">
      <c r="A454" s="365"/>
      <c r="B454" s="365"/>
      <c r="C454" s="365"/>
      <c r="D454" s="365"/>
      <c r="E454" s="365"/>
      <c r="F454" s="365"/>
      <c r="G454" s="365"/>
      <c r="H454" s="365"/>
      <c r="I454" s="365"/>
      <c r="J454" s="365"/>
      <c r="K454" s="365"/>
      <c r="L454" s="365"/>
      <c r="M454" s="365"/>
      <c r="N454" s="365"/>
      <c r="O454" s="365"/>
      <c r="P454" s="365"/>
      <c r="Q454" s="365"/>
      <c r="R454" s="365"/>
      <c r="S454" s="365"/>
      <c r="T454" s="365"/>
      <c r="U454" s="365"/>
      <c r="V454" s="365"/>
      <c r="W454" s="365"/>
      <c r="X454" s="365"/>
      <c r="Y454" s="365"/>
      <c r="Z454" s="365"/>
    </row>
    <row r="455" spans="1:26" ht="14.25" customHeight="1" x14ac:dyDescent="0.25">
      <c r="A455" s="365"/>
      <c r="B455" s="365"/>
      <c r="C455" s="365"/>
      <c r="D455" s="365"/>
      <c r="E455" s="365"/>
      <c r="F455" s="365"/>
      <c r="G455" s="365"/>
      <c r="H455" s="365"/>
      <c r="I455" s="365"/>
      <c r="J455" s="365"/>
      <c r="K455" s="365"/>
      <c r="L455" s="365"/>
      <c r="M455" s="365"/>
      <c r="N455" s="365"/>
      <c r="O455" s="365"/>
      <c r="P455" s="365"/>
      <c r="Q455" s="365"/>
      <c r="R455" s="365"/>
      <c r="S455" s="365"/>
      <c r="T455" s="365"/>
      <c r="U455" s="365"/>
      <c r="V455" s="365"/>
      <c r="W455" s="365"/>
      <c r="X455" s="365"/>
      <c r="Y455" s="365"/>
      <c r="Z455" s="365"/>
    </row>
    <row r="456" spans="1:26" ht="14.25" customHeight="1" x14ac:dyDescent="0.25">
      <c r="A456" s="365"/>
      <c r="B456" s="365"/>
      <c r="C456" s="365"/>
      <c r="D456" s="365"/>
      <c r="E456" s="365"/>
      <c r="F456" s="365"/>
      <c r="G456" s="365"/>
      <c r="H456" s="365"/>
      <c r="I456" s="365"/>
      <c r="J456" s="365"/>
      <c r="K456" s="365"/>
      <c r="L456" s="365"/>
      <c r="M456" s="365"/>
      <c r="N456" s="365"/>
      <c r="O456" s="365"/>
      <c r="P456" s="365"/>
      <c r="Q456" s="365"/>
      <c r="R456" s="365"/>
      <c r="S456" s="365"/>
      <c r="T456" s="365"/>
      <c r="U456" s="365"/>
      <c r="V456" s="365"/>
      <c r="W456" s="365"/>
      <c r="X456" s="365"/>
      <c r="Y456" s="365"/>
      <c r="Z456" s="365"/>
    </row>
    <row r="457" spans="1:26" ht="14.25" customHeight="1" x14ac:dyDescent="0.25">
      <c r="A457" s="365"/>
      <c r="B457" s="365"/>
      <c r="C457" s="365"/>
      <c r="D457" s="365"/>
      <c r="E457" s="365"/>
      <c r="F457" s="365"/>
      <c r="G457" s="365"/>
      <c r="H457" s="365"/>
      <c r="I457" s="365"/>
      <c r="J457" s="365"/>
      <c r="K457" s="365"/>
      <c r="L457" s="365"/>
      <c r="M457" s="365"/>
      <c r="N457" s="365"/>
      <c r="O457" s="365"/>
      <c r="P457" s="365"/>
      <c r="Q457" s="365"/>
      <c r="R457" s="365"/>
      <c r="S457" s="365"/>
      <c r="T457" s="365"/>
      <c r="U457" s="365"/>
      <c r="V457" s="365"/>
      <c r="W457" s="365"/>
      <c r="X457" s="365"/>
      <c r="Y457" s="365"/>
      <c r="Z457" s="365"/>
    </row>
    <row r="458" spans="1:26" ht="14.25" customHeight="1" x14ac:dyDescent="0.25">
      <c r="A458" s="365"/>
      <c r="B458" s="365"/>
      <c r="C458" s="365"/>
      <c r="D458" s="365"/>
      <c r="E458" s="365"/>
      <c r="F458" s="365"/>
      <c r="G458" s="365"/>
      <c r="H458" s="365"/>
      <c r="I458" s="365"/>
      <c r="J458" s="365"/>
      <c r="K458" s="365"/>
      <c r="L458" s="365"/>
      <c r="M458" s="365"/>
      <c r="N458" s="365"/>
      <c r="O458" s="365"/>
      <c r="P458" s="365"/>
      <c r="Q458" s="365"/>
      <c r="R458" s="365"/>
      <c r="S458" s="365"/>
      <c r="T458" s="365"/>
      <c r="U458" s="365"/>
      <c r="V458" s="365"/>
      <c r="W458" s="365"/>
      <c r="X458" s="365"/>
      <c r="Y458" s="365"/>
      <c r="Z458" s="365"/>
    </row>
    <row r="459" spans="1:26" ht="14.25" customHeight="1" x14ac:dyDescent="0.25">
      <c r="A459" s="365"/>
      <c r="B459" s="365"/>
      <c r="C459" s="365"/>
      <c r="D459" s="365"/>
      <c r="E459" s="365"/>
      <c r="F459" s="365"/>
      <c r="G459" s="365"/>
      <c r="H459" s="365"/>
      <c r="I459" s="365"/>
      <c r="J459" s="365"/>
      <c r="K459" s="365"/>
      <c r="L459" s="365"/>
      <c r="M459" s="365"/>
      <c r="N459" s="365"/>
      <c r="O459" s="365"/>
      <c r="P459" s="365"/>
      <c r="Q459" s="365"/>
      <c r="R459" s="365"/>
      <c r="S459" s="365"/>
      <c r="T459" s="365"/>
      <c r="U459" s="365"/>
      <c r="V459" s="365"/>
      <c r="W459" s="365"/>
      <c r="X459" s="365"/>
      <c r="Y459" s="365"/>
      <c r="Z459" s="365"/>
    </row>
    <row r="460" spans="1:26" ht="14.25" customHeight="1" x14ac:dyDescent="0.25">
      <c r="A460" s="365"/>
      <c r="B460" s="365"/>
      <c r="C460" s="365"/>
      <c r="D460" s="365"/>
      <c r="E460" s="365"/>
      <c r="F460" s="365"/>
      <c r="G460" s="365"/>
      <c r="H460" s="365"/>
      <c r="I460" s="365"/>
      <c r="J460" s="365"/>
      <c r="K460" s="365"/>
      <c r="L460" s="365"/>
      <c r="M460" s="365"/>
      <c r="N460" s="365"/>
      <c r="O460" s="365"/>
      <c r="P460" s="365"/>
      <c r="Q460" s="365"/>
      <c r="R460" s="365"/>
      <c r="S460" s="365"/>
      <c r="T460" s="365"/>
      <c r="U460" s="365"/>
      <c r="V460" s="365"/>
      <c r="W460" s="365"/>
      <c r="X460" s="365"/>
      <c r="Y460" s="365"/>
      <c r="Z460" s="365"/>
    </row>
    <row r="461" spans="1:26" ht="14.25" customHeight="1" x14ac:dyDescent="0.25">
      <c r="A461" s="365"/>
      <c r="B461" s="365"/>
      <c r="C461" s="365"/>
      <c r="D461" s="365"/>
      <c r="E461" s="365"/>
      <c r="F461" s="365"/>
      <c r="G461" s="365"/>
      <c r="H461" s="365"/>
      <c r="I461" s="365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  <c r="T461" s="365"/>
      <c r="U461" s="365"/>
      <c r="V461" s="365"/>
      <c r="W461" s="365"/>
      <c r="X461" s="365"/>
      <c r="Y461" s="365"/>
      <c r="Z461" s="365"/>
    </row>
    <row r="462" spans="1:26" ht="14.25" customHeight="1" x14ac:dyDescent="0.25">
      <c r="A462" s="365"/>
      <c r="B462" s="365"/>
      <c r="C462" s="365"/>
      <c r="D462" s="365"/>
      <c r="E462" s="365"/>
      <c r="F462" s="365"/>
      <c r="G462" s="365"/>
      <c r="H462" s="365"/>
      <c r="I462" s="365"/>
      <c r="J462" s="365"/>
      <c r="K462" s="365"/>
      <c r="L462" s="365"/>
      <c r="M462" s="365"/>
      <c r="N462" s="365"/>
      <c r="O462" s="365"/>
      <c r="P462" s="365"/>
      <c r="Q462" s="365"/>
      <c r="R462" s="365"/>
      <c r="S462" s="365"/>
      <c r="T462" s="365"/>
      <c r="U462" s="365"/>
      <c r="V462" s="365"/>
      <c r="W462" s="365"/>
      <c r="X462" s="365"/>
      <c r="Y462" s="365"/>
      <c r="Z462" s="365"/>
    </row>
    <row r="463" spans="1:26" ht="14.25" customHeight="1" x14ac:dyDescent="0.25">
      <c r="A463" s="365"/>
      <c r="B463" s="365"/>
      <c r="C463" s="365"/>
      <c r="D463" s="365"/>
      <c r="E463" s="365"/>
      <c r="F463" s="365"/>
      <c r="G463" s="365"/>
      <c r="H463" s="365"/>
      <c r="I463" s="365"/>
      <c r="J463" s="365"/>
      <c r="K463" s="365"/>
      <c r="L463" s="365"/>
      <c r="M463" s="365"/>
      <c r="N463" s="365"/>
      <c r="O463" s="365"/>
      <c r="P463" s="365"/>
      <c r="Q463" s="365"/>
      <c r="R463" s="365"/>
      <c r="S463" s="365"/>
      <c r="T463" s="365"/>
      <c r="U463" s="365"/>
      <c r="V463" s="365"/>
      <c r="W463" s="365"/>
      <c r="X463" s="365"/>
      <c r="Y463" s="365"/>
      <c r="Z463" s="365"/>
    </row>
    <row r="464" spans="1:26" ht="14.25" customHeight="1" x14ac:dyDescent="0.25">
      <c r="A464" s="365"/>
      <c r="B464" s="365"/>
      <c r="C464" s="365"/>
      <c r="D464" s="365"/>
      <c r="E464" s="365"/>
      <c r="F464" s="365"/>
      <c r="G464" s="365"/>
      <c r="H464" s="365"/>
      <c r="I464" s="365"/>
      <c r="J464" s="365"/>
      <c r="K464" s="365"/>
      <c r="L464" s="365"/>
      <c r="M464" s="365"/>
      <c r="N464" s="365"/>
      <c r="O464" s="365"/>
      <c r="P464" s="365"/>
      <c r="Q464" s="365"/>
      <c r="R464" s="365"/>
      <c r="S464" s="365"/>
      <c r="T464" s="365"/>
      <c r="U464" s="365"/>
      <c r="V464" s="365"/>
      <c r="W464" s="365"/>
      <c r="X464" s="365"/>
      <c r="Y464" s="365"/>
      <c r="Z464" s="365"/>
    </row>
    <row r="465" spans="1:26" ht="14.25" customHeight="1" x14ac:dyDescent="0.25">
      <c r="A465" s="365"/>
      <c r="B465" s="365"/>
      <c r="C465" s="365"/>
      <c r="D465" s="365"/>
      <c r="E465" s="365"/>
      <c r="F465" s="365"/>
      <c r="G465" s="365"/>
      <c r="H465" s="365"/>
      <c r="I465" s="365"/>
      <c r="J465" s="365"/>
      <c r="K465" s="365"/>
      <c r="L465" s="365"/>
      <c r="M465" s="365"/>
      <c r="N465" s="365"/>
      <c r="O465" s="365"/>
      <c r="P465" s="365"/>
      <c r="Q465" s="365"/>
      <c r="R465" s="365"/>
      <c r="S465" s="365"/>
      <c r="T465" s="365"/>
      <c r="U465" s="365"/>
      <c r="V465" s="365"/>
      <c r="W465" s="365"/>
      <c r="X465" s="365"/>
      <c r="Y465" s="365"/>
      <c r="Z465" s="365"/>
    </row>
    <row r="466" spans="1:26" ht="14.25" customHeight="1" x14ac:dyDescent="0.25">
      <c r="A466" s="365"/>
      <c r="B466" s="365"/>
      <c r="C466" s="365"/>
      <c r="D466" s="365"/>
      <c r="E466" s="365"/>
      <c r="F466" s="365"/>
      <c r="G466" s="365"/>
      <c r="H466" s="365"/>
      <c r="I466" s="365"/>
      <c r="J466" s="365"/>
      <c r="K466" s="365"/>
      <c r="L466" s="365"/>
      <c r="M466" s="365"/>
      <c r="N466" s="365"/>
      <c r="O466" s="365"/>
      <c r="P466" s="365"/>
      <c r="Q466" s="365"/>
      <c r="R466" s="365"/>
      <c r="S466" s="365"/>
      <c r="T466" s="365"/>
      <c r="U466" s="365"/>
      <c r="V466" s="365"/>
      <c r="W466" s="365"/>
      <c r="X466" s="365"/>
      <c r="Y466" s="365"/>
      <c r="Z466" s="365"/>
    </row>
    <row r="467" spans="1:26" ht="14.25" customHeight="1" x14ac:dyDescent="0.25">
      <c r="A467" s="365"/>
      <c r="B467" s="365"/>
      <c r="C467" s="365"/>
      <c r="D467" s="365"/>
      <c r="E467" s="365"/>
      <c r="F467" s="365"/>
      <c r="G467" s="365"/>
      <c r="H467" s="365"/>
      <c r="I467" s="365"/>
      <c r="J467" s="365"/>
      <c r="K467" s="365"/>
      <c r="L467" s="365"/>
      <c r="M467" s="365"/>
      <c r="N467" s="365"/>
      <c r="O467" s="365"/>
      <c r="P467" s="365"/>
      <c r="Q467" s="365"/>
      <c r="R467" s="365"/>
      <c r="S467" s="365"/>
      <c r="T467" s="365"/>
      <c r="U467" s="365"/>
      <c r="V467" s="365"/>
      <c r="W467" s="365"/>
      <c r="X467" s="365"/>
      <c r="Y467" s="365"/>
      <c r="Z467" s="365"/>
    </row>
    <row r="468" spans="1:26" ht="14.25" customHeight="1" x14ac:dyDescent="0.25">
      <c r="A468" s="365"/>
      <c r="B468" s="365"/>
      <c r="C468" s="365"/>
      <c r="D468" s="365"/>
      <c r="E468" s="365"/>
      <c r="F468" s="365"/>
      <c r="G468" s="365"/>
      <c r="H468" s="365"/>
      <c r="I468" s="365"/>
      <c r="J468" s="365"/>
      <c r="K468" s="365"/>
      <c r="L468" s="365"/>
      <c r="M468" s="365"/>
      <c r="N468" s="365"/>
      <c r="O468" s="365"/>
      <c r="P468" s="365"/>
      <c r="Q468" s="365"/>
      <c r="R468" s="365"/>
      <c r="S468" s="365"/>
      <c r="T468" s="365"/>
      <c r="U468" s="365"/>
      <c r="V468" s="365"/>
      <c r="W468" s="365"/>
      <c r="X468" s="365"/>
      <c r="Y468" s="365"/>
      <c r="Z468" s="365"/>
    </row>
    <row r="469" spans="1:26" ht="14.25" customHeight="1" x14ac:dyDescent="0.25">
      <c r="A469" s="365"/>
      <c r="B469" s="365"/>
      <c r="C469" s="365"/>
      <c r="D469" s="365"/>
      <c r="E469" s="365"/>
      <c r="F469" s="365"/>
      <c r="G469" s="365"/>
      <c r="H469" s="365"/>
      <c r="I469" s="365"/>
      <c r="J469" s="365"/>
      <c r="K469" s="365"/>
      <c r="L469" s="365"/>
      <c r="M469" s="365"/>
      <c r="N469" s="365"/>
      <c r="O469" s="365"/>
      <c r="P469" s="365"/>
      <c r="Q469" s="365"/>
      <c r="R469" s="365"/>
      <c r="S469" s="365"/>
      <c r="T469" s="365"/>
      <c r="U469" s="365"/>
      <c r="V469" s="365"/>
      <c r="W469" s="365"/>
      <c r="X469" s="365"/>
      <c r="Y469" s="365"/>
      <c r="Z469" s="365"/>
    </row>
    <row r="470" spans="1:26" ht="14.25" customHeight="1" x14ac:dyDescent="0.25">
      <c r="A470" s="365"/>
      <c r="B470" s="365"/>
      <c r="C470" s="365"/>
      <c r="D470" s="365"/>
      <c r="E470" s="365"/>
      <c r="F470" s="365"/>
      <c r="G470" s="365"/>
      <c r="H470" s="365"/>
      <c r="I470" s="365"/>
      <c r="J470" s="365"/>
      <c r="K470" s="365"/>
      <c r="L470" s="365"/>
      <c r="M470" s="365"/>
      <c r="N470" s="365"/>
      <c r="O470" s="365"/>
      <c r="P470" s="365"/>
      <c r="Q470" s="365"/>
      <c r="R470" s="365"/>
      <c r="S470" s="365"/>
      <c r="T470" s="365"/>
      <c r="U470" s="365"/>
      <c r="V470" s="365"/>
      <c r="W470" s="365"/>
      <c r="X470" s="365"/>
      <c r="Y470" s="365"/>
      <c r="Z470" s="365"/>
    </row>
    <row r="471" spans="1:26" ht="14.25" customHeight="1" x14ac:dyDescent="0.25">
      <c r="A471" s="365"/>
      <c r="B471" s="365"/>
      <c r="C471" s="365"/>
      <c r="D471" s="365"/>
      <c r="E471" s="365"/>
      <c r="F471" s="365"/>
      <c r="G471" s="365"/>
      <c r="H471" s="365"/>
      <c r="I471" s="365"/>
      <c r="J471" s="365"/>
      <c r="K471" s="365"/>
      <c r="L471" s="365"/>
      <c r="M471" s="365"/>
      <c r="N471" s="365"/>
      <c r="O471" s="365"/>
      <c r="P471" s="365"/>
      <c r="Q471" s="365"/>
      <c r="R471" s="365"/>
      <c r="S471" s="365"/>
      <c r="T471" s="365"/>
      <c r="U471" s="365"/>
      <c r="V471" s="365"/>
      <c r="W471" s="365"/>
      <c r="X471" s="365"/>
      <c r="Y471" s="365"/>
      <c r="Z471" s="365"/>
    </row>
    <row r="472" spans="1:26" ht="14.25" customHeight="1" x14ac:dyDescent="0.25">
      <c r="A472" s="365"/>
      <c r="B472" s="365"/>
      <c r="C472" s="365"/>
      <c r="D472" s="365"/>
      <c r="E472" s="365"/>
      <c r="F472" s="365"/>
      <c r="G472" s="365"/>
      <c r="H472" s="365"/>
      <c r="I472" s="365"/>
      <c r="J472" s="365"/>
      <c r="K472" s="365"/>
      <c r="L472" s="365"/>
      <c r="M472" s="365"/>
      <c r="N472" s="365"/>
      <c r="O472" s="365"/>
      <c r="P472" s="365"/>
      <c r="Q472" s="365"/>
      <c r="R472" s="365"/>
      <c r="S472" s="365"/>
      <c r="T472" s="365"/>
      <c r="U472" s="365"/>
      <c r="V472" s="365"/>
      <c r="W472" s="365"/>
      <c r="X472" s="365"/>
      <c r="Y472" s="365"/>
      <c r="Z472" s="365"/>
    </row>
    <row r="473" spans="1:26" ht="14.25" customHeight="1" x14ac:dyDescent="0.25">
      <c r="A473" s="365"/>
      <c r="B473" s="365"/>
      <c r="C473" s="365"/>
      <c r="D473" s="365"/>
      <c r="E473" s="365"/>
      <c r="F473" s="365"/>
      <c r="G473" s="365"/>
      <c r="H473" s="365"/>
      <c r="I473" s="365"/>
      <c r="J473" s="365"/>
      <c r="K473" s="365"/>
      <c r="L473" s="365"/>
      <c r="M473" s="365"/>
      <c r="N473" s="365"/>
      <c r="O473" s="365"/>
      <c r="P473" s="365"/>
      <c r="Q473" s="365"/>
      <c r="R473" s="365"/>
      <c r="S473" s="365"/>
      <c r="T473" s="365"/>
      <c r="U473" s="365"/>
      <c r="V473" s="365"/>
      <c r="W473" s="365"/>
      <c r="X473" s="365"/>
      <c r="Y473" s="365"/>
      <c r="Z473" s="365"/>
    </row>
    <row r="474" spans="1:26" ht="14.25" customHeight="1" x14ac:dyDescent="0.25">
      <c r="A474" s="365"/>
      <c r="B474" s="365"/>
      <c r="C474" s="365"/>
      <c r="D474" s="365"/>
      <c r="E474" s="365"/>
      <c r="F474" s="365"/>
      <c r="G474" s="365"/>
      <c r="H474" s="365"/>
      <c r="I474" s="365"/>
      <c r="J474" s="365"/>
      <c r="K474" s="365"/>
      <c r="L474" s="365"/>
      <c r="M474" s="365"/>
      <c r="N474" s="365"/>
      <c r="O474" s="365"/>
      <c r="P474" s="365"/>
      <c r="Q474" s="365"/>
      <c r="R474" s="365"/>
      <c r="S474" s="365"/>
      <c r="T474" s="365"/>
      <c r="U474" s="365"/>
      <c r="V474" s="365"/>
      <c r="W474" s="365"/>
      <c r="X474" s="365"/>
      <c r="Y474" s="365"/>
      <c r="Z474" s="365"/>
    </row>
    <row r="475" spans="1:26" ht="14.25" customHeight="1" x14ac:dyDescent="0.25">
      <c r="A475" s="365"/>
      <c r="B475" s="365"/>
      <c r="C475" s="365"/>
      <c r="D475" s="365"/>
      <c r="E475" s="365"/>
      <c r="F475" s="365"/>
      <c r="G475" s="365"/>
      <c r="H475" s="365"/>
      <c r="I475" s="365"/>
      <c r="J475" s="365"/>
      <c r="K475" s="365"/>
      <c r="L475" s="365"/>
      <c r="M475" s="365"/>
      <c r="N475" s="365"/>
      <c r="O475" s="365"/>
      <c r="P475" s="365"/>
      <c r="Q475" s="365"/>
      <c r="R475" s="365"/>
      <c r="S475" s="365"/>
      <c r="T475" s="365"/>
      <c r="U475" s="365"/>
      <c r="V475" s="365"/>
      <c r="W475" s="365"/>
      <c r="X475" s="365"/>
      <c r="Y475" s="365"/>
      <c r="Z475" s="365"/>
    </row>
    <row r="476" spans="1:26" ht="14.25" customHeight="1" x14ac:dyDescent="0.25">
      <c r="A476" s="365"/>
      <c r="B476" s="365"/>
      <c r="C476" s="365"/>
      <c r="D476" s="365"/>
      <c r="E476" s="365"/>
      <c r="F476" s="365"/>
      <c r="G476" s="365"/>
      <c r="H476" s="365"/>
      <c r="I476" s="365"/>
      <c r="J476" s="365"/>
      <c r="K476" s="365"/>
      <c r="L476" s="365"/>
      <c r="M476" s="365"/>
      <c r="N476" s="365"/>
      <c r="O476" s="365"/>
      <c r="P476" s="365"/>
      <c r="Q476" s="365"/>
      <c r="R476" s="365"/>
      <c r="S476" s="365"/>
      <c r="T476" s="365"/>
      <c r="U476" s="365"/>
      <c r="V476" s="365"/>
      <c r="W476" s="365"/>
      <c r="X476" s="365"/>
      <c r="Y476" s="365"/>
      <c r="Z476" s="365"/>
    </row>
    <row r="477" spans="1:26" ht="14.25" customHeight="1" x14ac:dyDescent="0.25">
      <c r="A477" s="365"/>
      <c r="B477" s="365"/>
      <c r="C477" s="365"/>
      <c r="D477" s="365"/>
      <c r="E477" s="365"/>
      <c r="F477" s="365"/>
      <c r="G477" s="365"/>
      <c r="H477" s="365"/>
      <c r="I477" s="365"/>
      <c r="J477" s="365"/>
      <c r="K477" s="365"/>
      <c r="L477" s="365"/>
      <c r="M477" s="365"/>
      <c r="N477" s="365"/>
      <c r="O477" s="365"/>
      <c r="P477" s="365"/>
      <c r="Q477" s="365"/>
      <c r="R477" s="365"/>
      <c r="S477" s="365"/>
      <c r="T477" s="365"/>
      <c r="U477" s="365"/>
      <c r="V477" s="365"/>
      <c r="W477" s="365"/>
      <c r="X477" s="365"/>
      <c r="Y477" s="365"/>
      <c r="Z477" s="365"/>
    </row>
    <row r="478" spans="1:26" ht="14.25" customHeight="1" x14ac:dyDescent="0.25">
      <c r="A478" s="365"/>
      <c r="B478" s="365"/>
      <c r="C478" s="365"/>
      <c r="D478" s="365"/>
      <c r="E478" s="365"/>
      <c r="F478" s="365"/>
      <c r="G478" s="365"/>
      <c r="H478" s="365"/>
      <c r="I478" s="365"/>
      <c r="J478" s="365"/>
      <c r="K478" s="365"/>
      <c r="L478" s="365"/>
      <c r="M478" s="365"/>
      <c r="N478" s="365"/>
      <c r="O478" s="365"/>
      <c r="P478" s="365"/>
      <c r="Q478" s="365"/>
      <c r="R478" s="365"/>
      <c r="S478" s="365"/>
      <c r="T478" s="365"/>
      <c r="U478" s="365"/>
      <c r="V478" s="365"/>
      <c r="W478" s="365"/>
      <c r="X478" s="365"/>
      <c r="Y478" s="365"/>
      <c r="Z478" s="365"/>
    </row>
    <row r="479" spans="1:26" ht="14.25" customHeight="1" x14ac:dyDescent="0.25">
      <c r="A479" s="365"/>
      <c r="B479" s="365"/>
      <c r="C479" s="365"/>
      <c r="D479" s="365"/>
      <c r="E479" s="365"/>
      <c r="F479" s="365"/>
      <c r="G479" s="365"/>
      <c r="H479" s="365"/>
      <c r="I479" s="365"/>
      <c r="J479" s="365"/>
      <c r="K479" s="365"/>
      <c r="L479" s="365"/>
      <c r="M479" s="365"/>
      <c r="N479" s="365"/>
      <c r="O479" s="365"/>
      <c r="P479" s="365"/>
      <c r="Q479" s="365"/>
      <c r="R479" s="365"/>
      <c r="S479" s="365"/>
      <c r="T479" s="365"/>
      <c r="U479" s="365"/>
      <c r="V479" s="365"/>
      <c r="W479" s="365"/>
      <c r="X479" s="365"/>
      <c r="Y479" s="365"/>
      <c r="Z479" s="365"/>
    </row>
    <row r="480" spans="1:26" ht="14.25" customHeight="1" x14ac:dyDescent="0.25">
      <c r="A480" s="365"/>
      <c r="B480" s="365"/>
      <c r="C480" s="365"/>
      <c r="D480" s="365"/>
      <c r="E480" s="365"/>
      <c r="F480" s="365"/>
      <c r="G480" s="365"/>
      <c r="H480" s="365"/>
      <c r="I480" s="365"/>
      <c r="J480" s="365"/>
      <c r="K480" s="365"/>
      <c r="L480" s="365"/>
      <c r="M480" s="365"/>
      <c r="N480" s="365"/>
      <c r="O480" s="365"/>
      <c r="P480" s="365"/>
      <c r="Q480" s="365"/>
      <c r="R480" s="365"/>
      <c r="S480" s="365"/>
      <c r="T480" s="365"/>
      <c r="U480" s="365"/>
      <c r="V480" s="365"/>
      <c r="W480" s="365"/>
      <c r="X480" s="365"/>
      <c r="Y480" s="365"/>
      <c r="Z480" s="365"/>
    </row>
    <row r="481" spans="1:26" ht="14.25" customHeight="1" x14ac:dyDescent="0.25">
      <c r="A481" s="365"/>
      <c r="B481" s="365"/>
      <c r="C481" s="365"/>
      <c r="D481" s="365"/>
      <c r="E481" s="365"/>
      <c r="F481" s="365"/>
      <c r="G481" s="365"/>
      <c r="H481" s="365"/>
      <c r="I481" s="365"/>
      <c r="J481" s="365"/>
      <c r="K481" s="365"/>
      <c r="L481" s="365"/>
      <c r="M481" s="365"/>
      <c r="N481" s="365"/>
      <c r="O481" s="365"/>
      <c r="P481" s="365"/>
      <c r="Q481" s="365"/>
      <c r="R481" s="365"/>
      <c r="S481" s="365"/>
      <c r="T481" s="365"/>
      <c r="U481" s="365"/>
      <c r="V481" s="365"/>
      <c r="W481" s="365"/>
      <c r="X481" s="365"/>
      <c r="Y481" s="365"/>
      <c r="Z481" s="365"/>
    </row>
    <row r="482" spans="1:26" ht="14.25" customHeight="1" x14ac:dyDescent="0.25">
      <c r="A482" s="365"/>
      <c r="B482" s="365"/>
      <c r="C482" s="365"/>
      <c r="D482" s="365"/>
      <c r="E482" s="365"/>
      <c r="F482" s="365"/>
      <c r="G482" s="365"/>
      <c r="H482" s="365"/>
      <c r="I482" s="365"/>
      <c r="J482" s="365"/>
      <c r="K482" s="365"/>
      <c r="L482" s="365"/>
      <c r="M482" s="365"/>
      <c r="N482" s="365"/>
      <c r="O482" s="365"/>
      <c r="P482" s="365"/>
      <c r="Q482" s="365"/>
      <c r="R482" s="365"/>
      <c r="S482" s="365"/>
      <c r="T482" s="365"/>
      <c r="U482" s="365"/>
      <c r="V482" s="365"/>
      <c r="W482" s="365"/>
      <c r="X482" s="365"/>
      <c r="Y482" s="365"/>
      <c r="Z482" s="365"/>
    </row>
    <row r="483" spans="1:26" ht="14.25" customHeight="1" x14ac:dyDescent="0.25">
      <c r="A483" s="365"/>
      <c r="B483" s="365"/>
      <c r="C483" s="365"/>
      <c r="D483" s="365"/>
      <c r="E483" s="365"/>
      <c r="F483" s="365"/>
      <c r="G483" s="365"/>
      <c r="H483" s="365"/>
      <c r="I483" s="365"/>
      <c r="J483" s="365"/>
      <c r="K483" s="365"/>
      <c r="L483" s="365"/>
      <c r="M483" s="365"/>
      <c r="N483" s="365"/>
      <c r="O483" s="365"/>
      <c r="P483" s="365"/>
      <c r="Q483" s="365"/>
      <c r="R483" s="365"/>
      <c r="S483" s="365"/>
      <c r="T483" s="365"/>
      <c r="U483" s="365"/>
      <c r="V483" s="365"/>
      <c r="W483" s="365"/>
      <c r="X483" s="365"/>
      <c r="Y483" s="365"/>
      <c r="Z483" s="365"/>
    </row>
    <row r="484" spans="1:26" ht="14.25" customHeight="1" x14ac:dyDescent="0.25">
      <c r="A484" s="365"/>
      <c r="B484" s="365"/>
      <c r="C484" s="365"/>
      <c r="D484" s="365"/>
      <c r="E484" s="365"/>
      <c r="F484" s="365"/>
      <c r="G484" s="365"/>
      <c r="H484" s="365"/>
      <c r="I484" s="365"/>
      <c r="J484" s="365"/>
      <c r="K484" s="365"/>
      <c r="L484" s="365"/>
      <c r="M484" s="365"/>
      <c r="N484" s="365"/>
      <c r="O484" s="365"/>
      <c r="P484" s="365"/>
      <c r="Q484" s="365"/>
      <c r="R484" s="365"/>
      <c r="S484" s="365"/>
      <c r="T484" s="365"/>
      <c r="U484" s="365"/>
      <c r="V484" s="365"/>
      <c r="W484" s="365"/>
      <c r="X484" s="365"/>
      <c r="Y484" s="365"/>
      <c r="Z484" s="365"/>
    </row>
    <row r="485" spans="1:26" ht="14.25" customHeight="1" x14ac:dyDescent="0.25">
      <c r="A485" s="365"/>
      <c r="B485" s="365"/>
      <c r="C485" s="365"/>
      <c r="D485" s="365"/>
      <c r="E485" s="365"/>
      <c r="F485" s="365"/>
      <c r="G485" s="365"/>
      <c r="H485" s="365"/>
      <c r="I485" s="365"/>
      <c r="J485" s="365"/>
      <c r="K485" s="365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  <c r="Y485" s="365"/>
      <c r="Z485" s="365"/>
    </row>
    <row r="486" spans="1:26" ht="14.25" customHeight="1" x14ac:dyDescent="0.25">
      <c r="A486" s="365"/>
      <c r="B486" s="365"/>
      <c r="C486" s="365"/>
      <c r="D486" s="365"/>
      <c r="E486" s="365"/>
      <c r="F486" s="365"/>
      <c r="G486" s="365"/>
      <c r="H486" s="365"/>
      <c r="I486" s="365"/>
      <c r="J486" s="365"/>
      <c r="K486" s="365"/>
      <c r="L486" s="365"/>
      <c r="M486" s="365"/>
      <c r="N486" s="365"/>
      <c r="O486" s="365"/>
      <c r="P486" s="365"/>
      <c r="Q486" s="365"/>
      <c r="R486" s="365"/>
      <c r="S486" s="365"/>
      <c r="T486" s="365"/>
      <c r="U486" s="365"/>
      <c r="V486" s="365"/>
      <c r="W486" s="365"/>
      <c r="X486" s="365"/>
      <c r="Y486" s="365"/>
      <c r="Z486" s="365"/>
    </row>
    <row r="487" spans="1:26" ht="14.25" customHeight="1" x14ac:dyDescent="0.25">
      <c r="A487" s="365"/>
      <c r="B487" s="365"/>
      <c r="C487" s="365"/>
      <c r="D487" s="365"/>
      <c r="E487" s="365"/>
      <c r="F487" s="365"/>
      <c r="G487" s="365"/>
      <c r="H487" s="365"/>
      <c r="I487" s="365"/>
      <c r="J487" s="365"/>
      <c r="K487" s="365"/>
      <c r="L487" s="365"/>
      <c r="M487" s="365"/>
      <c r="N487" s="365"/>
      <c r="O487" s="365"/>
      <c r="P487" s="365"/>
      <c r="Q487" s="365"/>
      <c r="R487" s="365"/>
      <c r="S487" s="365"/>
      <c r="T487" s="365"/>
      <c r="U487" s="365"/>
      <c r="V487" s="365"/>
      <c r="W487" s="365"/>
      <c r="X487" s="365"/>
      <c r="Y487" s="365"/>
      <c r="Z487" s="365"/>
    </row>
    <row r="488" spans="1:26" ht="14.25" customHeight="1" x14ac:dyDescent="0.25">
      <c r="A488" s="365"/>
      <c r="B488" s="365"/>
      <c r="C488" s="365"/>
      <c r="D488" s="365"/>
      <c r="E488" s="365"/>
      <c r="F488" s="365"/>
      <c r="G488" s="365"/>
      <c r="H488" s="365"/>
      <c r="I488" s="365"/>
      <c r="J488" s="365"/>
      <c r="K488" s="365"/>
      <c r="L488" s="365"/>
      <c r="M488" s="365"/>
      <c r="N488" s="365"/>
      <c r="O488" s="365"/>
      <c r="P488" s="365"/>
      <c r="Q488" s="365"/>
      <c r="R488" s="365"/>
      <c r="S488" s="365"/>
      <c r="T488" s="365"/>
      <c r="U488" s="365"/>
      <c r="V488" s="365"/>
      <c r="W488" s="365"/>
      <c r="X488" s="365"/>
      <c r="Y488" s="365"/>
      <c r="Z488" s="365"/>
    </row>
    <row r="489" spans="1:26" ht="14.25" customHeight="1" x14ac:dyDescent="0.25">
      <c r="A489" s="365"/>
      <c r="B489" s="365"/>
      <c r="C489" s="365"/>
      <c r="D489" s="365"/>
      <c r="E489" s="365"/>
      <c r="F489" s="365"/>
      <c r="G489" s="365"/>
      <c r="H489" s="365"/>
      <c r="I489" s="365"/>
      <c r="J489" s="365"/>
      <c r="K489" s="365"/>
      <c r="L489" s="365"/>
      <c r="M489" s="365"/>
      <c r="N489" s="365"/>
      <c r="O489" s="365"/>
      <c r="P489" s="365"/>
      <c r="Q489" s="365"/>
      <c r="R489" s="365"/>
      <c r="S489" s="365"/>
      <c r="T489" s="365"/>
      <c r="U489" s="365"/>
      <c r="V489" s="365"/>
      <c r="W489" s="365"/>
      <c r="X489" s="365"/>
      <c r="Y489" s="365"/>
      <c r="Z489" s="365"/>
    </row>
    <row r="490" spans="1:26" ht="14.25" customHeight="1" x14ac:dyDescent="0.25">
      <c r="A490" s="365"/>
      <c r="B490" s="365"/>
      <c r="C490" s="365"/>
      <c r="D490" s="365"/>
      <c r="E490" s="365"/>
      <c r="F490" s="365"/>
      <c r="G490" s="365"/>
      <c r="H490" s="365"/>
      <c r="I490" s="365"/>
      <c r="J490" s="365"/>
      <c r="K490" s="365"/>
      <c r="L490" s="365"/>
      <c r="M490" s="365"/>
      <c r="N490" s="365"/>
      <c r="O490" s="365"/>
      <c r="P490" s="365"/>
      <c r="Q490" s="365"/>
      <c r="R490" s="365"/>
      <c r="S490" s="365"/>
      <c r="T490" s="365"/>
      <c r="U490" s="365"/>
      <c r="V490" s="365"/>
      <c r="W490" s="365"/>
      <c r="X490" s="365"/>
      <c r="Y490" s="365"/>
      <c r="Z490" s="365"/>
    </row>
    <row r="491" spans="1:26" ht="14.25" customHeight="1" x14ac:dyDescent="0.25">
      <c r="A491" s="365"/>
      <c r="B491" s="365"/>
      <c r="C491" s="365"/>
      <c r="D491" s="365"/>
      <c r="E491" s="365"/>
      <c r="F491" s="365"/>
      <c r="G491" s="365"/>
      <c r="H491" s="365"/>
      <c r="I491" s="365"/>
      <c r="J491" s="365"/>
      <c r="K491" s="365"/>
      <c r="L491" s="365"/>
      <c r="M491" s="365"/>
      <c r="N491" s="365"/>
      <c r="O491" s="365"/>
      <c r="P491" s="365"/>
      <c r="Q491" s="365"/>
      <c r="R491" s="365"/>
      <c r="S491" s="365"/>
      <c r="T491" s="365"/>
      <c r="U491" s="365"/>
      <c r="V491" s="365"/>
      <c r="W491" s="365"/>
      <c r="X491" s="365"/>
      <c r="Y491" s="365"/>
      <c r="Z491" s="365"/>
    </row>
    <row r="492" spans="1:26" ht="14.25" customHeight="1" x14ac:dyDescent="0.25">
      <c r="A492" s="365"/>
      <c r="B492" s="365"/>
      <c r="C492" s="365"/>
      <c r="D492" s="365"/>
      <c r="E492" s="365"/>
      <c r="F492" s="365"/>
      <c r="G492" s="365"/>
      <c r="H492" s="365"/>
      <c r="I492" s="365"/>
      <c r="J492" s="365"/>
      <c r="K492" s="365"/>
      <c r="L492" s="365"/>
      <c r="M492" s="365"/>
      <c r="N492" s="365"/>
      <c r="O492" s="365"/>
      <c r="P492" s="365"/>
      <c r="Q492" s="365"/>
      <c r="R492" s="365"/>
      <c r="S492" s="365"/>
      <c r="T492" s="365"/>
      <c r="U492" s="365"/>
      <c r="V492" s="365"/>
      <c r="W492" s="365"/>
      <c r="X492" s="365"/>
      <c r="Y492" s="365"/>
      <c r="Z492" s="365"/>
    </row>
    <row r="493" spans="1:26" ht="14.25" customHeight="1" x14ac:dyDescent="0.25">
      <c r="A493" s="365"/>
      <c r="B493" s="365"/>
      <c r="C493" s="365"/>
      <c r="D493" s="365"/>
      <c r="E493" s="365"/>
      <c r="F493" s="365"/>
      <c r="G493" s="365"/>
      <c r="H493" s="365"/>
      <c r="I493" s="365"/>
      <c r="J493" s="365"/>
      <c r="K493" s="365"/>
      <c r="L493" s="365"/>
      <c r="M493" s="365"/>
      <c r="N493" s="365"/>
      <c r="O493" s="365"/>
      <c r="P493" s="365"/>
      <c r="Q493" s="365"/>
      <c r="R493" s="365"/>
      <c r="S493" s="365"/>
      <c r="T493" s="365"/>
      <c r="U493" s="365"/>
      <c r="V493" s="365"/>
      <c r="W493" s="365"/>
      <c r="X493" s="365"/>
      <c r="Y493" s="365"/>
      <c r="Z493" s="365"/>
    </row>
    <row r="494" spans="1:26" ht="14.25" customHeight="1" x14ac:dyDescent="0.25">
      <c r="A494" s="365"/>
      <c r="B494" s="365"/>
      <c r="C494" s="365"/>
      <c r="D494" s="365"/>
      <c r="E494" s="365"/>
      <c r="F494" s="365"/>
      <c r="G494" s="365"/>
      <c r="H494" s="365"/>
      <c r="I494" s="365"/>
      <c r="J494" s="365"/>
      <c r="K494" s="365"/>
      <c r="L494" s="365"/>
      <c r="M494" s="365"/>
      <c r="N494" s="365"/>
      <c r="O494" s="365"/>
      <c r="P494" s="365"/>
      <c r="Q494" s="365"/>
      <c r="R494" s="365"/>
      <c r="S494" s="365"/>
      <c r="T494" s="365"/>
      <c r="U494" s="365"/>
      <c r="V494" s="365"/>
      <c r="W494" s="365"/>
      <c r="X494" s="365"/>
      <c r="Y494" s="365"/>
      <c r="Z494" s="365"/>
    </row>
    <row r="495" spans="1:26" ht="14.25" customHeight="1" x14ac:dyDescent="0.25">
      <c r="A495" s="365"/>
      <c r="B495" s="365"/>
      <c r="C495" s="365"/>
      <c r="D495" s="365"/>
      <c r="E495" s="365"/>
      <c r="F495" s="365"/>
      <c r="G495" s="365"/>
      <c r="H495" s="365"/>
      <c r="I495" s="365"/>
      <c r="J495" s="365"/>
      <c r="K495" s="365"/>
      <c r="L495" s="365"/>
      <c r="M495" s="365"/>
      <c r="N495" s="365"/>
      <c r="O495" s="365"/>
      <c r="P495" s="365"/>
      <c r="Q495" s="365"/>
      <c r="R495" s="365"/>
      <c r="S495" s="365"/>
      <c r="T495" s="365"/>
      <c r="U495" s="365"/>
      <c r="V495" s="365"/>
      <c r="W495" s="365"/>
      <c r="X495" s="365"/>
      <c r="Y495" s="365"/>
      <c r="Z495" s="365"/>
    </row>
    <row r="496" spans="1:26" ht="14.25" customHeight="1" x14ac:dyDescent="0.25">
      <c r="A496" s="365"/>
      <c r="B496" s="365"/>
      <c r="C496" s="365"/>
      <c r="D496" s="365"/>
      <c r="E496" s="365"/>
      <c r="F496" s="365"/>
      <c r="G496" s="365"/>
      <c r="H496" s="365"/>
      <c r="I496" s="365"/>
      <c r="J496" s="365"/>
      <c r="K496" s="365"/>
      <c r="L496" s="365"/>
      <c r="M496" s="365"/>
      <c r="N496" s="365"/>
      <c r="O496" s="365"/>
      <c r="P496" s="365"/>
      <c r="Q496" s="365"/>
      <c r="R496" s="365"/>
      <c r="S496" s="365"/>
      <c r="T496" s="365"/>
      <c r="U496" s="365"/>
      <c r="V496" s="365"/>
      <c r="W496" s="365"/>
      <c r="X496" s="365"/>
      <c r="Y496" s="365"/>
      <c r="Z496" s="365"/>
    </row>
    <row r="497" spans="1:26" ht="14.25" customHeight="1" x14ac:dyDescent="0.25">
      <c r="A497" s="365"/>
      <c r="B497" s="365"/>
      <c r="C497" s="365"/>
      <c r="D497" s="365"/>
      <c r="E497" s="365"/>
      <c r="F497" s="365"/>
      <c r="G497" s="365"/>
      <c r="H497" s="365"/>
      <c r="I497" s="365"/>
      <c r="J497" s="365"/>
      <c r="K497" s="365"/>
      <c r="L497" s="365"/>
      <c r="M497" s="365"/>
      <c r="N497" s="365"/>
      <c r="O497" s="365"/>
      <c r="P497" s="365"/>
      <c r="Q497" s="365"/>
      <c r="R497" s="365"/>
      <c r="S497" s="365"/>
      <c r="T497" s="365"/>
      <c r="U497" s="365"/>
      <c r="V497" s="365"/>
      <c r="W497" s="365"/>
      <c r="X497" s="365"/>
      <c r="Y497" s="365"/>
      <c r="Z497" s="365"/>
    </row>
    <row r="498" spans="1:26" ht="14.25" customHeight="1" x14ac:dyDescent="0.25">
      <c r="A498" s="365"/>
      <c r="B498" s="365"/>
      <c r="C498" s="365"/>
      <c r="D498" s="365"/>
      <c r="E498" s="365"/>
      <c r="F498" s="365"/>
      <c r="G498" s="365"/>
      <c r="H498" s="365"/>
      <c r="I498" s="365"/>
      <c r="J498" s="365"/>
      <c r="K498" s="365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  <c r="Y498" s="365"/>
      <c r="Z498" s="365"/>
    </row>
    <row r="499" spans="1:26" ht="14.25" customHeight="1" x14ac:dyDescent="0.25">
      <c r="A499" s="365"/>
      <c r="B499" s="365"/>
      <c r="C499" s="365"/>
      <c r="D499" s="365"/>
      <c r="E499" s="365"/>
      <c r="F499" s="365"/>
      <c r="G499" s="365"/>
      <c r="H499" s="365"/>
      <c r="I499" s="365"/>
      <c r="J499" s="365"/>
      <c r="K499" s="365"/>
      <c r="L499" s="365"/>
      <c r="M499" s="365"/>
      <c r="N499" s="365"/>
      <c r="O499" s="365"/>
      <c r="P499" s="365"/>
      <c r="Q499" s="365"/>
      <c r="R499" s="365"/>
      <c r="S499" s="365"/>
      <c r="T499" s="365"/>
      <c r="U499" s="365"/>
      <c r="V499" s="365"/>
      <c r="W499" s="365"/>
      <c r="X499" s="365"/>
      <c r="Y499" s="365"/>
      <c r="Z499" s="365"/>
    </row>
    <row r="500" spans="1:26" ht="14.25" customHeight="1" x14ac:dyDescent="0.25">
      <c r="A500" s="365"/>
      <c r="B500" s="365"/>
      <c r="C500" s="365"/>
      <c r="D500" s="365"/>
      <c r="E500" s="365"/>
      <c r="F500" s="365"/>
      <c r="G500" s="365"/>
      <c r="H500" s="365"/>
      <c r="I500" s="365"/>
      <c r="J500" s="365"/>
      <c r="K500" s="365"/>
      <c r="L500" s="365"/>
      <c r="M500" s="365"/>
      <c r="N500" s="365"/>
      <c r="O500" s="365"/>
      <c r="P500" s="365"/>
      <c r="Q500" s="365"/>
      <c r="R500" s="365"/>
      <c r="S500" s="365"/>
      <c r="T500" s="365"/>
      <c r="U500" s="365"/>
      <c r="V500" s="365"/>
      <c r="W500" s="365"/>
      <c r="X500" s="365"/>
      <c r="Y500" s="365"/>
      <c r="Z500" s="365"/>
    </row>
    <row r="501" spans="1:26" ht="14.25" customHeight="1" x14ac:dyDescent="0.25">
      <c r="A501" s="365"/>
      <c r="B501" s="365"/>
      <c r="C501" s="365"/>
      <c r="D501" s="365"/>
      <c r="E501" s="365"/>
      <c r="F501" s="365"/>
      <c r="G501" s="365"/>
      <c r="H501" s="365"/>
      <c r="I501" s="365"/>
      <c r="J501" s="365"/>
      <c r="K501" s="365"/>
      <c r="L501" s="365"/>
      <c r="M501" s="365"/>
      <c r="N501" s="365"/>
      <c r="O501" s="365"/>
      <c r="P501" s="365"/>
      <c r="Q501" s="365"/>
      <c r="R501" s="365"/>
      <c r="S501" s="365"/>
      <c r="T501" s="365"/>
      <c r="U501" s="365"/>
      <c r="V501" s="365"/>
      <c r="W501" s="365"/>
      <c r="X501" s="365"/>
      <c r="Y501" s="365"/>
      <c r="Z501" s="365"/>
    </row>
    <row r="502" spans="1:26" ht="14.25" customHeight="1" x14ac:dyDescent="0.25">
      <c r="A502" s="365"/>
      <c r="B502" s="365"/>
      <c r="C502" s="365"/>
      <c r="D502" s="365"/>
      <c r="E502" s="365"/>
      <c r="F502" s="365"/>
      <c r="G502" s="365"/>
      <c r="H502" s="365"/>
      <c r="I502" s="365"/>
      <c r="J502" s="365"/>
      <c r="K502" s="365"/>
      <c r="L502" s="365"/>
      <c r="M502" s="365"/>
      <c r="N502" s="365"/>
      <c r="O502" s="365"/>
      <c r="P502" s="365"/>
      <c r="Q502" s="365"/>
      <c r="R502" s="365"/>
      <c r="S502" s="365"/>
      <c r="T502" s="365"/>
      <c r="U502" s="365"/>
      <c r="V502" s="365"/>
      <c r="W502" s="365"/>
      <c r="X502" s="365"/>
      <c r="Y502" s="365"/>
      <c r="Z502" s="365"/>
    </row>
    <row r="503" spans="1:26" ht="14.25" customHeight="1" x14ac:dyDescent="0.25">
      <c r="A503" s="365"/>
      <c r="B503" s="365"/>
      <c r="C503" s="365"/>
      <c r="D503" s="365"/>
      <c r="E503" s="365"/>
      <c r="F503" s="365"/>
      <c r="G503" s="365"/>
      <c r="H503" s="365"/>
      <c r="I503" s="365"/>
      <c r="J503" s="365"/>
      <c r="K503" s="365"/>
      <c r="L503" s="365"/>
      <c r="M503" s="365"/>
      <c r="N503" s="365"/>
      <c r="O503" s="365"/>
      <c r="P503" s="365"/>
      <c r="Q503" s="365"/>
      <c r="R503" s="365"/>
      <c r="S503" s="365"/>
      <c r="T503" s="365"/>
      <c r="U503" s="365"/>
      <c r="V503" s="365"/>
      <c r="W503" s="365"/>
      <c r="X503" s="365"/>
      <c r="Y503" s="365"/>
      <c r="Z503" s="365"/>
    </row>
    <row r="504" spans="1:26" ht="14.25" customHeight="1" x14ac:dyDescent="0.25">
      <c r="A504" s="365"/>
      <c r="B504" s="365"/>
      <c r="C504" s="365"/>
      <c r="D504" s="365"/>
      <c r="E504" s="365"/>
      <c r="F504" s="365"/>
      <c r="G504" s="365"/>
      <c r="H504" s="365"/>
      <c r="I504" s="365"/>
      <c r="J504" s="365"/>
      <c r="K504" s="365"/>
      <c r="L504" s="365"/>
      <c r="M504" s="365"/>
      <c r="N504" s="365"/>
      <c r="O504" s="365"/>
      <c r="P504" s="365"/>
      <c r="Q504" s="365"/>
      <c r="R504" s="365"/>
      <c r="S504" s="365"/>
      <c r="T504" s="365"/>
      <c r="U504" s="365"/>
      <c r="V504" s="365"/>
      <c r="W504" s="365"/>
      <c r="X504" s="365"/>
      <c r="Y504" s="365"/>
      <c r="Z504" s="365"/>
    </row>
    <row r="505" spans="1:26" ht="14.25" customHeight="1" x14ac:dyDescent="0.25">
      <c r="A505" s="365"/>
      <c r="B505" s="365"/>
      <c r="C505" s="365"/>
      <c r="D505" s="365"/>
      <c r="E505" s="365"/>
      <c r="F505" s="365"/>
      <c r="G505" s="365"/>
      <c r="H505" s="365"/>
      <c r="I505" s="365"/>
      <c r="J505" s="365"/>
      <c r="K505" s="365"/>
      <c r="L505" s="365"/>
      <c r="M505" s="365"/>
      <c r="N505" s="365"/>
      <c r="O505" s="365"/>
      <c r="P505" s="365"/>
      <c r="Q505" s="365"/>
      <c r="R505" s="365"/>
      <c r="S505" s="365"/>
      <c r="T505" s="365"/>
      <c r="U505" s="365"/>
      <c r="V505" s="365"/>
      <c r="W505" s="365"/>
      <c r="X505" s="365"/>
      <c r="Y505" s="365"/>
      <c r="Z505" s="365"/>
    </row>
    <row r="506" spans="1:26" ht="14.25" customHeight="1" x14ac:dyDescent="0.25">
      <c r="A506" s="365"/>
      <c r="B506" s="365"/>
      <c r="C506" s="365"/>
      <c r="D506" s="365"/>
      <c r="E506" s="365"/>
      <c r="F506" s="365"/>
      <c r="G506" s="365"/>
      <c r="H506" s="365"/>
      <c r="I506" s="365"/>
      <c r="J506" s="365"/>
      <c r="K506" s="365"/>
      <c r="L506" s="365"/>
      <c r="M506" s="365"/>
      <c r="N506" s="365"/>
      <c r="O506" s="365"/>
      <c r="P506" s="365"/>
      <c r="Q506" s="365"/>
      <c r="R506" s="365"/>
      <c r="S506" s="365"/>
      <c r="T506" s="365"/>
      <c r="U506" s="365"/>
      <c r="V506" s="365"/>
      <c r="W506" s="365"/>
      <c r="X506" s="365"/>
      <c r="Y506" s="365"/>
      <c r="Z506" s="365"/>
    </row>
    <row r="507" spans="1:26" ht="14.25" customHeight="1" x14ac:dyDescent="0.25">
      <c r="A507" s="365"/>
      <c r="B507" s="365"/>
      <c r="C507" s="365"/>
      <c r="D507" s="365"/>
      <c r="E507" s="365"/>
      <c r="F507" s="365"/>
      <c r="G507" s="365"/>
      <c r="H507" s="365"/>
      <c r="I507" s="365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  <c r="T507" s="365"/>
      <c r="U507" s="365"/>
      <c r="V507" s="365"/>
      <c r="W507" s="365"/>
      <c r="X507" s="365"/>
      <c r="Y507" s="365"/>
      <c r="Z507" s="365"/>
    </row>
    <row r="508" spans="1:26" ht="14.25" customHeight="1" x14ac:dyDescent="0.25">
      <c r="A508" s="365"/>
      <c r="B508" s="365"/>
      <c r="C508" s="365"/>
      <c r="D508" s="365"/>
      <c r="E508" s="365"/>
      <c r="F508" s="365"/>
      <c r="G508" s="365"/>
      <c r="H508" s="365"/>
      <c r="I508" s="365"/>
      <c r="J508" s="365"/>
      <c r="K508" s="365"/>
      <c r="L508" s="365"/>
      <c r="M508" s="365"/>
      <c r="N508" s="365"/>
      <c r="O508" s="365"/>
      <c r="P508" s="365"/>
      <c r="Q508" s="365"/>
      <c r="R508" s="365"/>
      <c r="S508" s="365"/>
      <c r="T508" s="365"/>
      <c r="U508" s="365"/>
      <c r="V508" s="365"/>
      <c r="W508" s="365"/>
      <c r="X508" s="365"/>
      <c r="Y508" s="365"/>
      <c r="Z508" s="365"/>
    </row>
    <row r="509" spans="1:26" ht="14.25" customHeight="1" x14ac:dyDescent="0.25">
      <c r="A509" s="365"/>
      <c r="B509" s="365"/>
      <c r="C509" s="365"/>
      <c r="D509" s="365"/>
      <c r="E509" s="365"/>
      <c r="F509" s="365"/>
      <c r="G509" s="365"/>
      <c r="H509" s="365"/>
      <c r="I509" s="365"/>
      <c r="J509" s="365"/>
      <c r="K509" s="365"/>
      <c r="L509" s="365"/>
      <c r="M509" s="365"/>
      <c r="N509" s="365"/>
      <c r="O509" s="365"/>
      <c r="P509" s="365"/>
      <c r="Q509" s="365"/>
      <c r="R509" s="365"/>
      <c r="S509" s="365"/>
      <c r="T509" s="365"/>
      <c r="U509" s="365"/>
      <c r="V509" s="365"/>
      <c r="W509" s="365"/>
      <c r="X509" s="365"/>
      <c r="Y509" s="365"/>
      <c r="Z509" s="365"/>
    </row>
    <row r="510" spans="1:26" ht="14.25" customHeight="1" x14ac:dyDescent="0.25">
      <c r="A510" s="365"/>
      <c r="B510" s="365"/>
      <c r="C510" s="365"/>
      <c r="D510" s="365"/>
      <c r="E510" s="365"/>
      <c r="F510" s="365"/>
      <c r="G510" s="365"/>
      <c r="H510" s="365"/>
      <c r="I510" s="365"/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  <c r="T510" s="365"/>
      <c r="U510" s="365"/>
      <c r="V510" s="365"/>
      <c r="W510" s="365"/>
      <c r="X510" s="365"/>
      <c r="Y510" s="365"/>
      <c r="Z510" s="365"/>
    </row>
    <row r="511" spans="1:26" ht="14.25" customHeight="1" x14ac:dyDescent="0.25">
      <c r="A511" s="365"/>
      <c r="B511" s="365"/>
      <c r="C511" s="365"/>
      <c r="D511" s="365"/>
      <c r="E511" s="365"/>
      <c r="F511" s="365"/>
      <c r="G511" s="365"/>
      <c r="H511" s="365"/>
      <c r="I511" s="365"/>
      <c r="J511" s="365"/>
      <c r="K511" s="365"/>
      <c r="L511" s="365"/>
      <c r="M511" s="365"/>
      <c r="N511" s="365"/>
      <c r="O511" s="365"/>
      <c r="P511" s="365"/>
      <c r="Q511" s="365"/>
      <c r="R511" s="365"/>
      <c r="S511" s="365"/>
      <c r="T511" s="365"/>
      <c r="U511" s="365"/>
      <c r="V511" s="365"/>
      <c r="W511" s="365"/>
      <c r="X511" s="365"/>
      <c r="Y511" s="365"/>
      <c r="Z511" s="365"/>
    </row>
    <row r="512" spans="1:26" ht="14.25" customHeight="1" x14ac:dyDescent="0.25">
      <c r="A512" s="365"/>
      <c r="B512" s="365"/>
      <c r="C512" s="365"/>
      <c r="D512" s="365"/>
      <c r="E512" s="365"/>
      <c r="F512" s="365"/>
      <c r="G512" s="365"/>
      <c r="H512" s="365"/>
      <c r="I512" s="365"/>
      <c r="J512" s="365"/>
      <c r="K512" s="365"/>
      <c r="L512" s="365"/>
      <c r="M512" s="365"/>
      <c r="N512" s="365"/>
      <c r="O512" s="365"/>
      <c r="P512" s="365"/>
      <c r="Q512" s="365"/>
      <c r="R512" s="365"/>
      <c r="S512" s="365"/>
      <c r="T512" s="365"/>
      <c r="U512" s="365"/>
      <c r="V512" s="365"/>
      <c r="W512" s="365"/>
      <c r="X512" s="365"/>
      <c r="Y512" s="365"/>
      <c r="Z512" s="365"/>
    </row>
    <row r="513" spans="1:26" ht="14.25" customHeight="1" x14ac:dyDescent="0.25">
      <c r="A513" s="365"/>
      <c r="B513" s="365"/>
      <c r="C513" s="365"/>
      <c r="D513" s="365"/>
      <c r="E513" s="365"/>
      <c r="F513" s="365"/>
      <c r="G513" s="365"/>
      <c r="H513" s="365"/>
      <c r="I513" s="365"/>
      <c r="J513" s="365"/>
      <c r="K513" s="365"/>
      <c r="L513" s="365"/>
      <c r="M513" s="365"/>
      <c r="N513" s="365"/>
      <c r="O513" s="365"/>
      <c r="P513" s="365"/>
      <c r="Q513" s="365"/>
      <c r="R513" s="365"/>
      <c r="S513" s="365"/>
      <c r="T513" s="365"/>
      <c r="U513" s="365"/>
      <c r="V513" s="365"/>
      <c r="W513" s="365"/>
      <c r="X513" s="365"/>
      <c r="Y513" s="365"/>
      <c r="Z513" s="365"/>
    </row>
    <row r="514" spans="1:26" ht="14.25" customHeight="1" x14ac:dyDescent="0.25">
      <c r="A514" s="365"/>
      <c r="B514" s="365"/>
      <c r="C514" s="365"/>
      <c r="D514" s="365"/>
      <c r="E514" s="365"/>
      <c r="F514" s="365"/>
      <c r="G514" s="365"/>
      <c r="H514" s="365"/>
      <c r="I514" s="365"/>
      <c r="J514" s="365"/>
      <c r="K514" s="365"/>
      <c r="L514" s="365"/>
      <c r="M514" s="365"/>
      <c r="N514" s="365"/>
      <c r="O514" s="365"/>
      <c r="P514" s="365"/>
      <c r="Q514" s="365"/>
      <c r="R514" s="365"/>
      <c r="S514" s="365"/>
      <c r="T514" s="365"/>
      <c r="U514" s="365"/>
      <c r="V514" s="365"/>
      <c r="W514" s="365"/>
      <c r="X514" s="365"/>
      <c r="Y514" s="365"/>
      <c r="Z514" s="365"/>
    </row>
    <row r="515" spans="1:26" ht="14.25" customHeight="1" x14ac:dyDescent="0.25">
      <c r="A515" s="365"/>
      <c r="B515" s="365"/>
      <c r="C515" s="365"/>
      <c r="D515" s="365"/>
      <c r="E515" s="365"/>
      <c r="F515" s="365"/>
      <c r="G515" s="365"/>
      <c r="H515" s="365"/>
      <c r="I515" s="365"/>
      <c r="J515" s="365"/>
      <c r="K515" s="365"/>
      <c r="L515" s="365"/>
      <c r="M515" s="365"/>
      <c r="N515" s="365"/>
      <c r="O515" s="365"/>
      <c r="P515" s="365"/>
      <c r="Q515" s="365"/>
      <c r="R515" s="365"/>
      <c r="S515" s="365"/>
      <c r="T515" s="365"/>
      <c r="U515" s="365"/>
      <c r="V515" s="365"/>
      <c r="W515" s="365"/>
      <c r="X515" s="365"/>
      <c r="Y515" s="365"/>
      <c r="Z515" s="365"/>
    </row>
    <row r="516" spans="1:26" ht="14.25" customHeight="1" x14ac:dyDescent="0.25">
      <c r="A516" s="365"/>
      <c r="B516" s="365"/>
      <c r="C516" s="365"/>
      <c r="D516" s="365"/>
      <c r="E516" s="365"/>
      <c r="F516" s="365"/>
      <c r="G516" s="365"/>
      <c r="H516" s="365"/>
      <c r="I516" s="365"/>
      <c r="J516" s="365"/>
      <c r="K516" s="365"/>
      <c r="L516" s="365"/>
      <c r="M516" s="365"/>
      <c r="N516" s="365"/>
      <c r="O516" s="365"/>
      <c r="P516" s="365"/>
      <c r="Q516" s="365"/>
      <c r="R516" s="365"/>
      <c r="S516" s="365"/>
      <c r="T516" s="365"/>
      <c r="U516" s="365"/>
      <c r="V516" s="365"/>
      <c r="W516" s="365"/>
      <c r="X516" s="365"/>
      <c r="Y516" s="365"/>
      <c r="Z516" s="365"/>
    </row>
    <row r="517" spans="1:26" ht="14.25" customHeight="1" x14ac:dyDescent="0.25">
      <c r="A517" s="365"/>
      <c r="B517" s="365"/>
      <c r="C517" s="365"/>
      <c r="D517" s="365"/>
      <c r="E517" s="365"/>
      <c r="F517" s="365"/>
      <c r="G517" s="365"/>
      <c r="H517" s="365"/>
      <c r="I517" s="365"/>
      <c r="J517" s="365"/>
      <c r="K517" s="365"/>
      <c r="L517" s="365"/>
      <c r="M517" s="365"/>
      <c r="N517" s="365"/>
      <c r="O517" s="365"/>
      <c r="P517" s="365"/>
      <c r="Q517" s="365"/>
      <c r="R517" s="365"/>
      <c r="S517" s="365"/>
      <c r="T517" s="365"/>
      <c r="U517" s="365"/>
      <c r="V517" s="365"/>
      <c r="W517" s="365"/>
      <c r="X517" s="365"/>
      <c r="Y517" s="365"/>
      <c r="Z517" s="365"/>
    </row>
    <row r="518" spans="1:26" ht="14.25" customHeight="1" x14ac:dyDescent="0.25">
      <c r="A518" s="365"/>
      <c r="B518" s="365"/>
      <c r="C518" s="365"/>
      <c r="D518" s="365"/>
      <c r="E518" s="365"/>
      <c r="F518" s="365"/>
      <c r="G518" s="365"/>
      <c r="H518" s="365"/>
      <c r="I518" s="365"/>
      <c r="J518" s="365"/>
      <c r="K518" s="365"/>
      <c r="L518" s="365"/>
      <c r="M518" s="365"/>
      <c r="N518" s="365"/>
      <c r="O518" s="365"/>
      <c r="P518" s="365"/>
      <c r="Q518" s="365"/>
      <c r="R518" s="365"/>
      <c r="S518" s="365"/>
      <c r="T518" s="365"/>
      <c r="U518" s="365"/>
      <c r="V518" s="365"/>
      <c r="W518" s="365"/>
      <c r="X518" s="365"/>
      <c r="Y518" s="365"/>
      <c r="Z518" s="365"/>
    </row>
    <row r="519" spans="1:26" ht="14.25" customHeight="1" x14ac:dyDescent="0.25">
      <c r="A519" s="365"/>
      <c r="B519" s="365"/>
      <c r="C519" s="365"/>
      <c r="D519" s="365"/>
      <c r="E519" s="365"/>
      <c r="F519" s="365"/>
      <c r="G519" s="365"/>
      <c r="H519" s="365"/>
      <c r="I519" s="365"/>
      <c r="J519" s="365"/>
      <c r="K519" s="365"/>
      <c r="L519" s="365"/>
      <c r="M519" s="365"/>
      <c r="N519" s="365"/>
      <c r="O519" s="365"/>
      <c r="P519" s="365"/>
      <c r="Q519" s="365"/>
      <c r="R519" s="365"/>
      <c r="S519" s="365"/>
      <c r="T519" s="365"/>
      <c r="U519" s="365"/>
      <c r="V519" s="365"/>
      <c r="W519" s="365"/>
      <c r="X519" s="365"/>
      <c r="Y519" s="365"/>
      <c r="Z519" s="365"/>
    </row>
    <row r="520" spans="1:26" ht="14.25" customHeight="1" x14ac:dyDescent="0.25">
      <c r="A520" s="365"/>
      <c r="B520" s="365"/>
      <c r="C520" s="365"/>
      <c r="D520" s="365"/>
      <c r="E520" s="365"/>
      <c r="F520" s="365"/>
      <c r="G520" s="365"/>
      <c r="H520" s="365"/>
      <c r="I520" s="365"/>
      <c r="J520" s="365"/>
      <c r="K520" s="365"/>
      <c r="L520" s="365"/>
      <c r="M520" s="365"/>
      <c r="N520" s="365"/>
      <c r="O520" s="365"/>
      <c r="P520" s="365"/>
      <c r="Q520" s="365"/>
      <c r="R520" s="365"/>
      <c r="S520" s="365"/>
      <c r="T520" s="365"/>
      <c r="U520" s="365"/>
      <c r="V520" s="365"/>
      <c r="W520" s="365"/>
      <c r="X520" s="365"/>
      <c r="Y520" s="365"/>
      <c r="Z520" s="365"/>
    </row>
    <row r="521" spans="1:26" ht="14.25" customHeight="1" x14ac:dyDescent="0.25">
      <c r="A521" s="365"/>
      <c r="B521" s="365"/>
      <c r="C521" s="365"/>
      <c r="D521" s="365"/>
      <c r="E521" s="365"/>
      <c r="F521" s="365"/>
      <c r="G521" s="365"/>
      <c r="H521" s="365"/>
      <c r="I521" s="365"/>
      <c r="J521" s="365"/>
      <c r="K521" s="365"/>
      <c r="L521" s="365"/>
      <c r="M521" s="365"/>
      <c r="N521" s="365"/>
      <c r="O521" s="365"/>
      <c r="P521" s="365"/>
      <c r="Q521" s="365"/>
      <c r="R521" s="365"/>
      <c r="S521" s="365"/>
      <c r="T521" s="365"/>
      <c r="U521" s="365"/>
      <c r="V521" s="365"/>
      <c r="W521" s="365"/>
      <c r="X521" s="365"/>
      <c r="Y521" s="365"/>
      <c r="Z521" s="365"/>
    </row>
    <row r="522" spans="1:26" ht="14.25" customHeight="1" x14ac:dyDescent="0.25">
      <c r="A522" s="365"/>
      <c r="B522" s="365"/>
      <c r="C522" s="365"/>
      <c r="D522" s="365"/>
      <c r="E522" s="365"/>
      <c r="F522" s="365"/>
      <c r="G522" s="365"/>
      <c r="H522" s="365"/>
      <c r="I522" s="365"/>
      <c r="J522" s="365"/>
      <c r="K522" s="365"/>
      <c r="L522" s="365"/>
      <c r="M522" s="365"/>
      <c r="N522" s="365"/>
      <c r="O522" s="365"/>
      <c r="P522" s="365"/>
      <c r="Q522" s="365"/>
      <c r="R522" s="365"/>
      <c r="S522" s="365"/>
      <c r="T522" s="365"/>
      <c r="U522" s="365"/>
      <c r="V522" s="365"/>
      <c r="W522" s="365"/>
      <c r="X522" s="365"/>
      <c r="Y522" s="365"/>
      <c r="Z522" s="365"/>
    </row>
    <row r="523" spans="1:26" ht="14.25" customHeight="1" x14ac:dyDescent="0.25">
      <c r="A523" s="365"/>
      <c r="B523" s="365"/>
      <c r="C523" s="365"/>
      <c r="D523" s="365"/>
      <c r="E523" s="365"/>
      <c r="F523" s="365"/>
      <c r="G523" s="365"/>
      <c r="H523" s="365"/>
      <c r="I523" s="365"/>
      <c r="J523" s="365"/>
      <c r="K523" s="365"/>
      <c r="L523" s="365"/>
      <c r="M523" s="365"/>
      <c r="N523" s="365"/>
      <c r="O523" s="365"/>
      <c r="P523" s="365"/>
      <c r="Q523" s="365"/>
      <c r="R523" s="365"/>
      <c r="S523" s="365"/>
      <c r="T523" s="365"/>
      <c r="U523" s="365"/>
      <c r="V523" s="365"/>
      <c r="W523" s="365"/>
      <c r="X523" s="365"/>
      <c r="Y523" s="365"/>
      <c r="Z523" s="365"/>
    </row>
    <row r="524" spans="1:26" ht="14.25" customHeight="1" x14ac:dyDescent="0.25">
      <c r="A524" s="365"/>
      <c r="B524" s="365"/>
      <c r="C524" s="365"/>
      <c r="D524" s="365"/>
      <c r="E524" s="365"/>
      <c r="F524" s="365"/>
      <c r="G524" s="365"/>
      <c r="H524" s="365"/>
      <c r="I524" s="365"/>
      <c r="J524" s="365"/>
      <c r="K524" s="365"/>
      <c r="L524" s="365"/>
      <c r="M524" s="365"/>
      <c r="N524" s="365"/>
      <c r="O524" s="365"/>
      <c r="P524" s="365"/>
      <c r="Q524" s="365"/>
      <c r="R524" s="365"/>
      <c r="S524" s="365"/>
      <c r="T524" s="365"/>
      <c r="U524" s="365"/>
      <c r="V524" s="365"/>
      <c r="W524" s="365"/>
      <c r="X524" s="365"/>
      <c r="Y524" s="365"/>
      <c r="Z524" s="365"/>
    </row>
    <row r="525" spans="1:26" ht="14.25" customHeight="1" x14ac:dyDescent="0.25">
      <c r="A525" s="365"/>
      <c r="B525" s="365"/>
      <c r="C525" s="365"/>
      <c r="D525" s="365"/>
      <c r="E525" s="365"/>
      <c r="F525" s="365"/>
      <c r="G525" s="365"/>
      <c r="H525" s="365"/>
      <c r="I525" s="365"/>
      <c r="J525" s="365"/>
      <c r="K525" s="365"/>
      <c r="L525" s="365"/>
      <c r="M525" s="365"/>
      <c r="N525" s="365"/>
      <c r="O525" s="365"/>
      <c r="P525" s="365"/>
      <c r="Q525" s="365"/>
      <c r="R525" s="365"/>
      <c r="S525" s="365"/>
      <c r="T525" s="365"/>
      <c r="U525" s="365"/>
      <c r="V525" s="365"/>
      <c r="W525" s="365"/>
      <c r="X525" s="365"/>
      <c r="Y525" s="365"/>
      <c r="Z525" s="365"/>
    </row>
    <row r="526" spans="1:26" ht="14.25" customHeight="1" x14ac:dyDescent="0.25">
      <c r="A526" s="365"/>
      <c r="B526" s="365"/>
      <c r="C526" s="365"/>
      <c r="D526" s="365"/>
      <c r="E526" s="365"/>
      <c r="F526" s="365"/>
      <c r="G526" s="365"/>
      <c r="H526" s="365"/>
      <c r="I526" s="365"/>
      <c r="J526" s="365"/>
      <c r="K526" s="365"/>
      <c r="L526" s="365"/>
      <c r="M526" s="365"/>
      <c r="N526" s="365"/>
      <c r="O526" s="365"/>
      <c r="P526" s="365"/>
      <c r="Q526" s="365"/>
      <c r="R526" s="365"/>
      <c r="S526" s="365"/>
      <c r="T526" s="365"/>
      <c r="U526" s="365"/>
      <c r="V526" s="365"/>
      <c r="W526" s="365"/>
      <c r="X526" s="365"/>
      <c r="Y526" s="365"/>
      <c r="Z526" s="365"/>
    </row>
    <row r="527" spans="1:26" ht="14.25" customHeight="1" x14ac:dyDescent="0.25">
      <c r="A527" s="365"/>
      <c r="B527" s="365"/>
      <c r="C527" s="365"/>
      <c r="D527" s="365"/>
      <c r="E527" s="365"/>
      <c r="F527" s="365"/>
      <c r="G527" s="365"/>
      <c r="H527" s="365"/>
      <c r="I527" s="365"/>
      <c r="J527" s="365"/>
      <c r="K527" s="365"/>
      <c r="L527" s="365"/>
      <c r="M527" s="365"/>
      <c r="N527" s="365"/>
      <c r="O527" s="365"/>
      <c r="P527" s="365"/>
      <c r="Q527" s="365"/>
      <c r="R527" s="365"/>
      <c r="S527" s="365"/>
      <c r="T527" s="365"/>
      <c r="U527" s="365"/>
      <c r="V527" s="365"/>
      <c r="W527" s="365"/>
      <c r="X527" s="365"/>
      <c r="Y527" s="365"/>
      <c r="Z527" s="365"/>
    </row>
    <row r="528" spans="1:26" ht="14.25" customHeight="1" x14ac:dyDescent="0.25">
      <c r="A528" s="365"/>
      <c r="B528" s="365"/>
      <c r="C528" s="365"/>
      <c r="D528" s="365"/>
      <c r="E528" s="365"/>
      <c r="F528" s="365"/>
      <c r="G528" s="365"/>
      <c r="H528" s="365"/>
      <c r="I528" s="365"/>
      <c r="J528" s="365"/>
      <c r="K528" s="365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5"/>
      <c r="W528" s="365"/>
      <c r="X528" s="365"/>
      <c r="Y528" s="365"/>
      <c r="Z528" s="365"/>
    </row>
    <row r="529" spans="1:26" ht="14.25" customHeight="1" x14ac:dyDescent="0.25">
      <c r="A529" s="365"/>
      <c r="B529" s="365"/>
      <c r="C529" s="365"/>
      <c r="D529" s="365"/>
      <c r="E529" s="365"/>
      <c r="F529" s="365"/>
      <c r="G529" s="365"/>
      <c r="H529" s="365"/>
      <c r="I529" s="365"/>
      <c r="J529" s="365"/>
      <c r="K529" s="365"/>
      <c r="L529" s="365"/>
      <c r="M529" s="365"/>
      <c r="N529" s="365"/>
      <c r="O529" s="365"/>
      <c r="P529" s="365"/>
      <c r="Q529" s="365"/>
      <c r="R529" s="365"/>
      <c r="S529" s="365"/>
      <c r="T529" s="365"/>
      <c r="U529" s="365"/>
      <c r="V529" s="365"/>
      <c r="W529" s="365"/>
      <c r="X529" s="365"/>
      <c r="Y529" s="365"/>
      <c r="Z529" s="365"/>
    </row>
    <row r="530" spans="1:26" ht="14.25" customHeight="1" x14ac:dyDescent="0.25">
      <c r="A530" s="365"/>
      <c r="B530" s="365"/>
      <c r="C530" s="365"/>
      <c r="D530" s="365"/>
      <c r="E530" s="365"/>
      <c r="F530" s="365"/>
      <c r="G530" s="365"/>
      <c r="H530" s="365"/>
      <c r="I530" s="365"/>
      <c r="J530" s="365"/>
      <c r="K530" s="365"/>
      <c r="L530" s="365"/>
      <c r="M530" s="365"/>
      <c r="N530" s="365"/>
      <c r="O530" s="365"/>
      <c r="P530" s="365"/>
      <c r="Q530" s="365"/>
      <c r="R530" s="365"/>
      <c r="S530" s="365"/>
      <c r="T530" s="365"/>
      <c r="U530" s="365"/>
      <c r="V530" s="365"/>
      <c r="W530" s="365"/>
      <c r="X530" s="365"/>
      <c r="Y530" s="365"/>
      <c r="Z530" s="365"/>
    </row>
    <row r="531" spans="1:26" ht="14.25" customHeight="1" x14ac:dyDescent="0.25">
      <c r="A531" s="365"/>
      <c r="B531" s="365"/>
      <c r="C531" s="365"/>
      <c r="D531" s="365"/>
      <c r="E531" s="365"/>
      <c r="F531" s="365"/>
      <c r="G531" s="365"/>
      <c r="H531" s="365"/>
      <c r="I531" s="365"/>
      <c r="J531" s="365"/>
      <c r="K531" s="365"/>
      <c r="L531" s="365"/>
      <c r="M531" s="365"/>
      <c r="N531" s="365"/>
      <c r="O531" s="365"/>
      <c r="P531" s="365"/>
      <c r="Q531" s="365"/>
      <c r="R531" s="365"/>
      <c r="S531" s="365"/>
      <c r="T531" s="365"/>
      <c r="U531" s="365"/>
      <c r="V531" s="365"/>
      <c r="W531" s="365"/>
      <c r="X531" s="365"/>
      <c r="Y531" s="365"/>
      <c r="Z531" s="365"/>
    </row>
    <row r="532" spans="1:26" ht="14.25" customHeight="1" x14ac:dyDescent="0.25">
      <c r="A532" s="365"/>
      <c r="B532" s="365"/>
      <c r="C532" s="365"/>
      <c r="D532" s="365"/>
      <c r="E532" s="365"/>
      <c r="F532" s="365"/>
      <c r="G532" s="365"/>
      <c r="H532" s="365"/>
      <c r="I532" s="365"/>
      <c r="J532" s="365"/>
      <c r="K532" s="365"/>
      <c r="L532" s="365"/>
      <c r="M532" s="365"/>
      <c r="N532" s="365"/>
      <c r="O532" s="365"/>
      <c r="P532" s="365"/>
      <c r="Q532" s="365"/>
      <c r="R532" s="365"/>
      <c r="S532" s="365"/>
      <c r="T532" s="365"/>
      <c r="U532" s="365"/>
      <c r="V532" s="365"/>
      <c r="W532" s="365"/>
      <c r="X532" s="365"/>
      <c r="Y532" s="365"/>
      <c r="Z532" s="365"/>
    </row>
    <row r="533" spans="1:26" ht="14.25" customHeight="1" x14ac:dyDescent="0.25">
      <c r="A533" s="365"/>
      <c r="B533" s="365"/>
      <c r="C533" s="365"/>
      <c r="D533" s="365"/>
      <c r="E533" s="365"/>
      <c r="F533" s="365"/>
      <c r="G533" s="365"/>
      <c r="H533" s="365"/>
      <c r="I533" s="365"/>
      <c r="J533" s="365"/>
      <c r="K533" s="365"/>
      <c r="L533" s="365"/>
      <c r="M533" s="365"/>
      <c r="N533" s="365"/>
      <c r="O533" s="365"/>
      <c r="P533" s="365"/>
      <c r="Q533" s="365"/>
      <c r="R533" s="365"/>
      <c r="S533" s="365"/>
      <c r="T533" s="365"/>
      <c r="U533" s="365"/>
      <c r="V533" s="365"/>
      <c r="W533" s="365"/>
      <c r="X533" s="365"/>
      <c r="Y533" s="365"/>
      <c r="Z533" s="365"/>
    </row>
    <row r="534" spans="1:26" ht="14.25" customHeight="1" x14ac:dyDescent="0.25">
      <c r="A534" s="365"/>
      <c r="B534" s="365"/>
      <c r="C534" s="365"/>
      <c r="D534" s="365"/>
      <c r="E534" s="365"/>
      <c r="F534" s="365"/>
      <c r="G534" s="365"/>
      <c r="H534" s="365"/>
      <c r="I534" s="365"/>
      <c r="J534" s="365"/>
      <c r="K534" s="365"/>
      <c r="L534" s="365"/>
      <c r="M534" s="365"/>
      <c r="N534" s="365"/>
      <c r="O534" s="365"/>
      <c r="P534" s="365"/>
      <c r="Q534" s="365"/>
      <c r="R534" s="365"/>
      <c r="S534" s="365"/>
      <c r="T534" s="365"/>
      <c r="U534" s="365"/>
      <c r="V534" s="365"/>
      <c r="W534" s="365"/>
      <c r="X534" s="365"/>
      <c r="Y534" s="365"/>
      <c r="Z534" s="365"/>
    </row>
    <row r="535" spans="1:26" ht="14.25" customHeight="1" x14ac:dyDescent="0.25">
      <c r="A535" s="365"/>
      <c r="B535" s="365"/>
      <c r="C535" s="365"/>
      <c r="D535" s="365"/>
      <c r="E535" s="365"/>
      <c r="F535" s="365"/>
      <c r="G535" s="365"/>
      <c r="H535" s="365"/>
      <c r="I535" s="365"/>
      <c r="J535" s="365"/>
      <c r="K535" s="365"/>
      <c r="L535" s="365"/>
      <c r="M535" s="365"/>
      <c r="N535" s="365"/>
      <c r="O535" s="365"/>
      <c r="P535" s="365"/>
      <c r="Q535" s="365"/>
      <c r="R535" s="365"/>
      <c r="S535" s="365"/>
      <c r="T535" s="365"/>
      <c r="U535" s="365"/>
      <c r="V535" s="365"/>
      <c r="W535" s="365"/>
      <c r="X535" s="365"/>
      <c r="Y535" s="365"/>
      <c r="Z535" s="365"/>
    </row>
    <row r="536" spans="1:26" ht="14.25" customHeight="1" x14ac:dyDescent="0.25">
      <c r="A536" s="365"/>
      <c r="B536" s="365"/>
      <c r="C536" s="365"/>
      <c r="D536" s="365"/>
      <c r="E536" s="365"/>
      <c r="F536" s="365"/>
      <c r="G536" s="365"/>
      <c r="H536" s="365"/>
      <c r="I536" s="365"/>
      <c r="J536" s="365"/>
      <c r="K536" s="365"/>
      <c r="L536" s="365"/>
      <c r="M536" s="365"/>
      <c r="N536" s="365"/>
      <c r="O536" s="365"/>
      <c r="P536" s="365"/>
      <c r="Q536" s="365"/>
      <c r="R536" s="365"/>
      <c r="S536" s="365"/>
      <c r="T536" s="365"/>
      <c r="U536" s="365"/>
      <c r="V536" s="365"/>
      <c r="W536" s="365"/>
      <c r="X536" s="365"/>
      <c r="Y536" s="365"/>
      <c r="Z536" s="365"/>
    </row>
    <row r="537" spans="1:26" ht="14.25" customHeight="1" x14ac:dyDescent="0.25">
      <c r="A537" s="365"/>
      <c r="B537" s="365"/>
      <c r="C537" s="365"/>
      <c r="D537" s="365"/>
      <c r="E537" s="365"/>
      <c r="F537" s="365"/>
      <c r="G537" s="365"/>
      <c r="H537" s="365"/>
      <c r="I537" s="365"/>
      <c r="J537" s="365"/>
      <c r="K537" s="365"/>
      <c r="L537" s="365"/>
      <c r="M537" s="365"/>
      <c r="N537" s="365"/>
      <c r="O537" s="365"/>
      <c r="P537" s="365"/>
      <c r="Q537" s="365"/>
      <c r="R537" s="365"/>
      <c r="S537" s="365"/>
      <c r="T537" s="365"/>
      <c r="U537" s="365"/>
      <c r="V537" s="365"/>
      <c r="W537" s="365"/>
      <c r="X537" s="365"/>
      <c r="Y537" s="365"/>
      <c r="Z537" s="365"/>
    </row>
    <row r="538" spans="1:26" ht="14.25" customHeight="1" x14ac:dyDescent="0.25">
      <c r="A538" s="365"/>
      <c r="B538" s="365"/>
      <c r="C538" s="365"/>
      <c r="D538" s="365"/>
      <c r="E538" s="365"/>
      <c r="F538" s="365"/>
      <c r="G538" s="365"/>
      <c r="H538" s="365"/>
      <c r="I538" s="365"/>
      <c r="J538" s="365"/>
      <c r="K538" s="365"/>
      <c r="L538" s="365"/>
      <c r="M538" s="365"/>
      <c r="N538" s="365"/>
      <c r="O538" s="365"/>
      <c r="P538" s="365"/>
      <c r="Q538" s="365"/>
      <c r="R538" s="365"/>
      <c r="S538" s="365"/>
      <c r="T538" s="365"/>
      <c r="U538" s="365"/>
      <c r="V538" s="365"/>
      <c r="W538" s="365"/>
      <c r="X538" s="365"/>
      <c r="Y538" s="365"/>
      <c r="Z538" s="365"/>
    </row>
    <row r="539" spans="1:26" ht="14.25" customHeight="1" x14ac:dyDescent="0.25">
      <c r="A539" s="365"/>
      <c r="B539" s="365"/>
      <c r="C539" s="365"/>
      <c r="D539" s="365"/>
      <c r="E539" s="365"/>
      <c r="F539" s="365"/>
      <c r="G539" s="365"/>
      <c r="H539" s="365"/>
      <c r="I539" s="365"/>
      <c r="J539" s="365"/>
      <c r="K539" s="365"/>
      <c r="L539" s="365"/>
      <c r="M539" s="365"/>
      <c r="N539" s="365"/>
      <c r="O539" s="365"/>
      <c r="P539" s="365"/>
      <c r="Q539" s="365"/>
      <c r="R539" s="365"/>
      <c r="S539" s="365"/>
      <c r="T539" s="365"/>
      <c r="U539" s="365"/>
      <c r="V539" s="365"/>
      <c r="W539" s="365"/>
      <c r="X539" s="365"/>
      <c r="Y539" s="365"/>
      <c r="Z539" s="365"/>
    </row>
    <row r="540" spans="1:26" ht="14.25" customHeight="1" x14ac:dyDescent="0.25">
      <c r="A540" s="365"/>
      <c r="B540" s="365"/>
      <c r="C540" s="365"/>
      <c r="D540" s="365"/>
      <c r="E540" s="365"/>
      <c r="F540" s="365"/>
      <c r="G540" s="365"/>
      <c r="H540" s="365"/>
      <c r="I540" s="365"/>
      <c r="J540" s="365"/>
      <c r="K540" s="365"/>
      <c r="L540" s="365"/>
      <c r="M540" s="365"/>
      <c r="N540" s="365"/>
      <c r="O540" s="365"/>
      <c r="P540" s="365"/>
      <c r="Q540" s="365"/>
      <c r="R540" s="365"/>
      <c r="S540" s="365"/>
      <c r="T540" s="365"/>
      <c r="U540" s="365"/>
      <c r="V540" s="365"/>
      <c r="W540" s="365"/>
      <c r="X540" s="365"/>
      <c r="Y540" s="365"/>
      <c r="Z540" s="365"/>
    </row>
    <row r="541" spans="1:26" ht="14.25" customHeight="1" x14ac:dyDescent="0.25">
      <c r="A541" s="365"/>
      <c r="B541" s="365"/>
      <c r="C541" s="365"/>
      <c r="D541" s="365"/>
      <c r="E541" s="365"/>
      <c r="F541" s="365"/>
      <c r="G541" s="365"/>
      <c r="H541" s="365"/>
      <c r="I541" s="365"/>
      <c r="J541" s="365"/>
      <c r="K541" s="365"/>
      <c r="L541" s="365"/>
      <c r="M541" s="365"/>
      <c r="N541" s="365"/>
      <c r="O541" s="365"/>
      <c r="P541" s="365"/>
      <c r="Q541" s="365"/>
      <c r="R541" s="365"/>
      <c r="S541" s="365"/>
      <c r="T541" s="365"/>
      <c r="U541" s="365"/>
      <c r="V541" s="365"/>
      <c r="W541" s="365"/>
      <c r="X541" s="365"/>
      <c r="Y541" s="365"/>
      <c r="Z541" s="365"/>
    </row>
    <row r="542" spans="1:26" ht="14.25" customHeight="1" x14ac:dyDescent="0.25">
      <c r="A542" s="365"/>
      <c r="B542" s="365"/>
      <c r="C542" s="365"/>
      <c r="D542" s="365"/>
      <c r="E542" s="365"/>
      <c r="F542" s="365"/>
      <c r="G542" s="365"/>
      <c r="H542" s="365"/>
      <c r="I542" s="365"/>
      <c r="J542" s="365"/>
      <c r="K542" s="365"/>
      <c r="L542" s="365"/>
      <c r="M542" s="365"/>
      <c r="N542" s="365"/>
      <c r="O542" s="365"/>
      <c r="P542" s="365"/>
      <c r="Q542" s="365"/>
      <c r="R542" s="365"/>
      <c r="S542" s="365"/>
      <c r="T542" s="365"/>
      <c r="U542" s="365"/>
      <c r="V542" s="365"/>
      <c r="W542" s="365"/>
      <c r="X542" s="365"/>
      <c r="Y542" s="365"/>
      <c r="Z542" s="365"/>
    </row>
    <row r="543" spans="1:26" ht="14.25" customHeight="1" x14ac:dyDescent="0.25">
      <c r="A543" s="365"/>
      <c r="B543" s="365"/>
      <c r="C543" s="365"/>
      <c r="D543" s="365"/>
      <c r="E543" s="365"/>
      <c r="F543" s="365"/>
      <c r="G543" s="365"/>
      <c r="H543" s="365"/>
      <c r="I543" s="365"/>
      <c r="J543" s="365"/>
      <c r="K543" s="365"/>
      <c r="L543" s="365"/>
      <c r="M543" s="365"/>
      <c r="N543" s="365"/>
      <c r="O543" s="365"/>
      <c r="P543" s="365"/>
      <c r="Q543" s="365"/>
      <c r="R543" s="365"/>
      <c r="S543" s="365"/>
      <c r="T543" s="365"/>
      <c r="U543" s="365"/>
      <c r="V543" s="365"/>
      <c r="W543" s="365"/>
      <c r="X543" s="365"/>
      <c r="Y543" s="365"/>
      <c r="Z543" s="365"/>
    </row>
    <row r="544" spans="1:26" ht="14.25" customHeight="1" x14ac:dyDescent="0.25">
      <c r="A544" s="365"/>
      <c r="B544" s="365"/>
      <c r="C544" s="365"/>
      <c r="D544" s="365"/>
      <c r="E544" s="365"/>
      <c r="F544" s="365"/>
      <c r="G544" s="365"/>
      <c r="H544" s="365"/>
      <c r="I544" s="365"/>
      <c r="J544" s="365"/>
      <c r="K544" s="365"/>
      <c r="L544" s="365"/>
      <c r="M544" s="365"/>
      <c r="N544" s="365"/>
      <c r="O544" s="365"/>
      <c r="P544" s="365"/>
      <c r="Q544" s="365"/>
      <c r="R544" s="365"/>
      <c r="S544" s="365"/>
      <c r="T544" s="365"/>
      <c r="U544" s="365"/>
      <c r="V544" s="365"/>
      <c r="W544" s="365"/>
      <c r="X544" s="365"/>
      <c r="Y544" s="365"/>
      <c r="Z544" s="365"/>
    </row>
    <row r="545" spans="1:26" ht="14.25" customHeight="1" x14ac:dyDescent="0.25">
      <c r="A545" s="365"/>
      <c r="B545" s="365"/>
      <c r="C545" s="365"/>
      <c r="D545" s="365"/>
      <c r="E545" s="365"/>
      <c r="F545" s="365"/>
      <c r="G545" s="365"/>
      <c r="H545" s="365"/>
      <c r="I545" s="365"/>
      <c r="J545" s="365"/>
      <c r="K545" s="365"/>
      <c r="L545" s="365"/>
      <c r="M545" s="365"/>
      <c r="N545" s="365"/>
      <c r="O545" s="365"/>
      <c r="P545" s="365"/>
      <c r="Q545" s="365"/>
      <c r="R545" s="365"/>
      <c r="S545" s="365"/>
      <c r="T545" s="365"/>
      <c r="U545" s="365"/>
      <c r="V545" s="365"/>
      <c r="W545" s="365"/>
      <c r="X545" s="365"/>
      <c r="Y545" s="365"/>
      <c r="Z545" s="365"/>
    </row>
    <row r="546" spans="1:26" ht="14.25" customHeight="1" x14ac:dyDescent="0.25">
      <c r="A546" s="365"/>
      <c r="B546" s="365"/>
      <c r="C546" s="365"/>
      <c r="D546" s="365"/>
      <c r="E546" s="365"/>
      <c r="F546" s="365"/>
      <c r="G546" s="365"/>
      <c r="H546" s="365"/>
      <c r="I546" s="365"/>
      <c r="J546" s="365"/>
      <c r="K546" s="365"/>
      <c r="L546" s="365"/>
      <c r="M546" s="365"/>
      <c r="N546" s="365"/>
      <c r="O546" s="365"/>
      <c r="P546" s="365"/>
      <c r="Q546" s="365"/>
      <c r="R546" s="365"/>
      <c r="S546" s="365"/>
      <c r="T546" s="365"/>
      <c r="U546" s="365"/>
      <c r="V546" s="365"/>
      <c r="W546" s="365"/>
      <c r="X546" s="365"/>
      <c r="Y546" s="365"/>
      <c r="Z546" s="365"/>
    </row>
    <row r="547" spans="1:26" ht="14.25" customHeight="1" x14ac:dyDescent="0.25">
      <c r="A547" s="365"/>
      <c r="B547" s="365"/>
      <c r="C547" s="365"/>
      <c r="D547" s="365"/>
      <c r="E547" s="365"/>
      <c r="F547" s="365"/>
      <c r="G547" s="365"/>
      <c r="H547" s="365"/>
      <c r="I547" s="365"/>
      <c r="J547" s="365"/>
      <c r="K547" s="365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  <c r="Y547" s="365"/>
      <c r="Z547" s="365"/>
    </row>
    <row r="548" spans="1:26" ht="14.25" customHeight="1" x14ac:dyDescent="0.25">
      <c r="A548" s="365"/>
      <c r="B548" s="365"/>
      <c r="C548" s="365"/>
      <c r="D548" s="365"/>
      <c r="E548" s="365"/>
      <c r="F548" s="365"/>
      <c r="G548" s="365"/>
      <c r="H548" s="365"/>
      <c r="I548" s="365"/>
      <c r="J548" s="365"/>
      <c r="K548" s="365"/>
      <c r="L548" s="365"/>
      <c r="M548" s="365"/>
      <c r="N548" s="365"/>
      <c r="O548" s="365"/>
      <c r="P548" s="365"/>
      <c r="Q548" s="365"/>
      <c r="R548" s="365"/>
      <c r="S548" s="365"/>
      <c r="T548" s="365"/>
      <c r="U548" s="365"/>
      <c r="V548" s="365"/>
      <c r="W548" s="365"/>
      <c r="X548" s="365"/>
      <c r="Y548" s="365"/>
      <c r="Z548" s="365"/>
    </row>
    <row r="549" spans="1:26" ht="14.25" customHeight="1" x14ac:dyDescent="0.25">
      <c r="A549" s="365"/>
      <c r="B549" s="365"/>
      <c r="C549" s="365"/>
      <c r="D549" s="365"/>
      <c r="E549" s="365"/>
      <c r="F549" s="365"/>
      <c r="G549" s="365"/>
      <c r="H549" s="365"/>
      <c r="I549" s="365"/>
      <c r="J549" s="365"/>
      <c r="K549" s="365"/>
      <c r="L549" s="365"/>
      <c r="M549" s="365"/>
      <c r="N549" s="365"/>
      <c r="O549" s="365"/>
      <c r="P549" s="365"/>
      <c r="Q549" s="365"/>
      <c r="R549" s="365"/>
      <c r="S549" s="365"/>
      <c r="T549" s="365"/>
      <c r="U549" s="365"/>
      <c r="V549" s="365"/>
      <c r="W549" s="365"/>
      <c r="X549" s="365"/>
      <c r="Y549" s="365"/>
      <c r="Z549" s="365"/>
    </row>
    <row r="550" spans="1:26" ht="14.25" customHeight="1" x14ac:dyDescent="0.25">
      <c r="A550" s="365"/>
      <c r="B550" s="365"/>
      <c r="C550" s="365"/>
      <c r="D550" s="365"/>
      <c r="E550" s="365"/>
      <c r="F550" s="365"/>
      <c r="G550" s="365"/>
      <c r="H550" s="365"/>
      <c r="I550" s="365"/>
      <c r="J550" s="365"/>
      <c r="K550" s="365"/>
      <c r="L550" s="365"/>
      <c r="M550" s="365"/>
      <c r="N550" s="365"/>
      <c r="O550" s="365"/>
      <c r="P550" s="365"/>
      <c r="Q550" s="365"/>
      <c r="R550" s="365"/>
      <c r="S550" s="365"/>
      <c r="T550" s="365"/>
      <c r="U550" s="365"/>
      <c r="V550" s="365"/>
      <c r="W550" s="365"/>
      <c r="X550" s="365"/>
      <c r="Y550" s="365"/>
      <c r="Z550" s="365"/>
    </row>
    <row r="551" spans="1:26" ht="14.25" customHeight="1" x14ac:dyDescent="0.25">
      <c r="A551" s="365"/>
      <c r="B551" s="365"/>
      <c r="C551" s="365"/>
      <c r="D551" s="365"/>
      <c r="E551" s="365"/>
      <c r="F551" s="365"/>
      <c r="G551" s="365"/>
      <c r="H551" s="365"/>
      <c r="I551" s="365"/>
      <c r="J551" s="365"/>
      <c r="K551" s="365"/>
      <c r="L551" s="365"/>
      <c r="M551" s="365"/>
      <c r="N551" s="365"/>
      <c r="O551" s="365"/>
      <c r="P551" s="365"/>
      <c r="Q551" s="365"/>
      <c r="R551" s="365"/>
      <c r="S551" s="365"/>
      <c r="T551" s="365"/>
      <c r="U551" s="365"/>
      <c r="V551" s="365"/>
      <c r="W551" s="365"/>
      <c r="X551" s="365"/>
      <c r="Y551" s="365"/>
      <c r="Z551" s="365"/>
    </row>
    <row r="552" spans="1:26" ht="14.25" customHeight="1" x14ac:dyDescent="0.25">
      <c r="A552" s="365"/>
      <c r="B552" s="365"/>
      <c r="C552" s="365"/>
      <c r="D552" s="365"/>
      <c r="E552" s="365"/>
      <c r="F552" s="365"/>
      <c r="G552" s="365"/>
      <c r="H552" s="365"/>
      <c r="I552" s="365"/>
      <c r="J552" s="365"/>
      <c r="K552" s="365"/>
      <c r="L552" s="365"/>
      <c r="M552" s="365"/>
      <c r="N552" s="365"/>
      <c r="O552" s="365"/>
      <c r="P552" s="365"/>
      <c r="Q552" s="365"/>
      <c r="R552" s="365"/>
      <c r="S552" s="365"/>
      <c r="T552" s="365"/>
      <c r="U552" s="365"/>
      <c r="V552" s="365"/>
      <c r="W552" s="365"/>
      <c r="X552" s="365"/>
      <c r="Y552" s="365"/>
      <c r="Z552" s="365"/>
    </row>
    <row r="553" spans="1:26" ht="14.25" customHeight="1" x14ac:dyDescent="0.25">
      <c r="A553" s="365"/>
      <c r="B553" s="365"/>
      <c r="C553" s="365"/>
      <c r="D553" s="365"/>
      <c r="E553" s="365"/>
      <c r="F553" s="365"/>
      <c r="G553" s="365"/>
      <c r="H553" s="365"/>
      <c r="I553" s="365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  <c r="T553" s="365"/>
      <c r="U553" s="365"/>
      <c r="V553" s="365"/>
      <c r="W553" s="365"/>
      <c r="X553" s="365"/>
      <c r="Y553" s="365"/>
      <c r="Z553" s="365"/>
    </row>
    <row r="554" spans="1:26" ht="14.25" customHeight="1" x14ac:dyDescent="0.25">
      <c r="A554" s="365"/>
      <c r="B554" s="365"/>
      <c r="C554" s="365"/>
      <c r="D554" s="365"/>
      <c r="E554" s="365"/>
      <c r="F554" s="365"/>
      <c r="G554" s="365"/>
      <c r="H554" s="365"/>
      <c r="I554" s="365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  <c r="T554" s="365"/>
      <c r="U554" s="365"/>
      <c r="V554" s="365"/>
      <c r="W554" s="365"/>
      <c r="X554" s="365"/>
      <c r="Y554" s="365"/>
      <c r="Z554" s="365"/>
    </row>
    <row r="555" spans="1:26" ht="14.25" customHeight="1" x14ac:dyDescent="0.25">
      <c r="A555" s="365"/>
      <c r="B555" s="365"/>
      <c r="C555" s="365"/>
      <c r="D555" s="365"/>
      <c r="E555" s="365"/>
      <c r="F555" s="365"/>
      <c r="G555" s="365"/>
      <c r="H555" s="365"/>
      <c r="I555" s="365"/>
      <c r="J555" s="365"/>
      <c r="K555" s="365"/>
      <c r="L555" s="365"/>
      <c r="M555" s="365"/>
      <c r="N555" s="365"/>
      <c r="O555" s="365"/>
      <c r="P555" s="365"/>
      <c r="Q555" s="365"/>
      <c r="R555" s="365"/>
      <c r="S555" s="365"/>
      <c r="T555" s="365"/>
      <c r="U555" s="365"/>
      <c r="V555" s="365"/>
      <c r="W555" s="365"/>
      <c r="X555" s="365"/>
      <c r="Y555" s="365"/>
      <c r="Z555" s="365"/>
    </row>
    <row r="556" spans="1:26" ht="14.25" customHeight="1" x14ac:dyDescent="0.25">
      <c r="A556" s="365"/>
      <c r="B556" s="365"/>
      <c r="C556" s="365"/>
      <c r="D556" s="365"/>
      <c r="E556" s="365"/>
      <c r="F556" s="365"/>
      <c r="G556" s="365"/>
      <c r="H556" s="365"/>
      <c r="I556" s="365"/>
      <c r="J556" s="365"/>
      <c r="K556" s="365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  <c r="Y556" s="365"/>
      <c r="Z556" s="365"/>
    </row>
    <row r="557" spans="1:26" ht="14.25" customHeight="1" x14ac:dyDescent="0.25">
      <c r="A557" s="365"/>
      <c r="B557" s="365"/>
      <c r="C557" s="365"/>
      <c r="D557" s="365"/>
      <c r="E557" s="365"/>
      <c r="F557" s="365"/>
      <c r="G557" s="365"/>
      <c r="H557" s="365"/>
      <c r="I557" s="365"/>
      <c r="J557" s="365"/>
      <c r="K557" s="365"/>
      <c r="L557" s="365"/>
      <c r="M557" s="365"/>
      <c r="N557" s="365"/>
      <c r="O557" s="365"/>
      <c r="P557" s="365"/>
      <c r="Q557" s="365"/>
      <c r="R557" s="365"/>
      <c r="S557" s="365"/>
      <c r="T557" s="365"/>
      <c r="U557" s="365"/>
      <c r="V557" s="365"/>
      <c r="W557" s="365"/>
      <c r="X557" s="365"/>
      <c r="Y557" s="365"/>
      <c r="Z557" s="365"/>
    </row>
    <row r="558" spans="1:26" ht="14.25" customHeight="1" x14ac:dyDescent="0.25">
      <c r="A558" s="365"/>
      <c r="B558" s="365"/>
      <c r="C558" s="365"/>
      <c r="D558" s="365"/>
      <c r="E558" s="365"/>
      <c r="F558" s="365"/>
      <c r="G558" s="365"/>
      <c r="H558" s="365"/>
      <c r="I558" s="365"/>
      <c r="J558" s="365"/>
      <c r="K558" s="365"/>
      <c r="L558" s="365"/>
      <c r="M558" s="365"/>
      <c r="N558" s="365"/>
      <c r="O558" s="365"/>
      <c r="P558" s="365"/>
      <c r="Q558" s="365"/>
      <c r="R558" s="365"/>
      <c r="S558" s="365"/>
      <c r="T558" s="365"/>
      <c r="U558" s="365"/>
      <c r="V558" s="365"/>
      <c r="W558" s="365"/>
      <c r="X558" s="365"/>
      <c r="Y558" s="365"/>
      <c r="Z558" s="365"/>
    </row>
    <row r="559" spans="1:26" ht="14.25" customHeight="1" x14ac:dyDescent="0.25">
      <c r="A559" s="365"/>
      <c r="B559" s="365"/>
      <c r="C559" s="365"/>
      <c r="D559" s="365"/>
      <c r="E559" s="365"/>
      <c r="F559" s="365"/>
      <c r="G559" s="365"/>
      <c r="H559" s="365"/>
      <c r="I559" s="365"/>
      <c r="J559" s="365"/>
      <c r="K559" s="365"/>
      <c r="L559" s="365"/>
      <c r="M559" s="365"/>
      <c r="N559" s="365"/>
      <c r="O559" s="365"/>
      <c r="P559" s="365"/>
      <c r="Q559" s="365"/>
      <c r="R559" s="365"/>
      <c r="S559" s="365"/>
      <c r="T559" s="365"/>
      <c r="U559" s="365"/>
      <c r="V559" s="365"/>
      <c r="W559" s="365"/>
      <c r="X559" s="365"/>
      <c r="Y559" s="365"/>
      <c r="Z559" s="365"/>
    </row>
    <row r="560" spans="1:26" ht="14.25" customHeight="1" x14ac:dyDescent="0.25">
      <c r="A560" s="365"/>
      <c r="B560" s="365"/>
      <c r="C560" s="365"/>
      <c r="D560" s="365"/>
      <c r="E560" s="365"/>
      <c r="F560" s="365"/>
      <c r="G560" s="365"/>
      <c r="H560" s="365"/>
      <c r="I560" s="365"/>
      <c r="J560" s="365"/>
      <c r="K560" s="365"/>
      <c r="L560" s="365"/>
      <c r="M560" s="365"/>
      <c r="N560" s="365"/>
      <c r="O560" s="365"/>
      <c r="P560" s="365"/>
      <c r="Q560" s="365"/>
      <c r="R560" s="365"/>
      <c r="S560" s="365"/>
      <c r="T560" s="365"/>
      <c r="U560" s="365"/>
      <c r="V560" s="365"/>
      <c r="W560" s="365"/>
      <c r="X560" s="365"/>
      <c r="Y560" s="365"/>
      <c r="Z560" s="365"/>
    </row>
    <row r="561" spans="1:26" ht="14.25" customHeight="1" x14ac:dyDescent="0.25">
      <c r="A561" s="365"/>
      <c r="B561" s="365"/>
      <c r="C561" s="365"/>
      <c r="D561" s="365"/>
      <c r="E561" s="365"/>
      <c r="F561" s="365"/>
      <c r="G561" s="365"/>
      <c r="H561" s="365"/>
      <c r="I561" s="365"/>
      <c r="J561" s="365"/>
      <c r="K561" s="365"/>
      <c r="L561" s="365"/>
      <c r="M561" s="365"/>
      <c r="N561" s="365"/>
      <c r="O561" s="365"/>
      <c r="P561" s="365"/>
      <c r="Q561" s="365"/>
      <c r="R561" s="365"/>
      <c r="S561" s="365"/>
      <c r="T561" s="365"/>
      <c r="U561" s="365"/>
      <c r="V561" s="365"/>
      <c r="W561" s="365"/>
      <c r="X561" s="365"/>
      <c r="Y561" s="365"/>
      <c r="Z561" s="365"/>
    </row>
    <row r="562" spans="1:26" ht="14.25" customHeight="1" x14ac:dyDescent="0.25">
      <c r="A562" s="365"/>
      <c r="B562" s="365"/>
      <c r="C562" s="365"/>
      <c r="D562" s="365"/>
      <c r="E562" s="365"/>
      <c r="F562" s="365"/>
      <c r="G562" s="365"/>
      <c r="H562" s="365"/>
      <c r="I562" s="365"/>
      <c r="J562" s="365"/>
      <c r="K562" s="365"/>
      <c r="L562" s="365"/>
      <c r="M562" s="365"/>
      <c r="N562" s="365"/>
      <c r="O562" s="365"/>
      <c r="P562" s="365"/>
      <c r="Q562" s="365"/>
      <c r="R562" s="365"/>
      <c r="S562" s="365"/>
      <c r="T562" s="365"/>
      <c r="U562" s="365"/>
      <c r="V562" s="365"/>
      <c r="W562" s="365"/>
      <c r="X562" s="365"/>
      <c r="Y562" s="365"/>
      <c r="Z562" s="365"/>
    </row>
    <row r="563" spans="1:26" ht="14.25" customHeight="1" x14ac:dyDescent="0.25">
      <c r="A563" s="365"/>
      <c r="B563" s="365"/>
      <c r="C563" s="365"/>
      <c r="D563" s="365"/>
      <c r="E563" s="365"/>
      <c r="F563" s="365"/>
      <c r="G563" s="365"/>
      <c r="H563" s="365"/>
      <c r="I563" s="365"/>
      <c r="J563" s="365"/>
      <c r="K563" s="365"/>
      <c r="L563" s="365"/>
      <c r="M563" s="365"/>
      <c r="N563" s="365"/>
      <c r="O563" s="365"/>
      <c r="P563" s="365"/>
      <c r="Q563" s="365"/>
      <c r="R563" s="365"/>
      <c r="S563" s="365"/>
      <c r="T563" s="365"/>
      <c r="U563" s="365"/>
      <c r="V563" s="365"/>
      <c r="W563" s="365"/>
      <c r="X563" s="365"/>
      <c r="Y563" s="365"/>
      <c r="Z563" s="365"/>
    </row>
    <row r="564" spans="1:26" ht="14.25" customHeight="1" x14ac:dyDescent="0.25">
      <c r="A564" s="365"/>
      <c r="B564" s="365"/>
      <c r="C564" s="365"/>
      <c r="D564" s="365"/>
      <c r="E564" s="365"/>
      <c r="F564" s="365"/>
      <c r="G564" s="365"/>
      <c r="H564" s="365"/>
      <c r="I564" s="365"/>
      <c r="J564" s="365"/>
      <c r="K564" s="365"/>
      <c r="L564" s="365"/>
      <c r="M564" s="365"/>
      <c r="N564" s="365"/>
      <c r="O564" s="365"/>
      <c r="P564" s="365"/>
      <c r="Q564" s="365"/>
      <c r="R564" s="365"/>
      <c r="S564" s="365"/>
      <c r="T564" s="365"/>
      <c r="U564" s="365"/>
      <c r="V564" s="365"/>
      <c r="W564" s="365"/>
      <c r="X564" s="365"/>
      <c r="Y564" s="365"/>
      <c r="Z564" s="365"/>
    </row>
    <row r="565" spans="1:26" ht="14.25" customHeight="1" x14ac:dyDescent="0.25">
      <c r="A565" s="365"/>
      <c r="B565" s="365"/>
      <c r="C565" s="365"/>
      <c r="D565" s="365"/>
      <c r="E565" s="365"/>
      <c r="F565" s="365"/>
      <c r="G565" s="365"/>
      <c r="H565" s="365"/>
      <c r="I565" s="365"/>
      <c r="J565" s="365"/>
      <c r="K565" s="365"/>
      <c r="L565" s="365"/>
      <c r="M565" s="365"/>
      <c r="N565" s="365"/>
      <c r="O565" s="365"/>
      <c r="P565" s="365"/>
      <c r="Q565" s="365"/>
      <c r="R565" s="365"/>
      <c r="S565" s="365"/>
      <c r="T565" s="365"/>
      <c r="U565" s="365"/>
      <c r="V565" s="365"/>
      <c r="W565" s="365"/>
      <c r="X565" s="365"/>
      <c r="Y565" s="365"/>
      <c r="Z565" s="365"/>
    </row>
    <row r="566" spans="1:26" ht="14.25" customHeight="1" x14ac:dyDescent="0.25">
      <c r="A566" s="365"/>
      <c r="B566" s="365"/>
      <c r="C566" s="365"/>
      <c r="D566" s="365"/>
      <c r="E566" s="365"/>
      <c r="F566" s="365"/>
      <c r="G566" s="365"/>
      <c r="H566" s="365"/>
      <c r="I566" s="365"/>
      <c r="J566" s="365"/>
      <c r="K566" s="365"/>
      <c r="L566" s="365"/>
      <c r="M566" s="365"/>
      <c r="N566" s="365"/>
      <c r="O566" s="365"/>
      <c r="P566" s="365"/>
      <c r="Q566" s="365"/>
      <c r="R566" s="365"/>
      <c r="S566" s="365"/>
      <c r="T566" s="365"/>
      <c r="U566" s="365"/>
      <c r="V566" s="365"/>
      <c r="W566" s="365"/>
      <c r="X566" s="365"/>
      <c r="Y566" s="365"/>
      <c r="Z566" s="365"/>
    </row>
    <row r="567" spans="1:26" ht="14.25" customHeight="1" x14ac:dyDescent="0.25">
      <c r="A567" s="365"/>
      <c r="B567" s="365"/>
      <c r="C567" s="365"/>
      <c r="D567" s="365"/>
      <c r="E567" s="365"/>
      <c r="F567" s="365"/>
      <c r="G567" s="365"/>
      <c r="H567" s="365"/>
      <c r="I567" s="365"/>
      <c r="J567" s="365"/>
      <c r="K567" s="365"/>
      <c r="L567" s="365"/>
      <c r="M567" s="365"/>
      <c r="N567" s="365"/>
      <c r="O567" s="365"/>
      <c r="P567" s="365"/>
      <c r="Q567" s="365"/>
      <c r="R567" s="365"/>
      <c r="S567" s="365"/>
      <c r="T567" s="365"/>
      <c r="U567" s="365"/>
      <c r="V567" s="365"/>
      <c r="W567" s="365"/>
      <c r="X567" s="365"/>
      <c r="Y567" s="365"/>
      <c r="Z567" s="365"/>
    </row>
    <row r="568" spans="1:26" ht="14.25" customHeight="1" x14ac:dyDescent="0.25">
      <c r="A568" s="365"/>
      <c r="B568" s="365"/>
      <c r="C568" s="365"/>
      <c r="D568" s="365"/>
      <c r="E568" s="365"/>
      <c r="F568" s="365"/>
      <c r="G568" s="365"/>
      <c r="H568" s="365"/>
      <c r="I568" s="365"/>
      <c r="J568" s="365"/>
      <c r="K568" s="365"/>
      <c r="L568" s="365"/>
      <c r="M568" s="365"/>
      <c r="N568" s="365"/>
      <c r="O568" s="365"/>
      <c r="P568" s="365"/>
      <c r="Q568" s="365"/>
      <c r="R568" s="365"/>
      <c r="S568" s="365"/>
      <c r="T568" s="365"/>
      <c r="U568" s="365"/>
      <c r="V568" s="365"/>
      <c r="W568" s="365"/>
      <c r="X568" s="365"/>
      <c r="Y568" s="365"/>
      <c r="Z568" s="365"/>
    </row>
    <row r="569" spans="1:26" ht="14.25" customHeight="1" x14ac:dyDescent="0.25">
      <c r="A569" s="365"/>
      <c r="B569" s="365"/>
      <c r="C569" s="365"/>
      <c r="D569" s="365"/>
      <c r="E569" s="365"/>
      <c r="F569" s="365"/>
      <c r="G569" s="365"/>
      <c r="H569" s="365"/>
      <c r="I569" s="365"/>
      <c r="J569" s="365"/>
      <c r="K569" s="365"/>
      <c r="L569" s="365"/>
      <c r="M569" s="365"/>
      <c r="N569" s="365"/>
      <c r="O569" s="365"/>
      <c r="P569" s="365"/>
      <c r="Q569" s="365"/>
      <c r="R569" s="365"/>
      <c r="S569" s="365"/>
      <c r="T569" s="365"/>
      <c r="U569" s="365"/>
      <c r="V569" s="365"/>
      <c r="W569" s="365"/>
      <c r="X569" s="365"/>
      <c r="Y569" s="365"/>
      <c r="Z569" s="365"/>
    </row>
    <row r="570" spans="1:26" ht="14.25" customHeight="1" x14ac:dyDescent="0.25">
      <c r="A570" s="365"/>
      <c r="B570" s="365"/>
      <c r="C570" s="365"/>
      <c r="D570" s="365"/>
      <c r="E570" s="365"/>
      <c r="F570" s="365"/>
      <c r="G570" s="365"/>
      <c r="H570" s="365"/>
      <c r="I570" s="365"/>
      <c r="J570" s="365"/>
      <c r="K570" s="365"/>
      <c r="L570" s="365"/>
      <c r="M570" s="365"/>
      <c r="N570" s="365"/>
      <c r="O570" s="365"/>
      <c r="P570" s="365"/>
      <c r="Q570" s="365"/>
      <c r="R570" s="365"/>
      <c r="S570" s="365"/>
      <c r="T570" s="365"/>
      <c r="U570" s="365"/>
      <c r="V570" s="365"/>
      <c r="W570" s="365"/>
      <c r="X570" s="365"/>
      <c r="Y570" s="365"/>
      <c r="Z570" s="365"/>
    </row>
    <row r="571" spans="1:26" ht="14.25" customHeight="1" x14ac:dyDescent="0.25">
      <c r="A571" s="365"/>
      <c r="B571" s="365"/>
      <c r="C571" s="365"/>
      <c r="D571" s="365"/>
      <c r="E571" s="365"/>
      <c r="F571" s="365"/>
      <c r="G571" s="365"/>
      <c r="H571" s="365"/>
      <c r="I571" s="365"/>
      <c r="J571" s="365"/>
      <c r="K571" s="365"/>
      <c r="L571" s="365"/>
      <c r="M571" s="365"/>
      <c r="N571" s="365"/>
      <c r="O571" s="365"/>
      <c r="P571" s="365"/>
      <c r="Q571" s="365"/>
      <c r="R571" s="365"/>
      <c r="S571" s="365"/>
      <c r="T571" s="365"/>
      <c r="U571" s="365"/>
      <c r="V571" s="365"/>
      <c r="W571" s="365"/>
      <c r="X571" s="365"/>
      <c r="Y571" s="365"/>
      <c r="Z571" s="365"/>
    </row>
    <row r="572" spans="1:26" ht="14.25" customHeight="1" x14ac:dyDescent="0.25">
      <c r="A572" s="365"/>
      <c r="B572" s="365"/>
      <c r="C572" s="365"/>
      <c r="D572" s="365"/>
      <c r="E572" s="365"/>
      <c r="F572" s="365"/>
      <c r="G572" s="365"/>
      <c r="H572" s="365"/>
      <c r="I572" s="365"/>
      <c r="J572" s="365"/>
      <c r="K572" s="365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  <c r="Y572" s="365"/>
      <c r="Z572" s="365"/>
    </row>
    <row r="573" spans="1:26" ht="14.25" customHeight="1" x14ac:dyDescent="0.25">
      <c r="A573" s="365"/>
      <c r="B573" s="365"/>
      <c r="C573" s="365"/>
      <c r="D573" s="365"/>
      <c r="E573" s="365"/>
      <c r="F573" s="365"/>
      <c r="G573" s="365"/>
      <c r="H573" s="365"/>
      <c r="I573" s="365"/>
      <c r="J573" s="365"/>
      <c r="K573" s="365"/>
      <c r="L573" s="365"/>
      <c r="M573" s="365"/>
      <c r="N573" s="365"/>
      <c r="O573" s="365"/>
      <c r="P573" s="365"/>
      <c r="Q573" s="365"/>
      <c r="R573" s="365"/>
      <c r="S573" s="365"/>
      <c r="T573" s="365"/>
      <c r="U573" s="365"/>
      <c r="V573" s="365"/>
      <c r="W573" s="365"/>
      <c r="X573" s="365"/>
      <c r="Y573" s="365"/>
      <c r="Z573" s="365"/>
    </row>
    <row r="574" spans="1:26" ht="14.25" customHeight="1" x14ac:dyDescent="0.25">
      <c r="A574" s="365"/>
      <c r="B574" s="365"/>
      <c r="C574" s="365"/>
      <c r="D574" s="365"/>
      <c r="E574" s="365"/>
      <c r="F574" s="365"/>
      <c r="G574" s="365"/>
      <c r="H574" s="365"/>
      <c r="I574" s="365"/>
      <c r="J574" s="365"/>
      <c r="K574" s="365"/>
      <c r="L574" s="365"/>
      <c r="M574" s="365"/>
      <c r="N574" s="365"/>
      <c r="O574" s="365"/>
      <c r="P574" s="365"/>
      <c r="Q574" s="365"/>
      <c r="R574" s="365"/>
      <c r="S574" s="365"/>
      <c r="T574" s="365"/>
      <c r="U574" s="365"/>
      <c r="V574" s="365"/>
      <c r="W574" s="365"/>
      <c r="X574" s="365"/>
      <c r="Y574" s="365"/>
      <c r="Z574" s="365"/>
    </row>
    <row r="575" spans="1:26" ht="14.25" customHeight="1" x14ac:dyDescent="0.25">
      <c r="A575" s="365"/>
      <c r="B575" s="365"/>
      <c r="C575" s="365"/>
      <c r="D575" s="365"/>
      <c r="E575" s="365"/>
      <c r="F575" s="365"/>
      <c r="G575" s="365"/>
      <c r="H575" s="365"/>
      <c r="I575" s="365"/>
      <c r="J575" s="365"/>
      <c r="K575" s="365"/>
      <c r="L575" s="365"/>
      <c r="M575" s="365"/>
      <c r="N575" s="365"/>
      <c r="O575" s="365"/>
      <c r="P575" s="365"/>
      <c r="Q575" s="365"/>
      <c r="R575" s="365"/>
      <c r="S575" s="365"/>
      <c r="T575" s="365"/>
      <c r="U575" s="365"/>
      <c r="V575" s="365"/>
      <c r="W575" s="365"/>
      <c r="X575" s="365"/>
      <c r="Y575" s="365"/>
      <c r="Z575" s="365"/>
    </row>
    <row r="576" spans="1:26" ht="14.25" customHeight="1" x14ac:dyDescent="0.25">
      <c r="A576" s="365"/>
      <c r="B576" s="365"/>
      <c r="C576" s="365"/>
      <c r="D576" s="365"/>
      <c r="E576" s="365"/>
      <c r="F576" s="365"/>
      <c r="G576" s="365"/>
      <c r="H576" s="365"/>
      <c r="I576" s="365"/>
      <c r="J576" s="365"/>
      <c r="K576" s="365"/>
      <c r="L576" s="365"/>
      <c r="M576" s="365"/>
      <c r="N576" s="365"/>
      <c r="O576" s="365"/>
      <c r="P576" s="365"/>
      <c r="Q576" s="365"/>
      <c r="R576" s="365"/>
      <c r="S576" s="365"/>
      <c r="T576" s="365"/>
      <c r="U576" s="365"/>
      <c r="V576" s="365"/>
      <c r="W576" s="365"/>
      <c r="X576" s="365"/>
      <c r="Y576" s="365"/>
      <c r="Z576" s="365"/>
    </row>
    <row r="577" spans="1:26" ht="14.25" customHeight="1" x14ac:dyDescent="0.25">
      <c r="A577" s="365"/>
      <c r="B577" s="365"/>
      <c r="C577" s="365"/>
      <c r="D577" s="365"/>
      <c r="E577" s="365"/>
      <c r="F577" s="365"/>
      <c r="G577" s="365"/>
      <c r="H577" s="365"/>
      <c r="I577" s="365"/>
      <c r="J577" s="365"/>
      <c r="K577" s="365"/>
      <c r="L577" s="365"/>
      <c r="M577" s="365"/>
      <c r="N577" s="365"/>
      <c r="O577" s="365"/>
      <c r="P577" s="365"/>
      <c r="Q577" s="365"/>
      <c r="R577" s="365"/>
      <c r="S577" s="365"/>
      <c r="T577" s="365"/>
      <c r="U577" s="365"/>
      <c r="V577" s="365"/>
      <c r="W577" s="365"/>
      <c r="X577" s="365"/>
      <c r="Y577" s="365"/>
      <c r="Z577" s="365"/>
    </row>
    <row r="578" spans="1:26" ht="14.25" customHeight="1" x14ac:dyDescent="0.25">
      <c r="A578" s="365"/>
      <c r="B578" s="365"/>
      <c r="C578" s="365"/>
      <c r="D578" s="365"/>
      <c r="E578" s="365"/>
      <c r="F578" s="365"/>
      <c r="G578" s="365"/>
      <c r="H578" s="365"/>
      <c r="I578" s="365"/>
      <c r="J578" s="365"/>
      <c r="K578" s="365"/>
      <c r="L578" s="365"/>
      <c r="M578" s="365"/>
      <c r="N578" s="365"/>
      <c r="O578" s="365"/>
      <c r="P578" s="365"/>
      <c r="Q578" s="365"/>
      <c r="R578" s="365"/>
      <c r="S578" s="365"/>
      <c r="T578" s="365"/>
      <c r="U578" s="365"/>
      <c r="V578" s="365"/>
      <c r="W578" s="365"/>
      <c r="X578" s="365"/>
      <c r="Y578" s="365"/>
      <c r="Z578" s="365"/>
    </row>
    <row r="579" spans="1:26" ht="14.25" customHeight="1" x14ac:dyDescent="0.25">
      <c r="A579" s="365"/>
      <c r="B579" s="365"/>
      <c r="C579" s="365"/>
      <c r="D579" s="365"/>
      <c r="E579" s="365"/>
      <c r="F579" s="365"/>
      <c r="G579" s="365"/>
      <c r="H579" s="365"/>
      <c r="I579" s="365"/>
      <c r="J579" s="365"/>
      <c r="K579" s="365"/>
      <c r="L579" s="365"/>
      <c r="M579" s="365"/>
      <c r="N579" s="365"/>
      <c r="O579" s="365"/>
      <c r="P579" s="365"/>
      <c r="Q579" s="365"/>
      <c r="R579" s="365"/>
      <c r="S579" s="365"/>
      <c r="T579" s="365"/>
      <c r="U579" s="365"/>
      <c r="V579" s="365"/>
      <c r="W579" s="365"/>
      <c r="X579" s="365"/>
      <c r="Y579" s="365"/>
      <c r="Z579" s="365"/>
    </row>
    <row r="580" spans="1:26" ht="14.25" customHeight="1" x14ac:dyDescent="0.25">
      <c r="A580" s="365"/>
      <c r="B580" s="365"/>
      <c r="C580" s="365"/>
      <c r="D580" s="365"/>
      <c r="E580" s="365"/>
      <c r="F580" s="365"/>
      <c r="G580" s="365"/>
      <c r="H580" s="365"/>
      <c r="I580" s="365"/>
      <c r="J580" s="365"/>
      <c r="K580" s="365"/>
      <c r="L580" s="365"/>
      <c r="M580" s="365"/>
      <c r="N580" s="365"/>
      <c r="O580" s="365"/>
      <c r="P580" s="365"/>
      <c r="Q580" s="365"/>
      <c r="R580" s="365"/>
      <c r="S580" s="365"/>
      <c r="T580" s="365"/>
      <c r="U580" s="365"/>
      <c r="V580" s="365"/>
      <c r="W580" s="365"/>
      <c r="X580" s="365"/>
      <c r="Y580" s="365"/>
      <c r="Z580" s="365"/>
    </row>
    <row r="581" spans="1:26" ht="14.25" customHeight="1" x14ac:dyDescent="0.25">
      <c r="A581" s="365"/>
      <c r="B581" s="365"/>
      <c r="C581" s="365"/>
      <c r="D581" s="365"/>
      <c r="E581" s="365"/>
      <c r="F581" s="365"/>
      <c r="G581" s="365"/>
      <c r="H581" s="365"/>
      <c r="I581" s="365"/>
      <c r="J581" s="365"/>
      <c r="K581" s="365"/>
      <c r="L581" s="365"/>
      <c r="M581" s="365"/>
      <c r="N581" s="365"/>
      <c r="O581" s="365"/>
      <c r="P581" s="365"/>
      <c r="Q581" s="365"/>
      <c r="R581" s="365"/>
      <c r="S581" s="365"/>
      <c r="T581" s="365"/>
      <c r="U581" s="365"/>
      <c r="V581" s="365"/>
      <c r="W581" s="365"/>
      <c r="X581" s="365"/>
      <c r="Y581" s="365"/>
      <c r="Z581" s="365"/>
    </row>
    <row r="582" spans="1:26" ht="14.25" customHeight="1" x14ac:dyDescent="0.25">
      <c r="A582" s="365"/>
      <c r="B582" s="365"/>
      <c r="C582" s="365"/>
      <c r="D582" s="365"/>
      <c r="E582" s="365"/>
      <c r="F582" s="365"/>
      <c r="G582" s="365"/>
      <c r="H582" s="365"/>
      <c r="I582" s="365"/>
      <c r="J582" s="365"/>
      <c r="K582" s="365"/>
      <c r="L582" s="365"/>
      <c r="M582" s="365"/>
      <c r="N582" s="365"/>
      <c r="O582" s="365"/>
      <c r="P582" s="365"/>
      <c r="Q582" s="365"/>
      <c r="R582" s="365"/>
      <c r="S582" s="365"/>
      <c r="T582" s="365"/>
      <c r="U582" s="365"/>
      <c r="V582" s="365"/>
      <c r="W582" s="365"/>
      <c r="X582" s="365"/>
      <c r="Y582" s="365"/>
      <c r="Z582" s="365"/>
    </row>
    <row r="583" spans="1:26" ht="14.25" customHeight="1" x14ac:dyDescent="0.25">
      <c r="A583" s="365"/>
      <c r="B583" s="365"/>
      <c r="C583" s="365"/>
      <c r="D583" s="365"/>
      <c r="E583" s="365"/>
      <c r="F583" s="365"/>
      <c r="G583" s="365"/>
      <c r="H583" s="365"/>
      <c r="I583" s="365"/>
      <c r="J583" s="365"/>
      <c r="K583" s="365"/>
      <c r="L583" s="365"/>
      <c r="M583" s="365"/>
      <c r="N583" s="365"/>
      <c r="O583" s="365"/>
      <c r="P583" s="365"/>
      <c r="Q583" s="365"/>
      <c r="R583" s="365"/>
      <c r="S583" s="365"/>
      <c r="T583" s="365"/>
      <c r="U583" s="365"/>
      <c r="V583" s="365"/>
      <c r="W583" s="365"/>
      <c r="X583" s="365"/>
      <c r="Y583" s="365"/>
      <c r="Z583" s="365"/>
    </row>
    <row r="584" spans="1:26" ht="14.25" customHeight="1" x14ac:dyDescent="0.25">
      <c r="A584" s="365"/>
      <c r="B584" s="365"/>
      <c r="C584" s="365"/>
      <c r="D584" s="365"/>
      <c r="E584" s="365"/>
      <c r="F584" s="365"/>
      <c r="G584" s="365"/>
      <c r="H584" s="365"/>
      <c r="I584" s="365"/>
      <c r="J584" s="365"/>
      <c r="K584" s="365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  <c r="Y584" s="365"/>
      <c r="Z584" s="365"/>
    </row>
    <row r="585" spans="1:26" ht="14.25" customHeight="1" x14ac:dyDescent="0.25">
      <c r="A585" s="365"/>
      <c r="B585" s="365"/>
      <c r="C585" s="365"/>
      <c r="D585" s="365"/>
      <c r="E585" s="365"/>
      <c r="F585" s="365"/>
      <c r="G585" s="365"/>
      <c r="H585" s="365"/>
      <c r="I585" s="365"/>
      <c r="J585" s="365"/>
      <c r="K585" s="365"/>
      <c r="L585" s="365"/>
      <c r="M585" s="365"/>
      <c r="N585" s="365"/>
      <c r="O585" s="365"/>
      <c r="P585" s="365"/>
      <c r="Q585" s="365"/>
      <c r="R585" s="365"/>
      <c r="S585" s="365"/>
      <c r="T585" s="365"/>
      <c r="U585" s="365"/>
      <c r="V585" s="365"/>
      <c r="W585" s="365"/>
      <c r="X585" s="365"/>
      <c r="Y585" s="365"/>
      <c r="Z585" s="365"/>
    </row>
    <row r="586" spans="1:26" ht="14.25" customHeight="1" x14ac:dyDescent="0.25">
      <c r="A586" s="365"/>
      <c r="B586" s="365"/>
      <c r="C586" s="365"/>
      <c r="D586" s="365"/>
      <c r="E586" s="365"/>
      <c r="F586" s="365"/>
      <c r="G586" s="365"/>
      <c r="H586" s="365"/>
      <c r="I586" s="365"/>
      <c r="J586" s="365"/>
      <c r="K586" s="365"/>
      <c r="L586" s="365"/>
      <c r="M586" s="365"/>
      <c r="N586" s="365"/>
      <c r="O586" s="365"/>
      <c r="P586" s="365"/>
      <c r="Q586" s="365"/>
      <c r="R586" s="365"/>
      <c r="S586" s="365"/>
      <c r="T586" s="365"/>
      <c r="U586" s="365"/>
      <c r="V586" s="365"/>
      <c r="W586" s="365"/>
      <c r="X586" s="365"/>
      <c r="Y586" s="365"/>
      <c r="Z586" s="365"/>
    </row>
    <row r="587" spans="1:26" ht="14.25" customHeight="1" x14ac:dyDescent="0.25">
      <c r="A587" s="365"/>
      <c r="B587" s="365"/>
      <c r="C587" s="365"/>
      <c r="D587" s="365"/>
      <c r="E587" s="365"/>
      <c r="F587" s="365"/>
      <c r="G587" s="365"/>
      <c r="H587" s="365"/>
      <c r="I587" s="365"/>
      <c r="J587" s="365"/>
      <c r="K587" s="365"/>
      <c r="L587" s="365"/>
      <c r="M587" s="365"/>
      <c r="N587" s="365"/>
      <c r="O587" s="365"/>
      <c r="P587" s="365"/>
      <c r="Q587" s="365"/>
      <c r="R587" s="365"/>
      <c r="S587" s="365"/>
      <c r="T587" s="365"/>
      <c r="U587" s="365"/>
      <c r="V587" s="365"/>
      <c r="W587" s="365"/>
      <c r="X587" s="365"/>
      <c r="Y587" s="365"/>
      <c r="Z587" s="365"/>
    </row>
    <row r="588" spans="1:26" ht="14.25" customHeight="1" x14ac:dyDescent="0.25">
      <c r="A588" s="365"/>
      <c r="B588" s="365"/>
      <c r="C588" s="365"/>
      <c r="D588" s="365"/>
      <c r="E588" s="365"/>
      <c r="F588" s="365"/>
      <c r="G588" s="365"/>
      <c r="H588" s="365"/>
      <c r="I588" s="365"/>
      <c r="J588" s="365"/>
      <c r="K588" s="365"/>
      <c r="L588" s="365"/>
      <c r="M588" s="365"/>
      <c r="N588" s="365"/>
      <c r="O588" s="365"/>
      <c r="P588" s="365"/>
      <c r="Q588" s="365"/>
      <c r="R588" s="365"/>
      <c r="S588" s="365"/>
      <c r="T588" s="365"/>
      <c r="U588" s="365"/>
      <c r="V588" s="365"/>
      <c r="W588" s="365"/>
      <c r="X588" s="365"/>
      <c r="Y588" s="365"/>
      <c r="Z588" s="365"/>
    </row>
    <row r="589" spans="1:26" ht="14.25" customHeight="1" x14ac:dyDescent="0.25">
      <c r="A589" s="365"/>
      <c r="B589" s="365"/>
      <c r="C589" s="365"/>
      <c r="D589" s="365"/>
      <c r="E589" s="365"/>
      <c r="F589" s="365"/>
      <c r="G589" s="365"/>
      <c r="H589" s="365"/>
      <c r="I589" s="365"/>
      <c r="J589" s="365"/>
      <c r="K589" s="365"/>
      <c r="L589" s="365"/>
      <c r="M589" s="365"/>
      <c r="N589" s="365"/>
      <c r="O589" s="365"/>
      <c r="P589" s="365"/>
      <c r="Q589" s="365"/>
      <c r="R589" s="365"/>
      <c r="S589" s="365"/>
      <c r="T589" s="365"/>
      <c r="U589" s="365"/>
      <c r="V589" s="365"/>
      <c r="W589" s="365"/>
      <c r="X589" s="365"/>
      <c r="Y589" s="365"/>
      <c r="Z589" s="365"/>
    </row>
    <row r="590" spans="1:26" ht="14.25" customHeight="1" x14ac:dyDescent="0.25">
      <c r="A590" s="365"/>
      <c r="B590" s="365"/>
      <c r="C590" s="365"/>
      <c r="D590" s="365"/>
      <c r="E590" s="365"/>
      <c r="F590" s="365"/>
      <c r="G590" s="365"/>
      <c r="H590" s="365"/>
      <c r="I590" s="365"/>
      <c r="J590" s="365"/>
      <c r="K590" s="365"/>
      <c r="L590" s="365"/>
      <c r="M590" s="365"/>
      <c r="N590" s="365"/>
      <c r="O590" s="365"/>
      <c r="P590" s="365"/>
      <c r="Q590" s="365"/>
      <c r="R590" s="365"/>
      <c r="S590" s="365"/>
      <c r="T590" s="365"/>
      <c r="U590" s="365"/>
      <c r="V590" s="365"/>
      <c r="W590" s="365"/>
      <c r="X590" s="365"/>
      <c r="Y590" s="365"/>
      <c r="Z590" s="365"/>
    </row>
    <row r="591" spans="1:26" ht="14.25" customHeight="1" x14ac:dyDescent="0.25">
      <c r="A591" s="365"/>
      <c r="B591" s="365"/>
      <c r="C591" s="365"/>
      <c r="D591" s="365"/>
      <c r="E591" s="365"/>
      <c r="F591" s="365"/>
      <c r="G591" s="365"/>
      <c r="H591" s="365"/>
      <c r="I591" s="365"/>
      <c r="J591" s="365"/>
      <c r="K591" s="365"/>
      <c r="L591" s="365"/>
      <c r="M591" s="365"/>
      <c r="N591" s="365"/>
      <c r="O591" s="365"/>
      <c r="P591" s="365"/>
      <c r="Q591" s="365"/>
      <c r="R591" s="365"/>
      <c r="S591" s="365"/>
      <c r="T591" s="365"/>
      <c r="U591" s="365"/>
      <c r="V591" s="365"/>
      <c r="W591" s="365"/>
      <c r="X591" s="365"/>
      <c r="Y591" s="365"/>
      <c r="Z591" s="365"/>
    </row>
    <row r="592" spans="1:26" ht="14.25" customHeight="1" x14ac:dyDescent="0.25">
      <c r="A592" s="365"/>
      <c r="B592" s="365"/>
      <c r="C592" s="365"/>
      <c r="D592" s="365"/>
      <c r="E592" s="365"/>
      <c r="F592" s="365"/>
      <c r="G592" s="365"/>
      <c r="H592" s="365"/>
      <c r="I592" s="365"/>
      <c r="J592" s="365"/>
      <c r="K592" s="365"/>
      <c r="L592" s="365"/>
      <c r="M592" s="365"/>
      <c r="N592" s="365"/>
      <c r="O592" s="365"/>
      <c r="P592" s="365"/>
      <c r="Q592" s="365"/>
      <c r="R592" s="365"/>
      <c r="S592" s="365"/>
      <c r="T592" s="365"/>
      <c r="U592" s="365"/>
      <c r="V592" s="365"/>
      <c r="W592" s="365"/>
      <c r="X592" s="365"/>
      <c r="Y592" s="365"/>
      <c r="Z592" s="365"/>
    </row>
    <row r="593" spans="1:26" ht="14.25" customHeight="1" x14ac:dyDescent="0.25">
      <c r="A593" s="365"/>
      <c r="B593" s="365"/>
      <c r="C593" s="365"/>
      <c r="D593" s="365"/>
      <c r="E593" s="365"/>
      <c r="F593" s="365"/>
      <c r="G593" s="365"/>
      <c r="H593" s="365"/>
      <c r="I593" s="365"/>
      <c r="J593" s="365"/>
      <c r="K593" s="365"/>
      <c r="L593" s="365"/>
      <c r="M593" s="365"/>
      <c r="N593" s="365"/>
      <c r="O593" s="365"/>
      <c r="P593" s="365"/>
      <c r="Q593" s="365"/>
      <c r="R593" s="365"/>
      <c r="S593" s="365"/>
      <c r="T593" s="365"/>
      <c r="U593" s="365"/>
      <c r="V593" s="365"/>
      <c r="W593" s="365"/>
      <c r="X593" s="365"/>
      <c r="Y593" s="365"/>
      <c r="Z593" s="365"/>
    </row>
    <row r="594" spans="1:26" ht="14.25" customHeight="1" x14ac:dyDescent="0.25">
      <c r="A594" s="365"/>
      <c r="B594" s="365"/>
      <c r="C594" s="365"/>
      <c r="D594" s="365"/>
      <c r="E594" s="365"/>
      <c r="F594" s="365"/>
      <c r="G594" s="365"/>
      <c r="H594" s="365"/>
      <c r="I594" s="365"/>
      <c r="J594" s="365"/>
      <c r="K594" s="365"/>
      <c r="L594" s="365"/>
      <c r="M594" s="365"/>
      <c r="N594" s="365"/>
      <c r="O594" s="365"/>
      <c r="P594" s="365"/>
      <c r="Q594" s="365"/>
      <c r="R594" s="365"/>
      <c r="S594" s="365"/>
      <c r="T594" s="365"/>
      <c r="U594" s="365"/>
      <c r="V594" s="365"/>
      <c r="W594" s="365"/>
      <c r="X594" s="365"/>
      <c r="Y594" s="365"/>
      <c r="Z594" s="365"/>
    </row>
    <row r="595" spans="1:26" ht="14.25" customHeight="1" x14ac:dyDescent="0.25">
      <c r="A595" s="365"/>
      <c r="B595" s="365"/>
      <c r="C595" s="365"/>
      <c r="D595" s="365"/>
      <c r="E595" s="365"/>
      <c r="F595" s="365"/>
      <c r="G595" s="365"/>
      <c r="H595" s="365"/>
      <c r="I595" s="365"/>
      <c r="J595" s="365"/>
      <c r="K595" s="365"/>
      <c r="L595" s="365"/>
      <c r="M595" s="365"/>
      <c r="N595" s="365"/>
      <c r="O595" s="365"/>
      <c r="P595" s="365"/>
      <c r="Q595" s="365"/>
      <c r="R595" s="365"/>
      <c r="S595" s="365"/>
      <c r="T595" s="365"/>
      <c r="U595" s="365"/>
      <c r="V595" s="365"/>
      <c r="W595" s="365"/>
      <c r="X595" s="365"/>
      <c r="Y595" s="365"/>
      <c r="Z595" s="365"/>
    </row>
    <row r="596" spans="1:26" ht="14.25" customHeight="1" x14ac:dyDescent="0.25">
      <c r="A596" s="365"/>
      <c r="B596" s="365"/>
      <c r="C596" s="365"/>
      <c r="D596" s="365"/>
      <c r="E596" s="365"/>
      <c r="F596" s="365"/>
      <c r="G596" s="365"/>
      <c r="H596" s="365"/>
      <c r="I596" s="365"/>
      <c r="J596" s="365"/>
      <c r="K596" s="365"/>
      <c r="L596" s="365"/>
      <c r="M596" s="365"/>
      <c r="N596" s="365"/>
      <c r="O596" s="365"/>
      <c r="P596" s="365"/>
      <c r="Q596" s="365"/>
      <c r="R596" s="365"/>
      <c r="S596" s="365"/>
      <c r="T596" s="365"/>
      <c r="U596" s="365"/>
      <c r="V596" s="365"/>
      <c r="W596" s="365"/>
      <c r="X596" s="365"/>
      <c r="Y596" s="365"/>
      <c r="Z596" s="365"/>
    </row>
    <row r="597" spans="1:26" ht="14.25" customHeight="1" x14ac:dyDescent="0.25">
      <c r="A597" s="365"/>
      <c r="B597" s="365"/>
      <c r="C597" s="365"/>
      <c r="D597" s="365"/>
      <c r="E597" s="365"/>
      <c r="F597" s="365"/>
      <c r="G597" s="365"/>
      <c r="H597" s="365"/>
      <c r="I597" s="365"/>
      <c r="J597" s="365"/>
      <c r="K597" s="365"/>
      <c r="L597" s="365"/>
      <c r="M597" s="365"/>
      <c r="N597" s="365"/>
      <c r="O597" s="365"/>
      <c r="P597" s="365"/>
      <c r="Q597" s="365"/>
      <c r="R597" s="365"/>
      <c r="S597" s="365"/>
      <c r="T597" s="365"/>
      <c r="U597" s="365"/>
      <c r="V597" s="365"/>
      <c r="W597" s="365"/>
      <c r="X597" s="365"/>
      <c r="Y597" s="365"/>
      <c r="Z597" s="365"/>
    </row>
    <row r="598" spans="1:26" ht="14.25" customHeight="1" x14ac:dyDescent="0.25">
      <c r="A598" s="365"/>
      <c r="B598" s="365"/>
      <c r="C598" s="365"/>
      <c r="D598" s="365"/>
      <c r="E598" s="365"/>
      <c r="F598" s="365"/>
      <c r="G598" s="365"/>
      <c r="H598" s="365"/>
      <c r="I598" s="365"/>
      <c r="J598" s="365"/>
      <c r="K598" s="365"/>
      <c r="L598" s="365"/>
      <c r="M598" s="365"/>
      <c r="N598" s="365"/>
      <c r="O598" s="365"/>
      <c r="P598" s="365"/>
      <c r="Q598" s="365"/>
      <c r="R598" s="365"/>
      <c r="S598" s="365"/>
      <c r="T598" s="365"/>
      <c r="U598" s="365"/>
      <c r="V598" s="365"/>
      <c r="W598" s="365"/>
      <c r="X598" s="365"/>
      <c r="Y598" s="365"/>
      <c r="Z598" s="365"/>
    </row>
    <row r="599" spans="1:26" ht="14.25" customHeight="1" x14ac:dyDescent="0.25">
      <c r="A599" s="365"/>
      <c r="B599" s="365"/>
      <c r="C599" s="365"/>
      <c r="D599" s="365"/>
      <c r="E599" s="365"/>
      <c r="F599" s="365"/>
      <c r="G599" s="365"/>
      <c r="H599" s="365"/>
      <c r="I599" s="365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  <c r="T599" s="365"/>
      <c r="U599" s="365"/>
      <c r="V599" s="365"/>
      <c r="W599" s="365"/>
      <c r="X599" s="365"/>
      <c r="Y599" s="365"/>
      <c r="Z599" s="365"/>
    </row>
    <row r="600" spans="1:26" ht="14.25" customHeight="1" x14ac:dyDescent="0.25">
      <c r="A600" s="365"/>
      <c r="B600" s="365"/>
      <c r="C600" s="365"/>
      <c r="D600" s="365"/>
      <c r="E600" s="365"/>
      <c r="F600" s="365"/>
      <c r="G600" s="365"/>
      <c r="H600" s="365"/>
      <c r="I600" s="365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  <c r="T600" s="365"/>
      <c r="U600" s="365"/>
      <c r="V600" s="365"/>
      <c r="W600" s="365"/>
      <c r="X600" s="365"/>
      <c r="Y600" s="365"/>
      <c r="Z600" s="365"/>
    </row>
    <row r="601" spans="1:26" ht="14.25" customHeight="1" x14ac:dyDescent="0.25">
      <c r="A601" s="365"/>
      <c r="B601" s="365"/>
      <c r="C601" s="365"/>
      <c r="D601" s="365"/>
      <c r="E601" s="365"/>
      <c r="F601" s="365"/>
      <c r="G601" s="365"/>
      <c r="H601" s="365"/>
      <c r="I601" s="365"/>
      <c r="J601" s="365"/>
      <c r="K601" s="365"/>
      <c r="L601" s="365"/>
      <c r="M601" s="365"/>
      <c r="N601" s="365"/>
      <c r="O601" s="365"/>
      <c r="P601" s="365"/>
      <c r="Q601" s="365"/>
      <c r="R601" s="365"/>
      <c r="S601" s="365"/>
      <c r="T601" s="365"/>
      <c r="U601" s="365"/>
      <c r="V601" s="365"/>
      <c r="W601" s="365"/>
      <c r="X601" s="365"/>
      <c r="Y601" s="365"/>
      <c r="Z601" s="365"/>
    </row>
    <row r="602" spans="1:26" ht="14.25" customHeight="1" x14ac:dyDescent="0.25">
      <c r="A602" s="365"/>
      <c r="B602" s="365"/>
      <c r="C602" s="365"/>
      <c r="D602" s="365"/>
      <c r="E602" s="365"/>
      <c r="F602" s="365"/>
      <c r="G602" s="365"/>
      <c r="H602" s="365"/>
      <c r="I602" s="365"/>
      <c r="J602" s="365"/>
      <c r="K602" s="365"/>
      <c r="L602" s="365"/>
      <c r="M602" s="365"/>
      <c r="N602" s="365"/>
      <c r="O602" s="365"/>
      <c r="P602" s="365"/>
      <c r="Q602" s="365"/>
      <c r="R602" s="365"/>
      <c r="S602" s="365"/>
      <c r="T602" s="365"/>
      <c r="U602" s="365"/>
      <c r="V602" s="365"/>
      <c r="W602" s="365"/>
      <c r="X602" s="365"/>
      <c r="Y602" s="365"/>
      <c r="Z602" s="365"/>
    </row>
    <row r="603" spans="1:26" ht="14.25" customHeight="1" x14ac:dyDescent="0.25">
      <c r="A603" s="365"/>
      <c r="B603" s="365"/>
      <c r="C603" s="365"/>
      <c r="D603" s="365"/>
      <c r="E603" s="365"/>
      <c r="F603" s="365"/>
      <c r="G603" s="365"/>
      <c r="H603" s="365"/>
      <c r="I603" s="365"/>
      <c r="J603" s="365"/>
      <c r="K603" s="365"/>
      <c r="L603" s="365"/>
      <c r="M603" s="365"/>
      <c r="N603" s="365"/>
      <c r="O603" s="365"/>
      <c r="P603" s="365"/>
      <c r="Q603" s="365"/>
      <c r="R603" s="365"/>
      <c r="S603" s="365"/>
      <c r="T603" s="365"/>
      <c r="U603" s="365"/>
      <c r="V603" s="365"/>
      <c r="W603" s="365"/>
      <c r="X603" s="365"/>
      <c r="Y603" s="365"/>
      <c r="Z603" s="365"/>
    </row>
    <row r="604" spans="1:26" ht="14.25" customHeight="1" x14ac:dyDescent="0.25">
      <c r="A604" s="365"/>
      <c r="B604" s="365"/>
      <c r="C604" s="365"/>
      <c r="D604" s="365"/>
      <c r="E604" s="365"/>
      <c r="F604" s="365"/>
      <c r="G604" s="365"/>
      <c r="H604" s="365"/>
      <c r="I604" s="365"/>
      <c r="J604" s="365"/>
      <c r="K604" s="365"/>
      <c r="L604" s="365"/>
      <c r="M604" s="365"/>
      <c r="N604" s="365"/>
      <c r="O604" s="365"/>
      <c r="P604" s="365"/>
      <c r="Q604" s="365"/>
      <c r="R604" s="365"/>
      <c r="S604" s="365"/>
      <c r="T604" s="365"/>
      <c r="U604" s="365"/>
      <c r="V604" s="365"/>
      <c r="W604" s="365"/>
      <c r="X604" s="365"/>
      <c r="Y604" s="365"/>
      <c r="Z604" s="365"/>
    </row>
    <row r="605" spans="1:26" ht="14.25" customHeight="1" x14ac:dyDescent="0.25">
      <c r="A605" s="365"/>
      <c r="B605" s="365"/>
      <c r="C605" s="365"/>
      <c r="D605" s="365"/>
      <c r="E605" s="365"/>
      <c r="F605" s="365"/>
      <c r="G605" s="365"/>
      <c r="H605" s="365"/>
      <c r="I605" s="365"/>
      <c r="J605" s="365"/>
      <c r="K605" s="365"/>
      <c r="L605" s="365"/>
      <c r="M605" s="365"/>
      <c r="N605" s="365"/>
      <c r="O605" s="365"/>
      <c r="P605" s="365"/>
      <c r="Q605" s="365"/>
      <c r="R605" s="365"/>
      <c r="S605" s="365"/>
      <c r="T605" s="365"/>
      <c r="U605" s="365"/>
      <c r="V605" s="365"/>
      <c r="W605" s="365"/>
      <c r="X605" s="365"/>
      <c r="Y605" s="365"/>
      <c r="Z605" s="365"/>
    </row>
    <row r="606" spans="1:26" ht="14.25" customHeight="1" x14ac:dyDescent="0.25">
      <c r="A606" s="365"/>
      <c r="B606" s="365"/>
      <c r="C606" s="365"/>
      <c r="D606" s="365"/>
      <c r="E606" s="365"/>
      <c r="F606" s="365"/>
      <c r="G606" s="365"/>
      <c r="H606" s="365"/>
      <c r="I606" s="365"/>
      <c r="J606" s="365"/>
      <c r="K606" s="365"/>
      <c r="L606" s="365"/>
      <c r="M606" s="365"/>
      <c r="N606" s="365"/>
      <c r="O606" s="365"/>
      <c r="P606" s="365"/>
      <c r="Q606" s="365"/>
      <c r="R606" s="365"/>
      <c r="S606" s="365"/>
      <c r="T606" s="365"/>
      <c r="U606" s="365"/>
      <c r="V606" s="365"/>
      <c r="W606" s="365"/>
      <c r="X606" s="365"/>
      <c r="Y606" s="365"/>
      <c r="Z606" s="365"/>
    </row>
    <row r="607" spans="1:26" ht="14.25" customHeight="1" x14ac:dyDescent="0.25">
      <c r="A607" s="365"/>
      <c r="B607" s="365"/>
      <c r="C607" s="365"/>
      <c r="D607" s="365"/>
      <c r="E607" s="365"/>
      <c r="F607" s="365"/>
      <c r="G607" s="365"/>
      <c r="H607" s="365"/>
      <c r="I607" s="365"/>
      <c r="J607" s="365"/>
      <c r="K607" s="365"/>
      <c r="L607" s="365"/>
      <c r="M607" s="365"/>
      <c r="N607" s="365"/>
      <c r="O607" s="365"/>
      <c r="P607" s="365"/>
      <c r="Q607" s="365"/>
      <c r="R607" s="365"/>
      <c r="S607" s="365"/>
      <c r="T607" s="365"/>
      <c r="U607" s="365"/>
      <c r="V607" s="365"/>
      <c r="W607" s="365"/>
      <c r="X607" s="365"/>
      <c r="Y607" s="365"/>
      <c r="Z607" s="365"/>
    </row>
    <row r="608" spans="1:26" ht="14.25" customHeight="1" x14ac:dyDescent="0.25">
      <c r="A608" s="365"/>
      <c r="B608" s="365"/>
      <c r="C608" s="365"/>
      <c r="D608" s="365"/>
      <c r="E608" s="365"/>
      <c r="F608" s="365"/>
      <c r="G608" s="365"/>
      <c r="H608" s="365"/>
      <c r="I608" s="365"/>
      <c r="J608" s="365"/>
      <c r="K608" s="365"/>
      <c r="L608" s="365"/>
      <c r="M608" s="365"/>
      <c r="N608" s="365"/>
      <c r="O608" s="365"/>
      <c r="P608" s="365"/>
      <c r="Q608" s="365"/>
      <c r="R608" s="365"/>
      <c r="S608" s="365"/>
      <c r="T608" s="365"/>
      <c r="U608" s="365"/>
      <c r="V608" s="365"/>
      <c r="W608" s="365"/>
      <c r="X608" s="365"/>
      <c r="Y608" s="365"/>
      <c r="Z608" s="365"/>
    </row>
    <row r="609" spans="1:26" ht="14.25" customHeight="1" x14ac:dyDescent="0.25">
      <c r="A609" s="365"/>
      <c r="B609" s="365"/>
      <c r="C609" s="365"/>
      <c r="D609" s="365"/>
      <c r="E609" s="365"/>
      <c r="F609" s="365"/>
      <c r="G609" s="365"/>
      <c r="H609" s="365"/>
      <c r="I609" s="365"/>
      <c r="J609" s="365"/>
      <c r="K609" s="365"/>
      <c r="L609" s="365"/>
      <c r="M609" s="365"/>
      <c r="N609" s="365"/>
      <c r="O609" s="365"/>
      <c r="P609" s="365"/>
      <c r="Q609" s="365"/>
      <c r="R609" s="365"/>
      <c r="S609" s="365"/>
      <c r="T609" s="365"/>
      <c r="U609" s="365"/>
      <c r="V609" s="365"/>
      <c r="W609" s="365"/>
      <c r="X609" s="365"/>
      <c r="Y609" s="365"/>
      <c r="Z609" s="365"/>
    </row>
    <row r="610" spans="1:26" ht="14.25" customHeight="1" x14ac:dyDescent="0.25">
      <c r="A610" s="365"/>
      <c r="B610" s="365"/>
      <c r="C610" s="365"/>
      <c r="D610" s="365"/>
      <c r="E610" s="365"/>
      <c r="F610" s="365"/>
      <c r="G610" s="365"/>
      <c r="H610" s="365"/>
      <c r="I610" s="365"/>
      <c r="J610" s="365"/>
      <c r="K610" s="365"/>
      <c r="L610" s="365"/>
      <c r="M610" s="365"/>
      <c r="N610" s="365"/>
      <c r="O610" s="365"/>
      <c r="P610" s="365"/>
      <c r="Q610" s="365"/>
      <c r="R610" s="365"/>
      <c r="S610" s="365"/>
      <c r="T610" s="365"/>
      <c r="U610" s="365"/>
      <c r="V610" s="365"/>
      <c r="W610" s="365"/>
      <c r="X610" s="365"/>
      <c r="Y610" s="365"/>
      <c r="Z610" s="365"/>
    </row>
    <row r="611" spans="1:26" ht="14.25" customHeight="1" x14ac:dyDescent="0.25">
      <c r="A611" s="365"/>
      <c r="B611" s="365"/>
      <c r="C611" s="365"/>
      <c r="D611" s="365"/>
      <c r="E611" s="365"/>
      <c r="F611" s="365"/>
      <c r="G611" s="365"/>
      <c r="H611" s="365"/>
      <c r="I611" s="365"/>
      <c r="J611" s="365"/>
      <c r="K611" s="365"/>
      <c r="L611" s="365"/>
      <c r="M611" s="365"/>
      <c r="N611" s="365"/>
      <c r="O611" s="365"/>
      <c r="P611" s="365"/>
      <c r="Q611" s="365"/>
      <c r="R611" s="365"/>
      <c r="S611" s="365"/>
      <c r="T611" s="365"/>
      <c r="U611" s="365"/>
      <c r="V611" s="365"/>
      <c r="W611" s="365"/>
      <c r="X611" s="365"/>
      <c r="Y611" s="365"/>
      <c r="Z611" s="365"/>
    </row>
    <row r="612" spans="1:26" ht="14.25" customHeight="1" x14ac:dyDescent="0.25">
      <c r="A612" s="365"/>
      <c r="B612" s="365"/>
      <c r="C612" s="365"/>
      <c r="D612" s="365"/>
      <c r="E612" s="365"/>
      <c r="F612" s="365"/>
      <c r="G612" s="365"/>
      <c r="H612" s="365"/>
      <c r="I612" s="365"/>
      <c r="J612" s="365"/>
      <c r="K612" s="365"/>
      <c r="L612" s="365"/>
      <c r="M612" s="365"/>
      <c r="N612" s="365"/>
      <c r="O612" s="365"/>
      <c r="P612" s="365"/>
      <c r="Q612" s="365"/>
      <c r="R612" s="365"/>
      <c r="S612" s="365"/>
      <c r="T612" s="365"/>
      <c r="U612" s="365"/>
      <c r="V612" s="365"/>
      <c r="W612" s="365"/>
      <c r="X612" s="365"/>
      <c r="Y612" s="365"/>
      <c r="Z612" s="365"/>
    </row>
    <row r="613" spans="1:26" ht="14.25" customHeight="1" x14ac:dyDescent="0.25">
      <c r="A613" s="365"/>
      <c r="B613" s="365"/>
      <c r="C613" s="365"/>
      <c r="D613" s="365"/>
      <c r="E613" s="365"/>
      <c r="F613" s="365"/>
      <c r="G613" s="365"/>
      <c r="H613" s="365"/>
      <c r="I613" s="365"/>
      <c r="J613" s="365"/>
      <c r="K613" s="365"/>
      <c r="L613" s="365"/>
      <c r="M613" s="365"/>
      <c r="N613" s="365"/>
      <c r="O613" s="365"/>
      <c r="P613" s="365"/>
      <c r="Q613" s="365"/>
      <c r="R613" s="365"/>
      <c r="S613" s="365"/>
      <c r="T613" s="365"/>
      <c r="U613" s="365"/>
      <c r="V613" s="365"/>
      <c r="W613" s="365"/>
      <c r="X613" s="365"/>
      <c r="Y613" s="365"/>
      <c r="Z613" s="365"/>
    </row>
    <row r="614" spans="1:26" ht="14.25" customHeight="1" x14ac:dyDescent="0.25">
      <c r="A614" s="365"/>
      <c r="B614" s="365"/>
      <c r="C614" s="365"/>
      <c r="D614" s="365"/>
      <c r="E614" s="365"/>
      <c r="F614" s="365"/>
      <c r="G614" s="365"/>
      <c r="H614" s="365"/>
      <c r="I614" s="365"/>
      <c r="J614" s="365"/>
      <c r="K614" s="365"/>
      <c r="L614" s="365"/>
      <c r="M614" s="365"/>
      <c r="N614" s="365"/>
      <c r="O614" s="365"/>
      <c r="P614" s="365"/>
      <c r="Q614" s="365"/>
      <c r="R614" s="365"/>
      <c r="S614" s="365"/>
      <c r="T614" s="365"/>
      <c r="U614" s="365"/>
      <c r="V614" s="365"/>
      <c r="W614" s="365"/>
      <c r="X614" s="365"/>
      <c r="Y614" s="365"/>
      <c r="Z614" s="365"/>
    </row>
    <row r="615" spans="1:26" ht="14.25" customHeight="1" x14ac:dyDescent="0.25">
      <c r="A615" s="365"/>
      <c r="B615" s="365"/>
      <c r="C615" s="365"/>
      <c r="D615" s="365"/>
      <c r="E615" s="365"/>
      <c r="F615" s="365"/>
      <c r="G615" s="365"/>
      <c r="H615" s="365"/>
      <c r="I615" s="365"/>
      <c r="J615" s="365"/>
      <c r="K615" s="365"/>
      <c r="L615" s="365"/>
      <c r="M615" s="365"/>
      <c r="N615" s="365"/>
      <c r="O615" s="365"/>
      <c r="P615" s="365"/>
      <c r="Q615" s="365"/>
      <c r="R615" s="365"/>
      <c r="S615" s="365"/>
      <c r="T615" s="365"/>
      <c r="U615" s="365"/>
      <c r="V615" s="365"/>
      <c r="W615" s="365"/>
      <c r="X615" s="365"/>
      <c r="Y615" s="365"/>
      <c r="Z615" s="365"/>
    </row>
    <row r="616" spans="1:26" ht="14.25" customHeight="1" x14ac:dyDescent="0.25">
      <c r="A616" s="365"/>
      <c r="B616" s="365"/>
      <c r="C616" s="365"/>
      <c r="D616" s="365"/>
      <c r="E616" s="365"/>
      <c r="F616" s="365"/>
      <c r="G616" s="365"/>
      <c r="H616" s="365"/>
      <c r="I616" s="365"/>
      <c r="J616" s="365"/>
      <c r="K616" s="365"/>
      <c r="L616" s="365"/>
      <c r="M616" s="365"/>
      <c r="N616" s="365"/>
      <c r="O616" s="365"/>
      <c r="P616" s="365"/>
      <c r="Q616" s="365"/>
      <c r="R616" s="365"/>
      <c r="S616" s="365"/>
      <c r="T616" s="365"/>
      <c r="U616" s="365"/>
      <c r="V616" s="365"/>
      <c r="W616" s="365"/>
      <c r="X616" s="365"/>
      <c r="Y616" s="365"/>
      <c r="Z616" s="365"/>
    </row>
    <row r="617" spans="1:26" ht="14.25" customHeight="1" x14ac:dyDescent="0.25">
      <c r="A617" s="365"/>
      <c r="B617" s="365"/>
      <c r="C617" s="365"/>
      <c r="D617" s="365"/>
      <c r="E617" s="365"/>
      <c r="F617" s="365"/>
      <c r="G617" s="365"/>
      <c r="H617" s="365"/>
      <c r="I617" s="365"/>
      <c r="J617" s="365"/>
      <c r="K617" s="365"/>
      <c r="L617" s="365"/>
      <c r="M617" s="365"/>
      <c r="N617" s="365"/>
      <c r="O617" s="365"/>
      <c r="P617" s="365"/>
      <c r="Q617" s="365"/>
      <c r="R617" s="365"/>
      <c r="S617" s="365"/>
      <c r="T617" s="365"/>
      <c r="U617" s="365"/>
      <c r="V617" s="365"/>
      <c r="W617" s="365"/>
      <c r="X617" s="365"/>
      <c r="Y617" s="365"/>
      <c r="Z617" s="365"/>
    </row>
    <row r="618" spans="1:26" ht="14.25" customHeight="1" x14ac:dyDescent="0.25">
      <c r="A618" s="365"/>
      <c r="B618" s="365"/>
      <c r="C618" s="365"/>
      <c r="D618" s="365"/>
      <c r="E618" s="365"/>
      <c r="F618" s="365"/>
      <c r="G618" s="365"/>
      <c r="H618" s="365"/>
      <c r="I618" s="365"/>
      <c r="J618" s="365"/>
      <c r="K618" s="365"/>
      <c r="L618" s="365"/>
      <c r="M618" s="365"/>
      <c r="N618" s="365"/>
      <c r="O618" s="365"/>
      <c r="P618" s="365"/>
      <c r="Q618" s="365"/>
      <c r="R618" s="365"/>
      <c r="S618" s="365"/>
      <c r="T618" s="365"/>
      <c r="U618" s="365"/>
      <c r="V618" s="365"/>
      <c r="W618" s="365"/>
      <c r="X618" s="365"/>
      <c r="Y618" s="365"/>
      <c r="Z618" s="365"/>
    </row>
    <row r="619" spans="1:26" ht="14.25" customHeight="1" x14ac:dyDescent="0.25">
      <c r="A619" s="365"/>
      <c r="B619" s="365"/>
      <c r="C619" s="365"/>
      <c r="D619" s="365"/>
      <c r="E619" s="365"/>
      <c r="F619" s="365"/>
      <c r="G619" s="365"/>
      <c r="H619" s="365"/>
      <c r="I619" s="365"/>
      <c r="J619" s="365"/>
      <c r="K619" s="365"/>
      <c r="L619" s="365"/>
      <c r="M619" s="365"/>
      <c r="N619" s="365"/>
      <c r="O619" s="365"/>
      <c r="P619" s="365"/>
      <c r="Q619" s="365"/>
      <c r="R619" s="365"/>
      <c r="S619" s="365"/>
      <c r="T619" s="365"/>
      <c r="U619" s="365"/>
      <c r="V619" s="365"/>
      <c r="W619" s="365"/>
      <c r="X619" s="365"/>
      <c r="Y619" s="365"/>
      <c r="Z619" s="365"/>
    </row>
    <row r="620" spans="1:26" ht="14.25" customHeight="1" x14ac:dyDescent="0.25">
      <c r="A620" s="365"/>
      <c r="B620" s="365"/>
      <c r="C620" s="365"/>
      <c r="D620" s="365"/>
      <c r="E620" s="365"/>
      <c r="F620" s="365"/>
      <c r="G620" s="365"/>
      <c r="H620" s="365"/>
      <c r="I620" s="365"/>
      <c r="J620" s="365"/>
      <c r="K620" s="365"/>
      <c r="L620" s="365"/>
      <c r="M620" s="365"/>
      <c r="N620" s="365"/>
      <c r="O620" s="365"/>
      <c r="P620" s="365"/>
      <c r="Q620" s="365"/>
      <c r="R620" s="365"/>
      <c r="S620" s="365"/>
      <c r="T620" s="365"/>
      <c r="U620" s="365"/>
      <c r="V620" s="365"/>
      <c r="W620" s="365"/>
      <c r="X620" s="365"/>
      <c r="Y620" s="365"/>
      <c r="Z620" s="365"/>
    </row>
    <row r="621" spans="1:26" ht="14.25" customHeight="1" x14ac:dyDescent="0.25">
      <c r="A621" s="365"/>
      <c r="B621" s="365"/>
      <c r="C621" s="365"/>
      <c r="D621" s="365"/>
      <c r="E621" s="365"/>
      <c r="F621" s="365"/>
      <c r="G621" s="365"/>
      <c r="H621" s="365"/>
      <c r="I621" s="365"/>
      <c r="J621" s="365"/>
      <c r="K621" s="365"/>
      <c r="L621" s="365"/>
      <c r="M621" s="365"/>
      <c r="N621" s="365"/>
      <c r="O621" s="365"/>
      <c r="P621" s="365"/>
      <c r="Q621" s="365"/>
      <c r="R621" s="365"/>
      <c r="S621" s="365"/>
      <c r="T621" s="365"/>
      <c r="U621" s="365"/>
      <c r="V621" s="365"/>
      <c r="W621" s="365"/>
      <c r="X621" s="365"/>
      <c r="Y621" s="365"/>
      <c r="Z621" s="365"/>
    </row>
    <row r="622" spans="1:26" ht="14.25" customHeight="1" x14ac:dyDescent="0.25">
      <c r="A622" s="365"/>
      <c r="B622" s="365"/>
      <c r="C622" s="365"/>
      <c r="D622" s="365"/>
      <c r="E622" s="365"/>
      <c r="F622" s="365"/>
      <c r="G622" s="365"/>
      <c r="H622" s="365"/>
      <c r="I622" s="365"/>
      <c r="J622" s="365"/>
      <c r="K622" s="365"/>
      <c r="L622" s="365"/>
      <c r="M622" s="365"/>
      <c r="N622" s="365"/>
      <c r="O622" s="365"/>
      <c r="P622" s="365"/>
      <c r="Q622" s="365"/>
      <c r="R622" s="365"/>
      <c r="S622" s="365"/>
      <c r="T622" s="365"/>
      <c r="U622" s="365"/>
      <c r="V622" s="365"/>
      <c r="W622" s="365"/>
      <c r="X622" s="365"/>
      <c r="Y622" s="365"/>
      <c r="Z622" s="365"/>
    </row>
    <row r="623" spans="1:26" ht="14.25" customHeight="1" x14ac:dyDescent="0.25">
      <c r="A623" s="365"/>
      <c r="B623" s="365"/>
      <c r="C623" s="365"/>
      <c r="D623" s="365"/>
      <c r="E623" s="365"/>
      <c r="F623" s="365"/>
      <c r="G623" s="365"/>
      <c r="H623" s="365"/>
      <c r="I623" s="365"/>
      <c r="J623" s="365"/>
      <c r="K623" s="365"/>
      <c r="L623" s="365"/>
      <c r="M623" s="365"/>
      <c r="N623" s="365"/>
      <c r="O623" s="365"/>
      <c r="P623" s="365"/>
      <c r="Q623" s="365"/>
      <c r="R623" s="365"/>
      <c r="S623" s="365"/>
      <c r="T623" s="365"/>
      <c r="U623" s="365"/>
      <c r="V623" s="365"/>
      <c r="W623" s="365"/>
      <c r="X623" s="365"/>
      <c r="Y623" s="365"/>
      <c r="Z623" s="365"/>
    </row>
    <row r="624" spans="1:26" ht="14.25" customHeight="1" x14ac:dyDescent="0.25">
      <c r="A624" s="365"/>
      <c r="B624" s="365"/>
      <c r="C624" s="365"/>
      <c r="D624" s="365"/>
      <c r="E624" s="365"/>
      <c r="F624" s="365"/>
      <c r="G624" s="365"/>
      <c r="H624" s="365"/>
      <c r="I624" s="365"/>
      <c r="J624" s="365"/>
      <c r="K624" s="365"/>
      <c r="L624" s="365"/>
      <c r="M624" s="365"/>
      <c r="N624" s="365"/>
      <c r="O624" s="365"/>
      <c r="P624" s="365"/>
      <c r="Q624" s="365"/>
      <c r="R624" s="365"/>
      <c r="S624" s="365"/>
      <c r="T624" s="365"/>
      <c r="U624" s="365"/>
      <c r="V624" s="365"/>
      <c r="W624" s="365"/>
      <c r="X624" s="365"/>
      <c r="Y624" s="365"/>
      <c r="Z624" s="365"/>
    </row>
    <row r="625" spans="1:26" ht="14.25" customHeight="1" x14ac:dyDescent="0.25">
      <c r="A625" s="365"/>
      <c r="B625" s="365"/>
      <c r="C625" s="365"/>
      <c r="D625" s="365"/>
      <c r="E625" s="365"/>
      <c r="F625" s="365"/>
      <c r="G625" s="365"/>
      <c r="H625" s="365"/>
      <c r="I625" s="365"/>
      <c r="J625" s="365"/>
      <c r="K625" s="365"/>
      <c r="L625" s="365"/>
      <c r="M625" s="365"/>
      <c r="N625" s="365"/>
      <c r="O625" s="365"/>
      <c r="P625" s="365"/>
      <c r="Q625" s="365"/>
      <c r="R625" s="365"/>
      <c r="S625" s="365"/>
      <c r="T625" s="365"/>
      <c r="U625" s="365"/>
      <c r="V625" s="365"/>
      <c r="W625" s="365"/>
      <c r="X625" s="365"/>
      <c r="Y625" s="365"/>
      <c r="Z625" s="365"/>
    </row>
    <row r="626" spans="1:26" ht="14.25" customHeight="1" x14ac:dyDescent="0.25">
      <c r="A626" s="365"/>
      <c r="B626" s="365"/>
      <c r="C626" s="365"/>
      <c r="D626" s="365"/>
      <c r="E626" s="365"/>
      <c r="F626" s="365"/>
      <c r="G626" s="365"/>
      <c r="H626" s="365"/>
      <c r="I626" s="365"/>
      <c r="J626" s="365"/>
      <c r="K626" s="365"/>
      <c r="L626" s="365"/>
      <c r="M626" s="365"/>
      <c r="N626" s="365"/>
      <c r="O626" s="365"/>
      <c r="P626" s="365"/>
      <c r="Q626" s="365"/>
      <c r="R626" s="365"/>
      <c r="S626" s="365"/>
      <c r="T626" s="365"/>
      <c r="U626" s="365"/>
      <c r="V626" s="365"/>
      <c r="W626" s="365"/>
      <c r="X626" s="365"/>
      <c r="Y626" s="365"/>
      <c r="Z626" s="365"/>
    </row>
    <row r="627" spans="1:26" ht="14.25" customHeight="1" x14ac:dyDescent="0.25">
      <c r="A627" s="365"/>
      <c r="B627" s="365"/>
      <c r="C627" s="365"/>
      <c r="D627" s="365"/>
      <c r="E627" s="365"/>
      <c r="F627" s="365"/>
      <c r="G627" s="365"/>
      <c r="H627" s="365"/>
      <c r="I627" s="365"/>
      <c r="J627" s="365"/>
      <c r="K627" s="365"/>
      <c r="L627" s="365"/>
      <c r="M627" s="365"/>
      <c r="N627" s="365"/>
      <c r="O627" s="365"/>
      <c r="P627" s="365"/>
      <c r="Q627" s="365"/>
      <c r="R627" s="365"/>
      <c r="S627" s="365"/>
      <c r="T627" s="365"/>
      <c r="U627" s="365"/>
      <c r="V627" s="365"/>
      <c r="W627" s="365"/>
      <c r="X627" s="365"/>
      <c r="Y627" s="365"/>
      <c r="Z627" s="365"/>
    </row>
    <row r="628" spans="1:26" ht="14.25" customHeight="1" x14ac:dyDescent="0.25">
      <c r="A628" s="365"/>
      <c r="B628" s="365"/>
      <c r="C628" s="365"/>
      <c r="D628" s="365"/>
      <c r="E628" s="365"/>
      <c r="F628" s="365"/>
      <c r="G628" s="365"/>
      <c r="H628" s="365"/>
      <c r="I628" s="365"/>
      <c r="J628" s="365"/>
      <c r="K628" s="365"/>
      <c r="L628" s="365"/>
      <c r="M628" s="365"/>
      <c r="N628" s="365"/>
      <c r="O628" s="365"/>
      <c r="P628" s="365"/>
      <c r="Q628" s="365"/>
      <c r="R628" s="365"/>
      <c r="S628" s="365"/>
      <c r="T628" s="365"/>
      <c r="U628" s="365"/>
      <c r="V628" s="365"/>
      <c r="W628" s="365"/>
      <c r="X628" s="365"/>
      <c r="Y628" s="365"/>
      <c r="Z628" s="365"/>
    </row>
    <row r="629" spans="1:26" ht="14.25" customHeight="1" x14ac:dyDescent="0.25">
      <c r="A629" s="365"/>
      <c r="B629" s="365"/>
      <c r="C629" s="365"/>
      <c r="D629" s="365"/>
      <c r="E629" s="365"/>
      <c r="F629" s="365"/>
      <c r="G629" s="365"/>
      <c r="H629" s="365"/>
      <c r="I629" s="365"/>
      <c r="J629" s="365"/>
      <c r="K629" s="365"/>
      <c r="L629" s="365"/>
      <c r="M629" s="365"/>
      <c r="N629" s="365"/>
      <c r="O629" s="365"/>
      <c r="P629" s="365"/>
      <c r="Q629" s="365"/>
      <c r="R629" s="365"/>
      <c r="S629" s="365"/>
      <c r="T629" s="365"/>
      <c r="U629" s="365"/>
      <c r="V629" s="365"/>
      <c r="W629" s="365"/>
      <c r="X629" s="365"/>
      <c r="Y629" s="365"/>
      <c r="Z629" s="365"/>
    </row>
    <row r="630" spans="1:26" ht="14.25" customHeight="1" x14ac:dyDescent="0.25">
      <c r="A630" s="365"/>
      <c r="B630" s="365"/>
      <c r="C630" s="365"/>
      <c r="D630" s="365"/>
      <c r="E630" s="365"/>
      <c r="F630" s="365"/>
      <c r="G630" s="365"/>
      <c r="H630" s="365"/>
      <c r="I630" s="365"/>
      <c r="J630" s="365"/>
      <c r="K630" s="365"/>
      <c r="L630" s="365"/>
      <c r="M630" s="365"/>
      <c r="N630" s="365"/>
      <c r="O630" s="365"/>
      <c r="P630" s="365"/>
      <c r="Q630" s="365"/>
      <c r="R630" s="365"/>
      <c r="S630" s="365"/>
      <c r="T630" s="365"/>
      <c r="U630" s="365"/>
      <c r="V630" s="365"/>
      <c r="W630" s="365"/>
      <c r="X630" s="365"/>
      <c r="Y630" s="365"/>
      <c r="Z630" s="365"/>
    </row>
    <row r="631" spans="1:26" ht="14.25" customHeight="1" x14ac:dyDescent="0.25">
      <c r="A631" s="365"/>
      <c r="B631" s="365"/>
      <c r="C631" s="365"/>
      <c r="D631" s="365"/>
      <c r="E631" s="365"/>
      <c r="F631" s="365"/>
      <c r="G631" s="365"/>
      <c r="H631" s="365"/>
      <c r="I631" s="365"/>
      <c r="J631" s="365"/>
      <c r="K631" s="365"/>
      <c r="L631" s="365"/>
      <c r="M631" s="365"/>
      <c r="N631" s="365"/>
      <c r="O631" s="365"/>
      <c r="P631" s="365"/>
      <c r="Q631" s="365"/>
      <c r="R631" s="365"/>
      <c r="S631" s="365"/>
      <c r="T631" s="365"/>
      <c r="U631" s="365"/>
      <c r="V631" s="365"/>
      <c r="W631" s="365"/>
      <c r="X631" s="365"/>
      <c r="Y631" s="365"/>
      <c r="Z631" s="365"/>
    </row>
    <row r="632" spans="1:26" ht="14.25" customHeight="1" x14ac:dyDescent="0.25">
      <c r="A632" s="365"/>
      <c r="B632" s="365"/>
      <c r="C632" s="365"/>
      <c r="D632" s="365"/>
      <c r="E632" s="365"/>
      <c r="F632" s="365"/>
      <c r="G632" s="365"/>
      <c r="H632" s="365"/>
      <c r="I632" s="365"/>
      <c r="J632" s="365"/>
      <c r="K632" s="365"/>
      <c r="L632" s="365"/>
      <c r="M632" s="365"/>
      <c r="N632" s="365"/>
      <c r="O632" s="365"/>
      <c r="P632" s="365"/>
      <c r="Q632" s="365"/>
      <c r="R632" s="365"/>
      <c r="S632" s="365"/>
      <c r="T632" s="365"/>
      <c r="U632" s="365"/>
      <c r="V632" s="365"/>
      <c r="W632" s="365"/>
      <c r="X632" s="365"/>
      <c r="Y632" s="365"/>
      <c r="Z632" s="365"/>
    </row>
    <row r="633" spans="1:26" ht="14.25" customHeight="1" x14ac:dyDescent="0.25">
      <c r="A633" s="365"/>
      <c r="B633" s="365"/>
      <c r="C633" s="365"/>
      <c r="D633" s="365"/>
      <c r="E633" s="365"/>
      <c r="F633" s="365"/>
      <c r="G633" s="365"/>
      <c r="H633" s="365"/>
      <c r="I633" s="365"/>
      <c r="J633" s="365"/>
      <c r="K633" s="365"/>
      <c r="L633" s="365"/>
      <c r="M633" s="365"/>
      <c r="N633" s="365"/>
      <c r="O633" s="365"/>
      <c r="P633" s="365"/>
      <c r="Q633" s="365"/>
      <c r="R633" s="365"/>
      <c r="S633" s="365"/>
      <c r="T633" s="365"/>
      <c r="U633" s="365"/>
      <c r="V633" s="365"/>
      <c r="W633" s="365"/>
      <c r="X633" s="365"/>
      <c r="Y633" s="365"/>
      <c r="Z633" s="365"/>
    </row>
    <row r="634" spans="1:26" ht="14.25" customHeight="1" x14ac:dyDescent="0.25">
      <c r="A634" s="365"/>
      <c r="B634" s="365"/>
      <c r="C634" s="365"/>
      <c r="D634" s="365"/>
      <c r="E634" s="365"/>
      <c r="F634" s="365"/>
      <c r="G634" s="365"/>
      <c r="H634" s="365"/>
      <c r="I634" s="365"/>
      <c r="J634" s="365"/>
      <c r="K634" s="365"/>
      <c r="L634" s="365"/>
      <c r="M634" s="365"/>
      <c r="N634" s="365"/>
      <c r="O634" s="365"/>
      <c r="P634" s="365"/>
      <c r="Q634" s="365"/>
      <c r="R634" s="365"/>
      <c r="S634" s="365"/>
      <c r="T634" s="365"/>
      <c r="U634" s="365"/>
      <c r="V634" s="365"/>
      <c r="W634" s="365"/>
      <c r="X634" s="365"/>
      <c r="Y634" s="365"/>
      <c r="Z634" s="365"/>
    </row>
    <row r="635" spans="1:26" ht="14.25" customHeight="1" x14ac:dyDescent="0.25">
      <c r="A635" s="365"/>
      <c r="B635" s="365"/>
      <c r="C635" s="365"/>
      <c r="D635" s="365"/>
      <c r="E635" s="365"/>
      <c r="F635" s="365"/>
      <c r="G635" s="365"/>
      <c r="H635" s="365"/>
      <c r="I635" s="365"/>
      <c r="J635" s="365"/>
      <c r="K635" s="365"/>
      <c r="L635" s="365"/>
      <c r="M635" s="365"/>
      <c r="N635" s="365"/>
      <c r="O635" s="365"/>
      <c r="P635" s="365"/>
      <c r="Q635" s="365"/>
      <c r="R635" s="365"/>
      <c r="S635" s="365"/>
      <c r="T635" s="365"/>
      <c r="U635" s="365"/>
      <c r="V635" s="365"/>
      <c r="W635" s="365"/>
      <c r="X635" s="365"/>
      <c r="Y635" s="365"/>
      <c r="Z635" s="365"/>
    </row>
    <row r="636" spans="1:26" ht="14.25" customHeight="1" x14ac:dyDescent="0.25">
      <c r="A636" s="365"/>
      <c r="B636" s="365"/>
      <c r="C636" s="365"/>
      <c r="D636" s="365"/>
      <c r="E636" s="365"/>
      <c r="F636" s="365"/>
      <c r="G636" s="365"/>
      <c r="H636" s="365"/>
      <c r="I636" s="365"/>
      <c r="J636" s="365"/>
      <c r="K636" s="365"/>
      <c r="L636" s="365"/>
      <c r="M636" s="365"/>
      <c r="N636" s="365"/>
      <c r="O636" s="365"/>
      <c r="P636" s="365"/>
      <c r="Q636" s="365"/>
      <c r="R636" s="365"/>
      <c r="S636" s="365"/>
      <c r="T636" s="365"/>
      <c r="U636" s="365"/>
      <c r="V636" s="365"/>
      <c r="W636" s="365"/>
      <c r="X636" s="365"/>
      <c r="Y636" s="365"/>
      <c r="Z636" s="365"/>
    </row>
    <row r="637" spans="1:26" ht="14.25" customHeight="1" x14ac:dyDescent="0.25">
      <c r="A637" s="365"/>
      <c r="B637" s="365"/>
      <c r="C637" s="365"/>
      <c r="D637" s="365"/>
      <c r="E637" s="365"/>
      <c r="F637" s="365"/>
      <c r="G637" s="365"/>
      <c r="H637" s="365"/>
      <c r="I637" s="365"/>
      <c r="J637" s="365"/>
      <c r="K637" s="365"/>
      <c r="L637" s="365"/>
      <c r="M637" s="365"/>
      <c r="N637" s="365"/>
      <c r="O637" s="365"/>
      <c r="P637" s="365"/>
      <c r="Q637" s="365"/>
      <c r="R637" s="365"/>
      <c r="S637" s="365"/>
      <c r="T637" s="365"/>
      <c r="U637" s="365"/>
      <c r="V637" s="365"/>
      <c r="W637" s="365"/>
      <c r="X637" s="365"/>
      <c r="Y637" s="365"/>
      <c r="Z637" s="365"/>
    </row>
    <row r="638" spans="1:26" ht="14.25" customHeight="1" x14ac:dyDescent="0.25">
      <c r="A638" s="365"/>
      <c r="B638" s="365"/>
      <c r="C638" s="365"/>
      <c r="D638" s="365"/>
      <c r="E638" s="365"/>
      <c r="F638" s="365"/>
      <c r="G638" s="365"/>
      <c r="H638" s="365"/>
      <c r="I638" s="365"/>
      <c r="J638" s="365"/>
      <c r="K638" s="365"/>
      <c r="L638" s="365"/>
      <c r="M638" s="365"/>
      <c r="N638" s="365"/>
      <c r="O638" s="365"/>
      <c r="P638" s="365"/>
      <c r="Q638" s="365"/>
      <c r="R638" s="365"/>
      <c r="S638" s="365"/>
      <c r="T638" s="365"/>
      <c r="U638" s="365"/>
      <c r="V638" s="365"/>
      <c r="W638" s="365"/>
      <c r="X638" s="365"/>
      <c r="Y638" s="365"/>
      <c r="Z638" s="365"/>
    </row>
    <row r="639" spans="1:26" ht="14.25" customHeight="1" x14ac:dyDescent="0.25">
      <c r="A639" s="365"/>
      <c r="B639" s="365"/>
      <c r="C639" s="365"/>
      <c r="D639" s="365"/>
      <c r="E639" s="365"/>
      <c r="F639" s="365"/>
      <c r="G639" s="365"/>
      <c r="H639" s="365"/>
      <c r="I639" s="365"/>
      <c r="J639" s="365"/>
      <c r="K639" s="365"/>
      <c r="L639" s="365"/>
      <c r="M639" s="365"/>
      <c r="N639" s="365"/>
      <c r="O639" s="365"/>
      <c r="P639" s="365"/>
      <c r="Q639" s="365"/>
      <c r="R639" s="365"/>
      <c r="S639" s="365"/>
      <c r="T639" s="365"/>
      <c r="U639" s="365"/>
      <c r="V639" s="365"/>
      <c r="W639" s="365"/>
      <c r="X639" s="365"/>
      <c r="Y639" s="365"/>
      <c r="Z639" s="365"/>
    </row>
    <row r="640" spans="1:26" ht="14.25" customHeight="1" x14ac:dyDescent="0.25">
      <c r="A640" s="365"/>
      <c r="B640" s="365"/>
      <c r="C640" s="365"/>
      <c r="D640" s="365"/>
      <c r="E640" s="365"/>
      <c r="F640" s="365"/>
      <c r="G640" s="365"/>
      <c r="H640" s="365"/>
      <c r="I640" s="365"/>
      <c r="J640" s="365"/>
      <c r="K640" s="365"/>
      <c r="L640" s="365"/>
      <c r="M640" s="365"/>
      <c r="N640" s="365"/>
      <c r="O640" s="365"/>
      <c r="P640" s="365"/>
      <c r="Q640" s="365"/>
      <c r="R640" s="365"/>
      <c r="S640" s="365"/>
      <c r="T640" s="365"/>
      <c r="U640" s="365"/>
      <c r="V640" s="365"/>
      <c r="W640" s="365"/>
      <c r="X640" s="365"/>
      <c r="Y640" s="365"/>
      <c r="Z640" s="365"/>
    </row>
    <row r="641" spans="1:26" ht="14.25" customHeight="1" x14ac:dyDescent="0.25">
      <c r="A641" s="365"/>
      <c r="B641" s="365"/>
      <c r="C641" s="365"/>
      <c r="D641" s="365"/>
      <c r="E641" s="365"/>
      <c r="F641" s="365"/>
      <c r="G641" s="365"/>
      <c r="H641" s="365"/>
      <c r="I641" s="365"/>
      <c r="J641" s="365"/>
      <c r="K641" s="365"/>
      <c r="L641" s="365"/>
      <c r="M641" s="365"/>
      <c r="N641" s="365"/>
      <c r="O641" s="365"/>
      <c r="P641" s="365"/>
      <c r="Q641" s="365"/>
      <c r="R641" s="365"/>
      <c r="S641" s="365"/>
      <c r="T641" s="365"/>
      <c r="U641" s="365"/>
      <c r="V641" s="365"/>
      <c r="W641" s="365"/>
      <c r="X641" s="365"/>
      <c r="Y641" s="365"/>
      <c r="Z641" s="365"/>
    </row>
    <row r="642" spans="1:26" ht="14.25" customHeight="1" x14ac:dyDescent="0.25">
      <c r="A642" s="365"/>
      <c r="B642" s="365"/>
      <c r="C642" s="365"/>
      <c r="D642" s="365"/>
      <c r="E642" s="365"/>
      <c r="F642" s="365"/>
      <c r="G642" s="365"/>
      <c r="H642" s="365"/>
      <c r="I642" s="365"/>
      <c r="J642" s="365"/>
      <c r="K642" s="365"/>
      <c r="L642" s="365"/>
      <c r="M642" s="365"/>
      <c r="N642" s="365"/>
      <c r="O642" s="365"/>
      <c r="P642" s="365"/>
      <c r="Q642" s="365"/>
      <c r="R642" s="365"/>
      <c r="S642" s="365"/>
      <c r="T642" s="365"/>
      <c r="U642" s="365"/>
      <c r="V642" s="365"/>
      <c r="W642" s="365"/>
      <c r="X642" s="365"/>
      <c r="Y642" s="365"/>
      <c r="Z642" s="365"/>
    </row>
    <row r="643" spans="1:26" ht="14.25" customHeight="1" x14ac:dyDescent="0.25">
      <c r="A643" s="365"/>
      <c r="B643" s="365"/>
      <c r="C643" s="365"/>
      <c r="D643" s="365"/>
      <c r="E643" s="365"/>
      <c r="F643" s="365"/>
      <c r="G643" s="365"/>
      <c r="H643" s="365"/>
      <c r="I643" s="365"/>
      <c r="J643" s="365"/>
      <c r="K643" s="365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  <c r="Y643" s="365"/>
      <c r="Z643" s="365"/>
    </row>
    <row r="644" spans="1:26" ht="14.25" customHeight="1" x14ac:dyDescent="0.25">
      <c r="A644" s="365"/>
      <c r="B644" s="365"/>
      <c r="C644" s="365"/>
      <c r="D644" s="365"/>
      <c r="E644" s="365"/>
      <c r="F644" s="365"/>
      <c r="G644" s="365"/>
      <c r="H644" s="365"/>
      <c r="I644" s="365"/>
      <c r="J644" s="365"/>
      <c r="K644" s="365"/>
      <c r="L644" s="365"/>
      <c r="M644" s="365"/>
      <c r="N644" s="365"/>
      <c r="O644" s="365"/>
      <c r="P644" s="365"/>
      <c r="Q644" s="365"/>
      <c r="R644" s="365"/>
      <c r="S644" s="365"/>
      <c r="T644" s="365"/>
      <c r="U644" s="365"/>
      <c r="V644" s="365"/>
      <c r="W644" s="365"/>
      <c r="X644" s="365"/>
      <c r="Y644" s="365"/>
      <c r="Z644" s="365"/>
    </row>
    <row r="645" spans="1:26" ht="14.25" customHeight="1" x14ac:dyDescent="0.25">
      <c r="A645" s="365"/>
      <c r="B645" s="365"/>
      <c r="C645" s="365"/>
      <c r="D645" s="365"/>
      <c r="E645" s="365"/>
      <c r="F645" s="365"/>
      <c r="G645" s="365"/>
      <c r="H645" s="365"/>
      <c r="I645" s="365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  <c r="T645" s="365"/>
      <c r="U645" s="365"/>
      <c r="V645" s="365"/>
      <c r="W645" s="365"/>
      <c r="X645" s="365"/>
      <c r="Y645" s="365"/>
      <c r="Z645" s="365"/>
    </row>
    <row r="646" spans="1:26" ht="14.25" customHeight="1" x14ac:dyDescent="0.25">
      <c r="A646" s="365"/>
      <c r="B646" s="365"/>
      <c r="C646" s="365"/>
      <c r="D646" s="365"/>
      <c r="E646" s="365"/>
      <c r="F646" s="365"/>
      <c r="G646" s="365"/>
      <c r="H646" s="365"/>
      <c r="I646" s="365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  <c r="T646" s="365"/>
      <c r="U646" s="365"/>
      <c r="V646" s="365"/>
      <c r="W646" s="365"/>
      <c r="X646" s="365"/>
      <c r="Y646" s="365"/>
      <c r="Z646" s="365"/>
    </row>
    <row r="647" spans="1:26" ht="14.25" customHeight="1" x14ac:dyDescent="0.25">
      <c r="A647" s="365"/>
      <c r="B647" s="365"/>
      <c r="C647" s="365"/>
      <c r="D647" s="365"/>
      <c r="E647" s="365"/>
      <c r="F647" s="365"/>
      <c r="G647" s="365"/>
      <c r="H647" s="365"/>
      <c r="I647" s="365"/>
      <c r="J647" s="365"/>
      <c r="K647" s="365"/>
      <c r="L647" s="365"/>
      <c r="M647" s="365"/>
      <c r="N647" s="365"/>
      <c r="O647" s="365"/>
      <c r="P647" s="365"/>
      <c r="Q647" s="365"/>
      <c r="R647" s="365"/>
      <c r="S647" s="365"/>
      <c r="T647" s="365"/>
      <c r="U647" s="365"/>
      <c r="V647" s="365"/>
      <c r="W647" s="365"/>
      <c r="X647" s="365"/>
      <c r="Y647" s="365"/>
      <c r="Z647" s="365"/>
    </row>
    <row r="648" spans="1:26" ht="14.25" customHeight="1" x14ac:dyDescent="0.25">
      <c r="A648" s="365"/>
      <c r="B648" s="365"/>
      <c r="C648" s="365"/>
      <c r="D648" s="365"/>
      <c r="E648" s="365"/>
      <c r="F648" s="365"/>
      <c r="G648" s="365"/>
      <c r="H648" s="365"/>
      <c r="I648" s="365"/>
      <c r="J648" s="365"/>
      <c r="K648" s="365"/>
      <c r="L648" s="365"/>
      <c r="M648" s="365"/>
      <c r="N648" s="365"/>
      <c r="O648" s="365"/>
      <c r="P648" s="365"/>
      <c r="Q648" s="365"/>
      <c r="R648" s="365"/>
      <c r="S648" s="365"/>
      <c r="T648" s="365"/>
      <c r="U648" s="365"/>
      <c r="V648" s="365"/>
      <c r="W648" s="365"/>
      <c r="X648" s="365"/>
      <c r="Y648" s="365"/>
      <c r="Z648" s="365"/>
    </row>
    <row r="649" spans="1:26" ht="14.25" customHeight="1" x14ac:dyDescent="0.25">
      <c r="A649" s="365"/>
      <c r="B649" s="365"/>
      <c r="C649" s="365"/>
      <c r="D649" s="365"/>
      <c r="E649" s="365"/>
      <c r="F649" s="365"/>
      <c r="G649" s="365"/>
      <c r="H649" s="365"/>
      <c r="I649" s="365"/>
      <c r="J649" s="365"/>
      <c r="K649" s="365"/>
      <c r="L649" s="365"/>
      <c r="M649" s="365"/>
      <c r="N649" s="365"/>
      <c r="O649" s="365"/>
      <c r="P649" s="365"/>
      <c r="Q649" s="365"/>
      <c r="R649" s="365"/>
      <c r="S649" s="365"/>
      <c r="T649" s="365"/>
      <c r="U649" s="365"/>
      <c r="V649" s="365"/>
      <c r="W649" s="365"/>
      <c r="X649" s="365"/>
      <c r="Y649" s="365"/>
      <c r="Z649" s="365"/>
    </row>
    <row r="650" spans="1:26" ht="14.25" customHeight="1" x14ac:dyDescent="0.25">
      <c r="A650" s="365"/>
      <c r="B650" s="365"/>
      <c r="C650" s="365"/>
      <c r="D650" s="365"/>
      <c r="E650" s="365"/>
      <c r="F650" s="365"/>
      <c r="G650" s="365"/>
      <c r="H650" s="365"/>
      <c r="I650" s="365"/>
      <c r="J650" s="365"/>
      <c r="K650" s="365"/>
      <c r="L650" s="365"/>
      <c r="M650" s="365"/>
      <c r="N650" s="365"/>
      <c r="O650" s="365"/>
      <c r="P650" s="365"/>
      <c r="Q650" s="365"/>
      <c r="R650" s="365"/>
      <c r="S650" s="365"/>
      <c r="T650" s="365"/>
      <c r="U650" s="365"/>
      <c r="V650" s="365"/>
      <c r="W650" s="365"/>
      <c r="X650" s="365"/>
      <c r="Y650" s="365"/>
      <c r="Z650" s="365"/>
    </row>
    <row r="651" spans="1:26" ht="14.25" customHeight="1" x14ac:dyDescent="0.25">
      <c r="A651" s="365"/>
      <c r="B651" s="365"/>
      <c r="C651" s="365"/>
      <c r="D651" s="365"/>
      <c r="E651" s="365"/>
      <c r="F651" s="365"/>
      <c r="G651" s="365"/>
      <c r="H651" s="365"/>
      <c r="I651" s="365"/>
      <c r="J651" s="365"/>
      <c r="K651" s="365"/>
      <c r="L651" s="365"/>
      <c r="M651" s="365"/>
      <c r="N651" s="365"/>
      <c r="O651" s="365"/>
      <c r="P651" s="365"/>
      <c r="Q651" s="365"/>
      <c r="R651" s="365"/>
      <c r="S651" s="365"/>
      <c r="T651" s="365"/>
      <c r="U651" s="365"/>
      <c r="V651" s="365"/>
      <c r="W651" s="365"/>
      <c r="X651" s="365"/>
      <c r="Y651" s="365"/>
      <c r="Z651" s="365"/>
    </row>
    <row r="652" spans="1:26" ht="14.25" customHeight="1" x14ac:dyDescent="0.25">
      <c r="A652" s="365"/>
      <c r="B652" s="365"/>
      <c r="C652" s="365"/>
      <c r="D652" s="365"/>
      <c r="E652" s="365"/>
      <c r="F652" s="365"/>
      <c r="G652" s="365"/>
      <c r="H652" s="365"/>
      <c r="I652" s="365"/>
      <c r="J652" s="365"/>
      <c r="K652" s="365"/>
      <c r="L652" s="365"/>
      <c r="M652" s="365"/>
      <c r="N652" s="365"/>
      <c r="O652" s="365"/>
      <c r="P652" s="365"/>
      <c r="Q652" s="365"/>
      <c r="R652" s="365"/>
      <c r="S652" s="365"/>
      <c r="T652" s="365"/>
      <c r="U652" s="365"/>
      <c r="V652" s="365"/>
      <c r="W652" s="365"/>
      <c r="X652" s="365"/>
      <c r="Y652" s="365"/>
      <c r="Z652" s="365"/>
    </row>
    <row r="653" spans="1:26" ht="14.25" customHeight="1" x14ac:dyDescent="0.25">
      <c r="A653" s="365"/>
      <c r="B653" s="365"/>
      <c r="C653" s="365"/>
      <c r="D653" s="365"/>
      <c r="E653" s="365"/>
      <c r="F653" s="365"/>
      <c r="G653" s="365"/>
      <c r="H653" s="365"/>
      <c r="I653" s="365"/>
      <c r="J653" s="365"/>
      <c r="K653" s="365"/>
      <c r="L653" s="365"/>
      <c r="M653" s="365"/>
      <c r="N653" s="365"/>
      <c r="O653" s="365"/>
      <c r="P653" s="365"/>
      <c r="Q653" s="365"/>
      <c r="R653" s="365"/>
      <c r="S653" s="365"/>
      <c r="T653" s="365"/>
      <c r="U653" s="365"/>
      <c r="V653" s="365"/>
      <c r="W653" s="365"/>
      <c r="X653" s="365"/>
      <c r="Y653" s="365"/>
      <c r="Z653" s="365"/>
    </row>
    <row r="654" spans="1:26" ht="14.25" customHeight="1" x14ac:dyDescent="0.25">
      <c r="A654" s="365"/>
      <c r="B654" s="365"/>
      <c r="C654" s="365"/>
      <c r="D654" s="365"/>
      <c r="E654" s="365"/>
      <c r="F654" s="365"/>
      <c r="G654" s="365"/>
      <c r="H654" s="365"/>
      <c r="I654" s="365"/>
      <c r="J654" s="365"/>
      <c r="K654" s="365"/>
      <c r="L654" s="365"/>
      <c r="M654" s="365"/>
      <c r="N654" s="365"/>
      <c r="O654" s="365"/>
      <c r="P654" s="365"/>
      <c r="Q654" s="365"/>
      <c r="R654" s="365"/>
      <c r="S654" s="365"/>
      <c r="T654" s="365"/>
      <c r="U654" s="365"/>
      <c r="V654" s="365"/>
      <c r="W654" s="365"/>
      <c r="X654" s="365"/>
      <c r="Y654" s="365"/>
      <c r="Z654" s="365"/>
    </row>
    <row r="655" spans="1:26" ht="14.25" customHeight="1" x14ac:dyDescent="0.25">
      <c r="A655" s="365"/>
      <c r="B655" s="365"/>
      <c r="C655" s="365"/>
      <c r="D655" s="365"/>
      <c r="E655" s="365"/>
      <c r="F655" s="365"/>
      <c r="G655" s="365"/>
      <c r="H655" s="365"/>
      <c r="I655" s="365"/>
      <c r="J655" s="365"/>
      <c r="K655" s="365"/>
      <c r="L655" s="365"/>
      <c r="M655" s="365"/>
      <c r="N655" s="365"/>
      <c r="O655" s="365"/>
      <c r="P655" s="365"/>
      <c r="Q655" s="365"/>
      <c r="R655" s="365"/>
      <c r="S655" s="365"/>
      <c r="T655" s="365"/>
      <c r="U655" s="365"/>
      <c r="V655" s="365"/>
      <c r="W655" s="365"/>
      <c r="X655" s="365"/>
      <c r="Y655" s="365"/>
      <c r="Z655" s="365"/>
    </row>
    <row r="656" spans="1:26" ht="14.25" customHeight="1" x14ac:dyDescent="0.25">
      <c r="A656" s="365"/>
      <c r="B656" s="365"/>
      <c r="C656" s="365"/>
      <c r="D656" s="365"/>
      <c r="E656" s="365"/>
      <c r="F656" s="365"/>
      <c r="G656" s="365"/>
      <c r="H656" s="365"/>
      <c r="I656" s="365"/>
      <c r="J656" s="365"/>
      <c r="K656" s="365"/>
      <c r="L656" s="365"/>
      <c r="M656" s="365"/>
      <c r="N656" s="365"/>
      <c r="O656" s="365"/>
      <c r="P656" s="365"/>
      <c r="Q656" s="365"/>
      <c r="R656" s="365"/>
      <c r="S656" s="365"/>
      <c r="T656" s="365"/>
      <c r="U656" s="365"/>
      <c r="V656" s="365"/>
      <c r="W656" s="365"/>
      <c r="X656" s="365"/>
      <c r="Y656" s="365"/>
      <c r="Z656" s="365"/>
    </row>
    <row r="657" spans="1:26" ht="14.25" customHeight="1" x14ac:dyDescent="0.25">
      <c r="A657" s="365"/>
      <c r="B657" s="365"/>
      <c r="C657" s="365"/>
      <c r="D657" s="365"/>
      <c r="E657" s="365"/>
      <c r="F657" s="365"/>
      <c r="G657" s="365"/>
      <c r="H657" s="365"/>
      <c r="I657" s="365"/>
      <c r="J657" s="365"/>
      <c r="K657" s="365"/>
      <c r="L657" s="365"/>
      <c r="M657" s="365"/>
      <c r="N657" s="365"/>
      <c r="O657" s="365"/>
      <c r="P657" s="365"/>
      <c r="Q657" s="365"/>
      <c r="R657" s="365"/>
      <c r="S657" s="365"/>
      <c r="T657" s="365"/>
      <c r="U657" s="365"/>
      <c r="V657" s="365"/>
      <c r="W657" s="365"/>
      <c r="X657" s="365"/>
      <c r="Y657" s="365"/>
      <c r="Z657" s="365"/>
    </row>
    <row r="658" spans="1:26" ht="14.25" customHeight="1" x14ac:dyDescent="0.25">
      <c r="A658" s="365"/>
      <c r="B658" s="365"/>
      <c r="C658" s="365"/>
      <c r="D658" s="365"/>
      <c r="E658" s="365"/>
      <c r="F658" s="365"/>
      <c r="G658" s="365"/>
      <c r="H658" s="365"/>
      <c r="I658" s="365"/>
      <c r="J658" s="365"/>
      <c r="K658" s="365"/>
      <c r="L658" s="365"/>
      <c r="M658" s="365"/>
      <c r="N658" s="365"/>
      <c r="O658" s="365"/>
      <c r="P658" s="365"/>
      <c r="Q658" s="365"/>
      <c r="R658" s="365"/>
      <c r="S658" s="365"/>
      <c r="T658" s="365"/>
      <c r="U658" s="365"/>
      <c r="V658" s="365"/>
      <c r="W658" s="365"/>
      <c r="X658" s="365"/>
      <c r="Y658" s="365"/>
      <c r="Z658" s="365"/>
    </row>
    <row r="659" spans="1:26" ht="14.25" customHeight="1" x14ac:dyDescent="0.25">
      <c r="A659" s="365"/>
      <c r="B659" s="365"/>
      <c r="C659" s="365"/>
      <c r="D659" s="365"/>
      <c r="E659" s="365"/>
      <c r="F659" s="365"/>
      <c r="G659" s="365"/>
      <c r="H659" s="365"/>
      <c r="I659" s="365"/>
      <c r="J659" s="365"/>
      <c r="K659" s="365"/>
      <c r="L659" s="365"/>
      <c r="M659" s="365"/>
      <c r="N659" s="365"/>
      <c r="O659" s="365"/>
      <c r="P659" s="365"/>
      <c r="Q659" s="365"/>
      <c r="R659" s="365"/>
      <c r="S659" s="365"/>
      <c r="T659" s="365"/>
      <c r="U659" s="365"/>
      <c r="V659" s="365"/>
      <c r="W659" s="365"/>
      <c r="X659" s="365"/>
      <c r="Y659" s="365"/>
      <c r="Z659" s="365"/>
    </row>
    <row r="660" spans="1:26" ht="14.25" customHeight="1" x14ac:dyDescent="0.25">
      <c r="A660" s="365"/>
      <c r="B660" s="365"/>
      <c r="C660" s="365"/>
      <c r="D660" s="365"/>
      <c r="E660" s="365"/>
      <c r="F660" s="365"/>
      <c r="G660" s="365"/>
      <c r="H660" s="365"/>
      <c r="I660" s="365"/>
      <c r="J660" s="365"/>
      <c r="K660" s="365"/>
      <c r="L660" s="365"/>
      <c r="M660" s="365"/>
      <c r="N660" s="365"/>
      <c r="O660" s="365"/>
      <c r="P660" s="365"/>
      <c r="Q660" s="365"/>
      <c r="R660" s="365"/>
      <c r="S660" s="365"/>
      <c r="T660" s="365"/>
      <c r="U660" s="365"/>
      <c r="V660" s="365"/>
      <c r="W660" s="365"/>
      <c r="X660" s="365"/>
      <c r="Y660" s="365"/>
      <c r="Z660" s="365"/>
    </row>
    <row r="661" spans="1:26" ht="14.25" customHeight="1" x14ac:dyDescent="0.25">
      <c r="A661" s="365"/>
      <c r="B661" s="365"/>
      <c r="C661" s="365"/>
      <c r="D661" s="365"/>
      <c r="E661" s="365"/>
      <c r="F661" s="365"/>
      <c r="G661" s="365"/>
      <c r="H661" s="365"/>
      <c r="I661" s="365"/>
      <c r="J661" s="365"/>
      <c r="K661" s="365"/>
      <c r="L661" s="365"/>
      <c r="M661" s="365"/>
      <c r="N661" s="365"/>
      <c r="O661" s="365"/>
      <c r="P661" s="365"/>
      <c r="Q661" s="365"/>
      <c r="R661" s="365"/>
      <c r="S661" s="365"/>
      <c r="T661" s="365"/>
      <c r="U661" s="365"/>
      <c r="V661" s="365"/>
      <c r="W661" s="365"/>
      <c r="X661" s="365"/>
      <c r="Y661" s="365"/>
      <c r="Z661" s="365"/>
    </row>
    <row r="662" spans="1:26" ht="14.25" customHeight="1" x14ac:dyDescent="0.25">
      <c r="A662" s="365"/>
      <c r="B662" s="365"/>
      <c r="C662" s="365"/>
      <c r="D662" s="365"/>
      <c r="E662" s="365"/>
      <c r="F662" s="365"/>
      <c r="G662" s="365"/>
      <c r="H662" s="365"/>
      <c r="I662" s="365"/>
      <c r="J662" s="365"/>
      <c r="K662" s="365"/>
      <c r="L662" s="365"/>
      <c r="M662" s="365"/>
      <c r="N662" s="365"/>
      <c r="O662" s="365"/>
      <c r="P662" s="365"/>
      <c r="Q662" s="365"/>
      <c r="R662" s="365"/>
      <c r="S662" s="365"/>
      <c r="T662" s="365"/>
      <c r="U662" s="365"/>
      <c r="V662" s="365"/>
      <c r="W662" s="365"/>
      <c r="X662" s="365"/>
      <c r="Y662" s="365"/>
      <c r="Z662" s="365"/>
    </row>
    <row r="663" spans="1:26" ht="14.25" customHeight="1" x14ac:dyDescent="0.25">
      <c r="A663" s="365"/>
      <c r="B663" s="365"/>
      <c r="C663" s="365"/>
      <c r="D663" s="365"/>
      <c r="E663" s="365"/>
      <c r="F663" s="365"/>
      <c r="G663" s="365"/>
      <c r="H663" s="365"/>
      <c r="I663" s="365"/>
      <c r="J663" s="365"/>
      <c r="K663" s="365"/>
      <c r="L663" s="365"/>
      <c r="M663" s="365"/>
      <c r="N663" s="365"/>
      <c r="O663" s="365"/>
      <c r="P663" s="365"/>
      <c r="Q663" s="365"/>
      <c r="R663" s="365"/>
      <c r="S663" s="365"/>
      <c r="T663" s="365"/>
      <c r="U663" s="365"/>
      <c r="V663" s="365"/>
      <c r="W663" s="365"/>
      <c r="X663" s="365"/>
      <c r="Y663" s="365"/>
      <c r="Z663" s="365"/>
    </row>
    <row r="664" spans="1:26" ht="14.25" customHeight="1" x14ac:dyDescent="0.25">
      <c r="A664" s="365"/>
      <c r="B664" s="365"/>
      <c r="C664" s="365"/>
      <c r="D664" s="365"/>
      <c r="E664" s="365"/>
      <c r="F664" s="365"/>
      <c r="G664" s="365"/>
      <c r="H664" s="365"/>
      <c r="I664" s="365"/>
      <c r="J664" s="365"/>
      <c r="K664" s="365"/>
      <c r="L664" s="365"/>
      <c r="M664" s="365"/>
      <c r="N664" s="365"/>
      <c r="O664" s="365"/>
      <c r="P664" s="365"/>
      <c r="Q664" s="365"/>
      <c r="R664" s="365"/>
      <c r="S664" s="365"/>
      <c r="T664" s="365"/>
      <c r="U664" s="365"/>
      <c r="V664" s="365"/>
      <c r="W664" s="365"/>
      <c r="X664" s="365"/>
      <c r="Y664" s="365"/>
      <c r="Z664" s="365"/>
    </row>
    <row r="665" spans="1:26" ht="14.25" customHeight="1" x14ac:dyDescent="0.25">
      <c r="A665" s="365"/>
      <c r="B665" s="365"/>
      <c r="C665" s="365"/>
      <c r="D665" s="365"/>
      <c r="E665" s="365"/>
      <c r="F665" s="365"/>
      <c r="G665" s="365"/>
      <c r="H665" s="365"/>
      <c r="I665" s="365"/>
      <c r="J665" s="365"/>
      <c r="K665" s="365"/>
      <c r="L665" s="365"/>
      <c r="M665" s="365"/>
      <c r="N665" s="365"/>
      <c r="O665" s="365"/>
      <c r="P665" s="365"/>
      <c r="Q665" s="365"/>
      <c r="R665" s="365"/>
      <c r="S665" s="365"/>
      <c r="T665" s="365"/>
      <c r="U665" s="365"/>
      <c r="V665" s="365"/>
      <c r="W665" s="365"/>
      <c r="X665" s="365"/>
      <c r="Y665" s="365"/>
      <c r="Z665" s="365"/>
    </row>
    <row r="666" spans="1:26" ht="14.25" customHeight="1" x14ac:dyDescent="0.25">
      <c r="A666" s="365"/>
      <c r="B666" s="365"/>
      <c r="C666" s="365"/>
      <c r="D666" s="365"/>
      <c r="E666" s="365"/>
      <c r="F666" s="365"/>
      <c r="G666" s="365"/>
      <c r="H666" s="365"/>
      <c r="I666" s="365"/>
      <c r="J666" s="365"/>
      <c r="K666" s="365"/>
      <c r="L666" s="365"/>
      <c r="M666" s="365"/>
      <c r="N666" s="365"/>
      <c r="O666" s="365"/>
      <c r="P666" s="365"/>
      <c r="Q666" s="365"/>
      <c r="R666" s="365"/>
      <c r="S666" s="365"/>
      <c r="T666" s="365"/>
      <c r="U666" s="365"/>
      <c r="V666" s="365"/>
      <c r="W666" s="365"/>
      <c r="X666" s="365"/>
      <c r="Y666" s="365"/>
      <c r="Z666" s="365"/>
    </row>
    <row r="667" spans="1:26" ht="14.25" customHeight="1" x14ac:dyDescent="0.25">
      <c r="A667" s="365"/>
      <c r="B667" s="365"/>
      <c r="C667" s="365"/>
      <c r="D667" s="365"/>
      <c r="E667" s="365"/>
      <c r="F667" s="365"/>
      <c r="G667" s="365"/>
      <c r="H667" s="365"/>
      <c r="I667" s="365"/>
      <c r="J667" s="365"/>
      <c r="K667" s="365"/>
      <c r="L667" s="365"/>
      <c r="M667" s="365"/>
      <c r="N667" s="365"/>
      <c r="O667" s="365"/>
      <c r="P667" s="365"/>
      <c r="Q667" s="365"/>
      <c r="R667" s="365"/>
      <c r="S667" s="365"/>
      <c r="T667" s="365"/>
      <c r="U667" s="365"/>
      <c r="V667" s="365"/>
      <c r="W667" s="365"/>
      <c r="X667" s="365"/>
      <c r="Y667" s="365"/>
      <c r="Z667" s="365"/>
    </row>
    <row r="668" spans="1:26" ht="14.25" customHeight="1" x14ac:dyDescent="0.25">
      <c r="A668" s="365"/>
      <c r="B668" s="365"/>
      <c r="C668" s="365"/>
      <c r="D668" s="365"/>
      <c r="E668" s="365"/>
      <c r="F668" s="365"/>
      <c r="G668" s="365"/>
      <c r="H668" s="365"/>
      <c r="I668" s="365"/>
      <c r="J668" s="365"/>
      <c r="K668" s="365"/>
      <c r="L668" s="365"/>
      <c r="M668" s="365"/>
      <c r="N668" s="365"/>
      <c r="O668" s="365"/>
      <c r="P668" s="365"/>
      <c r="Q668" s="365"/>
      <c r="R668" s="365"/>
      <c r="S668" s="365"/>
      <c r="T668" s="365"/>
      <c r="U668" s="365"/>
      <c r="V668" s="365"/>
      <c r="W668" s="365"/>
      <c r="X668" s="365"/>
      <c r="Y668" s="365"/>
      <c r="Z668" s="365"/>
    </row>
    <row r="669" spans="1:26" ht="14.25" customHeight="1" x14ac:dyDescent="0.25">
      <c r="A669" s="365"/>
      <c r="B669" s="365"/>
      <c r="C669" s="365"/>
      <c r="D669" s="365"/>
      <c r="E669" s="365"/>
      <c r="F669" s="365"/>
      <c r="G669" s="365"/>
      <c r="H669" s="365"/>
      <c r="I669" s="365"/>
      <c r="J669" s="365"/>
      <c r="K669" s="365"/>
      <c r="L669" s="365"/>
      <c r="M669" s="365"/>
      <c r="N669" s="365"/>
      <c r="O669" s="365"/>
      <c r="P669" s="365"/>
      <c r="Q669" s="365"/>
      <c r="R669" s="365"/>
      <c r="S669" s="365"/>
      <c r="T669" s="365"/>
      <c r="U669" s="365"/>
      <c r="V669" s="365"/>
      <c r="W669" s="365"/>
      <c r="X669" s="365"/>
      <c r="Y669" s="365"/>
      <c r="Z669" s="365"/>
    </row>
    <row r="670" spans="1:26" ht="14.25" customHeight="1" x14ac:dyDescent="0.25">
      <c r="A670" s="365"/>
      <c r="B670" s="365"/>
      <c r="C670" s="365"/>
      <c r="D670" s="365"/>
      <c r="E670" s="365"/>
      <c r="F670" s="365"/>
      <c r="G670" s="365"/>
      <c r="H670" s="365"/>
      <c r="I670" s="365"/>
      <c r="J670" s="365"/>
      <c r="K670" s="365"/>
      <c r="L670" s="365"/>
      <c r="M670" s="365"/>
      <c r="N670" s="365"/>
      <c r="O670" s="365"/>
      <c r="P670" s="365"/>
      <c r="Q670" s="365"/>
      <c r="R670" s="365"/>
      <c r="S670" s="365"/>
      <c r="T670" s="365"/>
      <c r="U670" s="365"/>
      <c r="V670" s="365"/>
      <c r="W670" s="365"/>
      <c r="X670" s="365"/>
      <c r="Y670" s="365"/>
      <c r="Z670" s="365"/>
    </row>
    <row r="671" spans="1:26" ht="14.25" customHeight="1" x14ac:dyDescent="0.25">
      <c r="A671" s="365"/>
      <c r="B671" s="365"/>
      <c r="C671" s="365"/>
      <c r="D671" s="365"/>
      <c r="E671" s="365"/>
      <c r="F671" s="365"/>
      <c r="G671" s="365"/>
      <c r="H671" s="365"/>
      <c r="I671" s="365"/>
      <c r="J671" s="365"/>
      <c r="K671" s="365"/>
      <c r="L671" s="365"/>
      <c r="M671" s="365"/>
      <c r="N671" s="365"/>
      <c r="O671" s="365"/>
      <c r="P671" s="365"/>
      <c r="Q671" s="365"/>
      <c r="R671" s="365"/>
      <c r="S671" s="365"/>
      <c r="T671" s="365"/>
      <c r="U671" s="365"/>
      <c r="V671" s="365"/>
      <c r="W671" s="365"/>
      <c r="X671" s="365"/>
      <c r="Y671" s="365"/>
      <c r="Z671" s="365"/>
    </row>
    <row r="672" spans="1:26" ht="14.25" customHeight="1" x14ac:dyDescent="0.25">
      <c r="A672" s="365"/>
      <c r="B672" s="365"/>
      <c r="C672" s="365"/>
      <c r="D672" s="365"/>
      <c r="E672" s="365"/>
      <c r="F672" s="365"/>
      <c r="G672" s="365"/>
      <c r="H672" s="365"/>
      <c r="I672" s="365"/>
      <c r="J672" s="365"/>
      <c r="K672" s="365"/>
      <c r="L672" s="365"/>
      <c r="M672" s="365"/>
      <c r="N672" s="365"/>
      <c r="O672" s="365"/>
      <c r="P672" s="365"/>
      <c r="Q672" s="365"/>
      <c r="R672" s="365"/>
      <c r="S672" s="365"/>
      <c r="T672" s="365"/>
      <c r="U672" s="365"/>
      <c r="V672" s="365"/>
      <c r="W672" s="365"/>
      <c r="X672" s="365"/>
      <c r="Y672" s="365"/>
      <c r="Z672" s="365"/>
    </row>
    <row r="673" spans="1:26" ht="14.25" customHeight="1" x14ac:dyDescent="0.25">
      <c r="A673" s="365"/>
      <c r="B673" s="365"/>
      <c r="C673" s="365"/>
      <c r="D673" s="365"/>
      <c r="E673" s="365"/>
      <c r="F673" s="365"/>
      <c r="G673" s="365"/>
      <c r="H673" s="365"/>
      <c r="I673" s="365"/>
      <c r="J673" s="365"/>
      <c r="K673" s="365"/>
      <c r="L673" s="365"/>
      <c r="M673" s="365"/>
      <c r="N673" s="365"/>
      <c r="O673" s="365"/>
      <c r="P673" s="365"/>
      <c r="Q673" s="365"/>
      <c r="R673" s="365"/>
      <c r="S673" s="365"/>
      <c r="T673" s="365"/>
      <c r="U673" s="365"/>
      <c r="V673" s="365"/>
      <c r="W673" s="365"/>
      <c r="X673" s="365"/>
      <c r="Y673" s="365"/>
      <c r="Z673" s="365"/>
    </row>
    <row r="674" spans="1:26" ht="14.25" customHeight="1" x14ac:dyDescent="0.25">
      <c r="A674" s="365"/>
      <c r="B674" s="365"/>
      <c r="C674" s="365"/>
      <c r="D674" s="365"/>
      <c r="E674" s="365"/>
      <c r="F674" s="365"/>
      <c r="G674" s="365"/>
      <c r="H674" s="365"/>
      <c r="I674" s="365"/>
      <c r="J674" s="365"/>
      <c r="K674" s="365"/>
      <c r="L674" s="365"/>
      <c r="M674" s="365"/>
      <c r="N674" s="365"/>
      <c r="O674" s="365"/>
      <c r="P674" s="365"/>
      <c r="Q674" s="365"/>
      <c r="R674" s="365"/>
      <c r="S674" s="365"/>
      <c r="T674" s="365"/>
      <c r="U674" s="365"/>
      <c r="V674" s="365"/>
      <c r="W674" s="365"/>
      <c r="X674" s="365"/>
      <c r="Y674" s="365"/>
      <c r="Z674" s="365"/>
    </row>
    <row r="675" spans="1:26" ht="14.25" customHeight="1" x14ac:dyDescent="0.25">
      <c r="A675" s="365"/>
      <c r="B675" s="365"/>
      <c r="C675" s="365"/>
      <c r="D675" s="365"/>
      <c r="E675" s="365"/>
      <c r="F675" s="365"/>
      <c r="G675" s="365"/>
      <c r="H675" s="365"/>
      <c r="I675" s="365"/>
      <c r="J675" s="365"/>
      <c r="K675" s="365"/>
      <c r="L675" s="365"/>
      <c r="M675" s="365"/>
      <c r="N675" s="365"/>
      <c r="O675" s="365"/>
      <c r="P675" s="365"/>
      <c r="Q675" s="365"/>
      <c r="R675" s="365"/>
      <c r="S675" s="365"/>
      <c r="T675" s="365"/>
      <c r="U675" s="365"/>
      <c r="V675" s="365"/>
      <c r="W675" s="365"/>
      <c r="X675" s="365"/>
      <c r="Y675" s="365"/>
      <c r="Z675" s="365"/>
    </row>
    <row r="676" spans="1:26" ht="14.25" customHeight="1" x14ac:dyDescent="0.25">
      <c r="A676" s="365"/>
      <c r="B676" s="365"/>
      <c r="C676" s="365"/>
      <c r="D676" s="365"/>
      <c r="E676" s="365"/>
      <c r="F676" s="365"/>
      <c r="G676" s="365"/>
      <c r="H676" s="365"/>
      <c r="I676" s="365"/>
      <c r="J676" s="365"/>
      <c r="K676" s="365"/>
      <c r="L676" s="365"/>
      <c r="M676" s="365"/>
      <c r="N676" s="365"/>
      <c r="O676" s="365"/>
      <c r="P676" s="365"/>
      <c r="Q676" s="365"/>
      <c r="R676" s="365"/>
      <c r="S676" s="365"/>
      <c r="T676" s="365"/>
      <c r="U676" s="365"/>
      <c r="V676" s="365"/>
      <c r="W676" s="365"/>
      <c r="X676" s="365"/>
      <c r="Y676" s="365"/>
      <c r="Z676" s="365"/>
    </row>
    <row r="677" spans="1:26" ht="14.25" customHeight="1" x14ac:dyDescent="0.25">
      <c r="A677" s="365"/>
      <c r="B677" s="365"/>
      <c r="C677" s="365"/>
      <c r="D677" s="365"/>
      <c r="E677" s="365"/>
      <c r="F677" s="365"/>
      <c r="G677" s="365"/>
      <c r="H677" s="365"/>
      <c r="I677" s="365"/>
      <c r="J677" s="365"/>
      <c r="K677" s="365"/>
      <c r="L677" s="365"/>
      <c r="M677" s="365"/>
      <c r="N677" s="365"/>
      <c r="O677" s="365"/>
      <c r="P677" s="365"/>
      <c r="Q677" s="365"/>
      <c r="R677" s="365"/>
      <c r="S677" s="365"/>
      <c r="T677" s="365"/>
      <c r="U677" s="365"/>
      <c r="V677" s="365"/>
      <c r="W677" s="365"/>
      <c r="X677" s="365"/>
      <c r="Y677" s="365"/>
      <c r="Z677" s="365"/>
    </row>
    <row r="678" spans="1:26" ht="14.25" customHeight="1" x14ac:dyDescent="0.25">
      <c r="A678" s="365"/>
      <c r="B678" s="365"/>
      <c r="C678" s="365"/>
      <c r="D678" s="365"/>
      <c r="E678" s="365"/>
      <c r="F678" s="365"/>
      <c r="G678" s="365"/>
      <c r="H678" s="365"/>
      <c r="I678" s="365"/>
      <c r="J678" s="365"/>
      <c r="K678" s="365"/>
      <c r="L678" s="365"/>
      <c r="M678" s="365"/>
      <c r="N678" s="365"/>
      <c r="O678" s="365"/>
      <c r="P678" s="365"/>
      <c r="Q678" s="365"/>
      <c r="R678" s="365"/>
      <c r="S678" s="365"/>
      <c r="T678" s="365"/>
      <c r="U678" s="365"/>
      <c r="V678" s="365"/>
      <c r="W678" s="365"/>
      <c r="X678" s="365"/>
      <c r="Y678" s="365"/>
      <c r="Z678" s="365"/>
    </row>
    <row r="679" spans="1:26" ht="14.25" customHeight="1" x14ac:dyDescent="0.25">
      <c r="A679" s="365"/>
      <c r="B679" s="365"/>
      <c r="C679" s="365"/>
      <c r="D679" s="365"/>
      <c r="E679" s="365"/>
      <c r="F679" s="365"/>
      <c r="G679" s="365"/>
      <c r="H679" s="365"/>
      <c r="I679" s="365"/>
      <c r="J679" s="365"/>
      <c r="K679" s="365"/>
      <c r="L679" s="365"/>
      <c r="M679" s="365"/>
      <c r="N679" s="365"/>
      <c r="O679" s="365"/>
      <c r="P679" s="365"/>
      <c r="Q679" s="365"/>
      <c r="R679" s="365"/>
      <c r="S679" s="365"/>
      <c r="T679" s="365"/>
      <c r="U679" s="365"/>
      <c r="V679" s="365"/>
      <c r="W679" s="365"/>
      <c r="X679" s="365"/>
      <c r="Y679" s="365"/>
      <c r="Z679" s="365"/>
    </row>
    <row r="680" spans="1:26" ht="14.25" customHeight="1" x14ac:dyDescent="0.25">
      <c r="A680" s="365"/>
      <c r="B680" s="365"/>
      <c r="C680" s="365"/>
      <c r="D680" s="365"/>
      <c r="E680" s="365"/>
      <c r="F680" s="365"/>
      <c r="G680" s="365"/>
      <c r="H680" s="365"/>
      <c r="I680" s="365"/>
      <c r="J680" s="365"/>
      <c r="K680" s="365"/>
      <c r="L680" s="365"/>
      <c r="M680" s="365"/>
      <c r="N680" s="365"/>
      <c r="O680" s="365"/>
      <c r="P680" s="365"/>
      <c r="Q680" s="365"/>
      <c r="R680" s="365"/>
      <c r="S680" s="365"/>
      <c r="T680" s="365"/>
      <c r="U680" s="365"/>
      <c r="V680" s="365"/>
      <c r="W680" s="365"/>
      <c r="X680" s="365"/>
      <c r="Y680" s="365"/>
      <c r="Z680" s="365"/>
    </row>
    <row r="681" spans="1:26" ht="14.25" customHeight="1" x14ac:dyDescent="0.25">
      <c r="A681" s="365"/>
      <c r="B681" s="365"/>
      <c r="C681" s="365"/>
      <c r="D681" s="365"/>
      <c r="E681" s="365"/>
      <c r="F681" s="365"/>
      <c r="G681" s="365"/>
      <c r="H681" s="365"/>
      <c r="I681" s="365"/>
      <c r="J681" s="365"/>
      <c r="K681" s="365"/>
      <c r="L681" s="365"/>
      <c r="M681" s="365"/>
      <c r="N681" s="365"/>
      <c r="O681" s="365"/>
      <c r="P681" s="365"/>
      <c r="Q681" s="365"/>
      <c r="R681" s="365"/>
      <c r="S681" s="365"/>
      <c r="T681" s="365"/>
      <c r="U681" s="365"/>
      <c r="V681" s="365"/>
      <c r="W681" s="365"/>
      <c r="X681" s="365"/>
      <c r="Y681" s="365"/>
      <c r="Z681" s="365"/>
    </row>
    <row r="682" spans="1:26" ht="14.25" customHeight="1" x14ac:dyDescent="0.25">
      <c r="A682" s="365"/>
      <c r="B682" s="365"/>
      <c r="C682" s="365"/>
      <c r="D682" s="365"/>
      <c r="E682" s="365"/>
      <c r="F682" s="365"/>
      <c r="G682" s="365"/>
      <c r="H682" s="365"/>
      <c r="I682" s="365"/>
      <c r="J682" s="365"/>
      <c r="K682" s="365"/>
      <c r="L682" s="365"/>
      <c r="M682" s="365"/>
      <c r="N682" s="365"/>
      <c r="O682" s="365"/>
      <c r="P682" s="365"/>
      <c r="Q682" s="365"/>
      <c r="R682" s="365"/>
      <c r="S682" s="365"/>
      <c r="T682" s="365"/>
      <c r="U682" s="365"/>
      <c r="V682" s="365"/>
      <c r="W682" s="365"/>
      <c r="X682" s="365"/>
      <c r="Y682" s="365"/>
      <c r="Z682" s="365"/>
    </row>
    <row r="683" spans="1:26" ht="14.25" customHeight="1" x14ac:dyDescent="0.25">
      <c r="A683" s="365"/>
      <c r="B683" s="365"/>
      <c r="C683" s="365"/>
      <c r="D683" s="365"/>
      <c r="E683" s="365"/>
      <c r="F683" s="365"/>
      <c r="G683" s="365"/>
      <c r="H683" s="365"/>
      <c r="I683" s="365"/>
      <c r="J683" s="365"/>
      <c r="K683" s="365"/>
      <c r="L683" s="365"/>
      <c r="M683" s="365"/>
      <c r="N683" s="365"/>
      <c r="O683" s="365"/>
      <c r="P683" s="365"/>
      <c r="Q683" s="365"/>
      <c r="R683" s="365"/>
      <c r="S683" s="365"/>
      <c r="T683" s="365"/>
      <c r="U683" s="365"/>
      <c r="V683" s="365"/>
      <c r="W683" s="365"/>
      <c r="X683" s="365"/>
      <c r="Y683" s="365"/>
      <c r="Z683" s="365"/>
    </row>
    <row r="684" spans="1:26" ht="14.25" customHeight="1" x14ac:dyDescent="0.25">
      <c r="A684" s="365"/>
      <c r="B684" s="365"/>
      <c r="C684" s="365"/>
      <c r="D684" s="365"/>
      <c r="E684" s="365"/>
      <c r="F684" s="365"/>
      <c r="G684" s="365"/>
      <c r="H684" s="365"/>
      <c r="I684" s="365"/>
      <c r="J684" s="365"/>
      <c r="K684" s="365"/>
      <c r="L684" s="365"/>
      <c r="M684" s="365"/>
      <c r="N684" s="365"/>
      <c r="O684" s="365"/>
      <c r="P684" s="365"/>
      <c r="Q684" s="365"/>
      <c r="R684" s="365"/>
      <c r="S684" s="365"/>
      <c r="T684" s="365"/>
      <c r="U684" s="365"/>
      <c r="V684" s="365"/>
      <c r="W684" s="365"/>
      <c r="X684" s="365"/>
      <c r="Y684" s="365"/>
      <c r="Z684" s="365"/>
    </row>
    <row r="685" spans="1:26" ht="14.25" customHeight="1" x14ac:dyDescent="0.25">
      <c r="A685" s="365"/>
      <c r="B685" s="365"/>
      <c r="C685" s="365"/>
      <c r="D685" s="365"/>
      <c r="E685" s="365"/>
      <c r="F685" s="365"/>
      <c r="G685" s="365"/>
      <c r="H685" s="365"/>
      <c r="I685" s="365"/>
      <c r="J685" s="365"/>
      <c r="K685" s="365"/>
      <c r="L685" s="365"/>
      <c r="M685" s="365"/>
      <c r="N685" s="365"/>
      <c r="O685" s="365"/>
      <c r="P685" s="365"/>
      <c r="Q685" s="365"/>
      <c r="R685" s="365"/>
      <c r="S685" s="365"/>
      <c r="T685" s="365"/>
      <c r="U685" s="365"/>
      <c r="V685" s="365"/>
      <c r="W685" s="365"/>
      <c r="X685" s="365"/>
      <c r="Y685" s="365"/>
      <c r="Z685" s="365"/>
    </row>
    <row r="686" spans="1:26" ht="14.25" customHeight="1" x14ac:dyDescent="0.25">
      <c r="A686" s="365"/>
      <c r="B686" s="365"/>
      <c r="C686" s="365"/>
      <c r="D686" s="365"/>
      <c r="E686" s="365"/>
      <c r="F686" s="365"/>
      <c r="G686" s="365"/>
      <c r="H686" s="365"/>
      <c r="I686" s="365"/>
      <c r="J686" s="365"/>
      <c r="K686" s="365"/>
      <c r="L686" s="365"/>
      <c r="M686" s="365"/>
      <c r="N686" s="365"/>
      <c r="O686" s="365"/>
      <c r="P686" s="365"/>
      <c r="Q686" s="365"/>
      <c r="R686" s="365"/>
      <c r="S686" s="365"/>
      <c r="T686" s="365"/>
      <c r="U686" s="365"/>
      <c r="V686" s="365"/>
      <c r="W686" s="365"/>
      <c r="X686" s="365"/>
      <c r="Y686" s="365"/>
      <c r="Z686" s="365"/>
    </row>
    <row r="687" spans="1:26" ht="14.25" customHeight="1" x14ac:dyDescent="0.25">
      <c r="A687" s="365"/>
      <c r="B687" s="365"/>
      <c r="C687" s="365"/>
      <c r="D687" s="365"/>
      <c r="E687" s="365"/>
      <c r="F687" s="365"/>
      <c r="G687" s="365"/>
      <c r="H687" s="365"/>
      <c r="I687" s="365"/>
      <c r="J687" s="365"/>
      <c r="K687" s="365"/>
      <c r="L687" s="365"/>
      <c r="M687" s="365"/>
      <c r="N687" s="365"/>
      <c r="O687" s="365"/>
      <c r="P687" s="365"/>
      <c r="Q687" s="365"/>
      <c r="R687" s="365"/>
      <c r="S687" s="365"/>
      <c r="T687" s="365"/>
      <c r="U687" s="365"/>
      <c r="V687" s="365"/>
      <c r="W687" s="365"/>
      <c r="X687" s="365"/>
      <c r="Y687" s="365"/>
      <c r="Z687" s="365"/>
    </row>
    <row r="688" spans="1:26" ht="14.25" customHeight="1" x14ac:dyDescent="0.25">
      <c r="A688" s="365"/>
      <c r="B688" s="365"/>
      <c r="C688" s="365"/>
      <c r="D688" s="365"/>
      <c r="E688" s="365"/>
      <c r="F688" s="365"/>
      <c r="G688" s="365"/>
      <c r="H688" s="365"/>
      <c r="I688" s="365"/>
      <c r="J688" s="365"/>
      <c r="K688" s="365"/>
      <c r="L688" s="365"/>
      <c r="M688" s="365"/>
      <c r="N688" s="365"/>
      <c r="O688" s="365"/>
      <c r="P688" s="365"/>
      <c r="Q688" s="365"/>
      <c r="R688" s="365"/>
      <c r="S688" s="365"/>
      <c r="T688" s="365"/>
      <c r="U688" s="365"/>
      <c r="V688" s="365"/>
      <c r="W688" s="365"/>
      <c r="X688" s="365"/>
      <c r="Y688" s="365"/>
      <c r="Z688" s="365"/>
    </row>
    <row r="689" spans="1:26" ht="14.25" customHeight="1" x14ac:dyDescent="0.25">
      <c r="A689" s="365"/>
      <c r="B689" s="365"/>
      <c r="C689" s="365"/>
      <c r="D689" s="365"/>
      <c r="E689" s="365"/>
      <c r="F689" s="365"/>
      <c r="G689" s="365"/>
      <c r="H689" s="365"/>
      <c r="I689" s="365"/>
      <c r="J689" s="365"/>
      <c r="K689" s="365"/>
      <c r="L689" s="365"/>
      <c r="M689" s="365"/>
      <c r="N689" s="365"/>
      <c r="O689" s="365"/>
      <c r="P689" s="365"/>
      <c r="Q689" s="365"/>
      <c r="R689" s="365"/>
      <c r="S689" s="365"/>
      <c r="T689" s="365"/>
      <c r="U689" s="365"/>
      <c r="V689" s="365"/>
      <c r="W689" s="365"/>
      <c r="X689" s="365"/>
      <c r="Y689" s="365"/>
      <c r="Z689" s="365"/>
    </row>
    <row r="690" spans="1:26" ht="14.25" customHeight="1" x14ac:dyDescent="0.25">
      <c r="A690" s="365"/>
      <c r="B690" s="365"/>
      <c r="C690" s="365"/>
      <c r="D690" s="365"/>
      <c r="E690" s="365"/>
      <c r="F690" s="365"/>
      <c r="G690" s="365"/>
      <c r="H690" s="365"/>
      <c r="I690" s="365"/>
      <c r="J690" s="365"/>
      <c r="K690" s="365"/>
      <c r="L690" s="365"/>
      <c r="M690" s="365"/>
      <c r="N690" s="365"/>
      <c r="O690" s="365"/>
      <c r="P690" s="365"/>
      <c r="Q690" s="365"/>
      <c r="R690" s="365"/>
      <c r="S690" s="365"/>
      <c r="T690" s="365"/>
      <c r="U690" s="365"/>
      <c r="V690" s="365"/>
      <c r="W690" s="365"/>
      <c r="X690" s="365"/>
      <c r="Y690" s="365"/>
      <c r="Z690" s="365"/>
    </row>
    <row r="691" spans="1:26" ht="14.25" customHeight="1" x14ac:dyDescent="0.25">
      <c r="A691" s="365"/>
      <c r="B691" s="365"/>
      <c r="C691" s="365"/>
      <c r="D691" s="365"/>
      <c r="E691" s="365"/>
      <c r="F691" s="365"/>
      <c r="G691" s="365"/>
      <c r="H691" s="365"/>
      <c r="I691" s="365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  <c r="T691" s="365"/>
      <c r="U691" s="365"/>
      <c r="V691" s="365"/>
      <c r="W691" s="365"/>
      <c r="X691" s="365"/>
      <c r="Y691" s="365"/>
      <c r="Z691" s="365"/>
    </row>
    <row r="692" spans="1:26" ht="14.25" customHeight="1" x14ac:dyDescent="0.25">
      <c r="A692" s="365"/>
      <c r="B692" s="365"/>
      <c r="C692" s="365"/>
      <c r="D692" s="365"/>
      <c r="E692" s="365"/>
      <c r="F692" s="365"/>
      <c r="G692" s="365"/>
      <c r="H692" s="365"/>
      <c r="I692" s="365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  <c r="T692" s="365"/>
      <c r="U692" s="365"/>
      <c r="V692" s="365"/>
      <c r="W692" s="365"/>
      <c r="X692" s="365"/>
      <c r="Y692" s="365"/>
      <c r="Z692" s="365"/>
    </row>
    <row r="693" spans="1:26" ht="14.25" customHeight="1" x14ac:dyDescent="0.25">
      <c r="A693" s="365"/>
      <c r="B693" s="365"/>
      <c r="C693" s="365"/>
      <c r="D693" s="365"/>
      <c r="E693" s="365"/>
      <c r="F693" s="365"/>
      <c r="G693" s="365"/>
      <c r="H693" s="365"/>
      <c r="I693" s="365"/>
      <c r="J693" s="365"/>
      <c r="K693" s="365"/>
      <c r="L693" s="365"/>
      <c r="M693" s="365"/>
      <c r="N693" s="365"/>
      <c r="O693" s="365"/>
      <c r="P693" s="365"/>
      <c r="Q693" s="365"/>
      <c r="R693" s="365"/>
      <c r="S693" s="365"/>
      <c r="T693" s="365"/>
      <c r="U693" s="365"/>
      <c r="V693" s="365"/>
      <c r="W693" s="365"/>
      <c r="X693" s="365"/>
      <c r="Y693" s="365"/>
      <c r="Z693" s="365"/>
    </row>
    <row r="694" spans="1:26" ht="14.25" customHeight="1" x14ac:dyDescent="0.25">
      <c r="A694" s="365"/>
      <c r="B694" s="365"/>
      <c r="C694" s="365"/>
      <c r="D694" s="365"/>
      <c r="E694" s="365"/>
      <c r="F694" s="365"/>
      <c r="G694" s="365"/>
      <c r="H694" s="365"/>
      <c r="I694" s="365"/>
      <c r="J694" s="365"/>
      <c r="K694" s="365"/>
      <c r="L694" s="365"/>
      <c r="M694" s="365"/>
      <c r="N694" s="365"/>
      <c r="O694" s="365"/>
      <c r="P694" s="365"/>
      <c r="Q694" s="365"/>
      <c r="R694" s="365"/>
      <c r="S694" s="365"/>
      <c r="T694" s="365"/>
      <c r="U694" s="365"/>
      <c r="V694" s="365"/>
      <c r="W694" s="365"/>
      <c r="X694" s="365"/>
      <c r="Y694" s="365"/>
      <c r="Z694" s="365"/>
    </row>
    <row r="695" spans="1:26" ht="14.25" customHeight="1" x14ac:dyDescent="0.25">
      <c r="A695" s="365"/>
      <c r="B695" s="365"/>
      <c r="C695" s="365"/>
      <c r="D695" s="365"/>
      <c r="E695" s="365"/>
      <c r="F695" s="365"/>
      <c r="G695" s="365"/>
      <c r="H695" s="365"/>
      <c r="I695" s="365"/>
      <c r="J695" s="365"/>
      <c r="K695" s="365"/>
      <c r="L695" s="365"/>
      <c r="M695" s="365"/>
      <c r="N695" s="365"/>
      <c r="O695" s="365"/>
      <c r="P695" s="365"/>
      <c r="Q695" s="365"/>
      <c r="R695" s="365"/>
      <c r="S695" s="365"/>
      <c r="T695" s="365"/>
      <c r="U695" s="365"/>
      <c r="V695" s="365"/>
      <c r="W695" s="365"/>
      <c r="X695" s="365"/>
      <c r="Y695" s="365"/>
      <c r="Z695" s="365"/>
    </row>
    <row r="696" spans="1:26" ht="14.25" customHeight="1" x14ac:dyDescent="0.25">
      <c r="A696" s="365"/>
      <c r="B696" s="365"/>
      <c r="C696" s="365"/>
      <c r="D696" s="365"/>
      <c r="E696" s="365"/>
      <c r="F696" s="365"/>
      <c r="G696" s="365"/>
      <c r="H696" s="365"/>
      <c r="I696" s="365"/>
      <c r="J696" s="365"/>
      <c r="K696" s="365"/>
      <c r="L696" s="365"/>
      <c r="M696" s="365"/>
      <c r="N696" s="365"/>
      <c r="O696" s="365"/>
      <c r="P696" s="365"/>
      <c r="Q696" s="365"/>
      <c r="R696" s="365"/>
      <c r="S696" s="365"/>
      <c r="T696" s="365"/>
      <c r="U696" s="365"/>
      <c r="V696" s="365"/>
      <c r="W696" s="365"/>
      <c r="X696" s="365"/>
      <c r="Y696" s="365"/>
      <c r="Z696" s="365"/>
    </row>
    <row r="697" spans="1:26" ht="14.25" customHeight="1" x14ac:dyDescent="0.25">
      <c r="A697" s="365"/>
      <c r="B697" s="365"/>
      <c r="C697" s="365"/>
      <c r="D697" s="365"/>
      <c r="E697" s="365"/>
      <c r="F697" s="365"/>
      <c r="G697" s="365"/>
      <c r="H697" s="365"/>
      <c r="I697" s="365"/>
      <c r="J697" s="365"/>
      <c r="K697" s="365"/>
      <c r="L697" s="365"/>
      <c r="M697" s="365"/>
      <c r="N697" s="365"/>
      <c r="O697" s="365"/>
      <c r="P697" s="365"/>
      <c r="Q697" s="365"/>
      <c r="R697" s="365"/>
      <c r="S697" s="365"/>
      <c r="T697" s="365"/>
      <c r="U697" s="365"/>
      <c r="V697" s="365"/>
      <c r="W697" s="365"/>
      <c r="X697" s="365"/>
      <c r="Y697" s="365"/>
      <c r="Z697" s="365"/>
    </row>
    <row r="698" spans="1:26" ht="14.25" customHeight="1" x14ac:dyDescent="0.25">
      <c r="A698" s="365"/>
      <c r="B698" s="365"/>
      <c r="C698" s="365"/>
      <c r="D698" s="365"/>
      <c r="E698" s="365"/>
      <c r="F698" s="365"/>
      <c r="G698" s="365"/>
      <c r="H698" s="365"/>
      <c r="I698" s="365"/>
      <c r="J698" s="365"/>
      <c r="K698" s="365"/>
      <c r="L698" s="365"/>
      <c r="M698" s="365"/>
      <c r="N698" s="365"/>
      <c r="O698" s="365"/>
      <c r="P698" s="365"/>
      <c r="Q698" s="365"/>
      <c r="R698" s="365"/>
      <c r="S698" s="365"/>
      <c r="T698" s="365"/>
      <c r="U698" s="365"/>
      <c r="V698" s="365"/>
      <c r="W698" s="365"/>
      <c r="X698" s="365"/>
      <c r="Y698" s="365"/>
      <c r="Z698" s="365"/>
    </row>
    <row r="699" spans="1:26" ht="14.25" customHeight="1" x14ac:dyDescent="0.25">
      <c r="A699" s="365"/>
      <c r="B699" s="365"/>
      <c r="C699" s="365"/>
      <c r="D699" s="365"/>
      <c r="E699" s="365"/>
      <c r="F699" s="365"/>
      <c r="G699" s="365"/>
      <c r="H699" s="365"/>
      <c r="I699" s="365"/>
      <c r="J699" s="365"/>
      <c r="K699" s="365"/>
      <c r="L699" s="365"/>
      <c r="M699" s="365"/>
      <c r="N699" s="365"/>
      <c r="O699" s="365"/>
      <c r="P699" s="365"/>
      <c r="Q699" s="365"/>
      <c r="R699" s="365"/>
      <c r="S699" s="365"/>
      <c r="T699" s="365"/>
      <c r="U699" s="365"/>
      <c r="V699" s="365"/>
      <c r="W699" s="365"/>
      <c r="X699" s="365"/>
      <c r="Y699" s="365"/>
      <c r="Z699" s="365"/>
    </row>
    <row r="700" spans="1:26" ht="14.25" customHeight="1" x14ac:dyDescent="0.25">
      <c r="A700" s="365"/>
      <c r="B700" s="365"/>
      <c r="C700" s="365"/>
      <c r="D700" s="365"/>
      <c r="E700" s="365"/>
      <c r="F700" s="365"/>
      <c r="G700" s="365"/>
      <c r="H700" s="365"/>
      <c r="I700" s="365"/>
      <c r="J700" s="365"/>
      <c r="K700" s="365"/>
      <c r="L700" s="365"/>
      <c r="M700" s="365"/>
      <c r="N700" s="365"/>
      <c r="O700" s="365"/>
      <c r="P700" s="365"/>
      <c r="Q700" s="365"/>
      <c r="R700" s="365"/>
      <c r="S700" s="365"/>
      <c r="T700" s="365"/>
      <c r="U700" s="365"/>
      <c r="V700" s="365"/>
      <c r="W700" s="365"/>
      <c r="X700" s="365"/>
      <c r="Y700" s="365"/>
      <c r="Z700" s="365"/>
    </row>
    <row r="701" spans="1:26" ht="14.25" customHeight="1" x14ac:dyDescent="0.25">
      <c r="A701" s="365"/>
      <c r="B701" s="365"/>
      <c r="C701" s="365"/>
      <c r="D701" s="365"/>
      <c r="E701" s="365"/>
      <c r="F701" s="365"/>
      <c r="G701" s="365"/>
      <c r="H701" s="365"/>
      <c r="I701" s="365"/>
      <c r="J701" s="365"/>
      <c r="K701" s="365"/>
      <c r="L701" s="365"/>
      <c r="M701" s="365"/>
      <c r="N701" s="365"/>
      <c r="O701" s="365"/>
      <c r="P701" s="365"/>
      <c r="Q701" s="365"/>
      <c r="R701" s="365"/>
      <c r="S701" s="365"/>
      <c r="T701" s="365"/>
      <c r="U701" s="365"/>
      <c r="V701" s="365"/>
      <c r="W701" s="365"/>
      <c r="X701" s="365"/>
      <c r="Y701" s="365"/>
      <c r="Z701" s="365"/>
    </row>
    <row r="702" spans="1:26" ht="14.25" customHeight="1" x14ac:dyDescent="0.25">
      <c r="A702" s="365"/>
      <c r="B702" s="365"/>
      <c r="C702" s="365"/>
      <c r="D702" s="365"/>
      <c r="E702" s="365"/>
      <c r="F702" s="365"/>
      <c r="G702" s="365"/>
      <c r="H702" s="365"/>
      <c r="I702" s="365"/>
      <c r="J702" s="365"/>
      <c r="K702" s="365"/>
      <c r="L702" s="365"/>
      <c r="M702" s="365"/>
      <c r="N702" s="365"/>
      <c r="O702" s="365"/>
      <c r="P702" s="365"/>
      <c r="Q702" s="365"/>
      <c r="R702" s="365"/>
      <c r="S702" s="365"/>
      <c r="T702" s="365"/>
      <c r="U702" s="365"/>
      <c r="V702" s="365"/>
      <c r="W702" s="365"/>
      <c r="X702" s="365"/>
      <c r="Y702" s="365"/>
      <c r="Z702" s="365"/>
    </row>
    <row r="703" spans="1:26" ht="14.25" customHeight="1" x14ac:dyDescent="0.25">
      <c r="A703" s="365"/>
      <c r="B703" s="365"/>
      <c r="C703" s="365"/>
      <c r="D703" s="365"/>
      <c r="E703" s="365"/>
      <c r="F703" s="365"/>
      <c r="G703" s="365"/>
      <c r="H703" s="365"/>
      <c r="I703" s="365"/>
      <c r="J703" s="365"/>
      <c r="K703" s="365"/>
      <c r="L703" s="365"/>
      <c r="M703" s="365"/>
      <c r="N703" s="365"/>
      <c r="O703" s="365"/>
      <c r="P703" s="365"/>
      <c r="Q703" s="365"/>
      <c r="R703" s="365"/>
      <c r="S703" s="365"/>
      <c r="T703" s="365"/>
      <c r="U703" s="365"/>
      <c r="V703" s="365"/>
      <c r="W703" s="365"/>
      <c r="X703" s="365"/>
      <c r="Y703" s="365"/>
      <c r="Z703" s="365"/>
    </row>
    <row r="704" spans="1:26" ht="14.25" customHeight="1" x14ac:dyDescent="0.25">
      <c r="A704" s="365"/>
      <c r="B704" s="365"/>
      <c r="C704" s="365"/>
      <c r="D704" s="365"/>
      <c r="E704" s="365"/>
      <c r="F704" s="365"/>
      <c r="G704" s="365"/>
      <c r="H704" s="365"/>
      <c r="I704" s="365"/>
      <c r="J704" s="365"/>
      <c r="K704" s="365"/>
      <c r="L704" s="365"/>
      <c r="M704" s="365"/>
      <c r="N704" s="365"/>
      <c r="O704" s="365"/>
      <c r="P704" s="365"/>
      <c r="Q704" s="365"/>
      <c r="R704" s="365"/>
      <c r="S704" s="365"/>
      <c r="T704" s="365"/>
      <c r="U704" s="365"/>
      <c r="V704" s="365"/>
      <c r="W704" s="365"/>
      <c r="X704" s="365"/>
      <c r="Y704" s="365"/>
      <c r="Z704" s="365"/>
    </row>
    <row r="705" spans="1:26" ht="14.25" customHeight="1" x14ac:dyDescent="0.25">
      <c r="A705" s="365"/>
      <c r="B705" s="365"/>
      <c r="C705" s="365"/>
      <c r="D705" s="365"/>
      <c r="E705" s="365"/>
      <c r="F705" s="365"/>
      <c r="G705" s="365"/>
      <c r="H705" s="365"/>
      <c r="I705" s="365"/>
      <c r="J705" s="365"/>
      <c r="K705" s="365"/>
      <c r="L705" s="365"/>
      <c r="M705" s="365"/>
      <c r="N705" s="365"/>
      <c r="O705" s="365"/>
      <c r="P705" s="365"/>
      <c r="Q705" s="365"/>
      <c r="R705" s="365"/>
      <c r="S705" s="365"/>
      <c r="T705" s="365"/>
      <c r="U705" s="365"/>
      <c r="V705" s="365"/>
      <c r="W705" s="365"/>
      <c r="X705" s="365"/>
      <c r="Y705" s="365"/>
      <c r="Z705" s="365"/>
    </row>
    <row r="706" spans="1:26" ht="14.25" customHeight="1" x14ac:dyDescent="0.25">
      <c r="A706" s="365"/>
      <c r="B706" s="365"/>
      <c r="C706" s="365"/>
      <c r="D706" s="365"/>
      <c r="E706" s="365"/>
      <c r="F706" s="365"/>
      <c r="G706" s="365"/>
      <c r="H706" s="365"/>
      <c r="I706" s="365"/>
      <c r="J706" s="365"/>
      <c r="K706" s="365"/>
      <c r="L706" s="365"/>
      <c r="M706" s="365"/>
      <c r="N706" s="365"/>
      <c r="O706" s="365"/>
      <c r="P706" s="365"/>
      <c r="Q706" s="365"/>
      <c r="R706" s="365"/>
      <c r="S706" s="365"/>
      <c r="T706" s="365"/>
      <c r="U706" s="365"/>
      <c r="V706" s="365"/>
      <c r="W706" s="365"/>
      <c r="X706" s="365"/>
      <c r="Y706" s="365"/>
      <c r="Z706" s="365"/>
    </row>
    <row r="707" spans="1:26" ht="14.25" customHeight="1" x14ac:dyDescent="0.25">
      <c r="A707" s="365"/>
      <c r="B707" s="365"/>
      <c r="C707" s="365"/>
      <c r="D707" s="365"/>
      <c r="E707" s="365"/>
      <c r="F707" s="365"/>
      <c r="G707" s="365"/>
      <c r="H707" s="365"/>
      <c r="I707" s="365"/>
      <c r="J707" s="365"/>
      <c r="K707" s="365"/>
      <c r="L707" s="365"/>
      <c r="M707" s="365"/>
      <c r="N707" s="365"/>
      <c r="O707" s="365"/>
      <c r="P707" s="365"/>
      <c r="Q707" s="365"/>
      <c r="R707" s="365"/>
      <c r="S707" s="365"/>
      <c r="T707" s="365"/>
      <c r="U707" s="365"/>
      <c r="V707" s="365"/>
      <c r="W707" s="365"/>
      <c r="X707" s="365"/>
      <c r="Y707" s="365"/>
      <c r="Z707" s="365"/>
    </row>
    <row r="708" spans="1:26" ht="14.25" customHeight="1" x14ac:dyDescent="0.25">
      <c r="A708" s="365"/>
      <c r="B708" s="365"/>
      <c r="C708" s="365"/>
      <c r="D708" s="365"/>
      <c r="E708" s="365"/>
      <c r="F708" s="365"/>
      <c r="G708" s="365"/>
      <c r="H708" s="365"/>
      <c r="I708" s="365"/>
      <c r="J708" s="365"/>
      <c r="K708" s="365"/>
      <c r="L708" s="365"/>
      <c r="M708" s="365"/>
      <c r="N708" s="365"/>
      <c r="O708" s="365"/>
      <c r="P708" s="365"/>
      <c r="Q708" s="365"/>
      <c r="R708" s="365"/>
      <c r="S708" s="365"/>
      <c r="T708" s="365"/>
      <c r="U708" s="365"/>
      <c r="V708" s="365"/>
      <c r="W708" s="365"/>
      <c r="X708" s="365"/>
      <c r="Y708" s="365"/>
      <c r="Z708" s="365"/>
    </row>
    <row r="709" spans="1:26" ht="14.25" customHeight="1" x14ac:dyDescent="0.25">
      <c r="A709" s="365"/>
      <c r="B709" s="365"/>
      <c r="C709" s="365"/>
      <c r="D709" s="365"/>
      <c r="E709" s="365"/>
      <c r="F709" s="365"/>
      <c r="G709" s="365"/>
      <c r="H709" s="365"/>
      <c r="I709" s="365"/>
      <c r="J709" s="365"/>
      <c r="K709" s="365"/>
      <c r="L709" s="365"/>
      <c r="M709" s="365"/>
      <c r="N709" s="365"/>
      <c r="O709" s="365"/>
      <c r="P709" s="365"/>
      <c r="Q709" s="365"/>
      <c r="R709" s="365"/>
      <c r="S709" s="365"/>
      <c r="T709" s="365"/>
      <c r="U709" s="365"/>
      <c r="V709" s="365"/>
      <c r="W709" s="365"/>
      <c r="X709" s="365"/>
      <c r="Y709" s="365"/>
      <c r="Z709" s="365"/>
    </row>
    <row r="710" spans="1:26" ht="14.25" customHeight="1" x14ac:dyDescent="0.25">
      <c r="A710" s="365"/>
      <c r="B710" s="365"/>
      <c r="C710" s="365"/>
      <c r="D710" s="365"/>
      <c r="E710" s="365"/>
      <c r="F710" s="365"/>
      <c r="G710" s="365"/>
      <c r="H710" s="365"/>
      <c r="I710" s="365"/>
      <c r="J710" s="365"/>
      <c r="K710" s="365"/>
      <c r="L710" s="365"/>
      <c r="M710" s="365"/>
      <c r="N710" s="365"/>
      <c r="O710" s="365"/>
      <c r="P710" s="365"/>
      <c r="Q710" s="365"/>
      <c r="R710" s="365"/>
      <c r="S710" s="365"/>
      <c r="T710" s="365"/>
      <c r="U710" s="365"/>
      <c r="V710" s="365"/>
      <c r="W710" s="365"/>
      <c r="X710" s="365"/>
      <c r="Y710" s="365"/>
      <c r="Z710" s="365"/>
    </row>
    <row r="711" spans="1:26" ht="14.25" customHeight="1" x14ac:dyDescent="0.25">
      <c r="A711" s="365"/>
      <c r="B711" s="365"/>
      <c r="C711" s="365"/>
      <c r="D711" s="365"/>
      <c r="E711" s="365"/>
      <c r="F711" s="365"/>
      <c r="G711" s="365"/>
      <c r="H711" s="365"/>
      <c r="I711" s="365"/>
      <c r="J711" s="365"/>
      <c r="K711" s="365"/>
      <c r="L711" s="365"/>
      <c r="M711" s="365"/>
      <c r="N711" s="365"/>
      <c r="O711" s="365"/>
      <c r="P711" s="365"/>
      <c r="Q711" s="365"/>
      <c r="R711" s="365"/>
      <c r="S711" s="365"/>
      <c r="T711" s="365"/>
      <c r="U711" s="365"/>
      <c r="V711" s="365"/>
      <c r="W711" s="365"/>
      <c r="X711" s="365"/>
      <c r="Y711" s="365"/>
      <c r="Z711" s="365"/>
    </row>
    <row r="712" spans="1:26" ht="14.25" customHeight="1" x14ac:dyDescent="0.25">
      <c r="A712" s="365"/>
      <c r="B712" s="365"/>
      <c r="C712" s="365"/>
      <c r="D712" s="365"/>
      <c r="E712" s="365"/>
      <c r="F712" s="365"/>
      <c r="G712" s="365"/>
      <c r="H712" s="365"/>
      <c r="I712" s="365"/>
      <c r="J712" s="365"/>
      <c r="K712" s="365"/>
      <c r="L712" s="365"/>
      <c r="M712" s="365"/>
      <c r="N712" s="365"/>
      <c r="O712" s="365"/>
      <c r="P712" s="365"/>
      <c r="Q712" s="365"/>
      <c r="R712" s="365"/>
      <c r="S712" s="365"/>
      <c r="T712" s="365"/>
      <c r="U712" s="365"/>
      <c r="V712" s="365"/>
      <c r="W712" s="365"/>
      <c r="X712" s="365"/>
      <c r="Y712" s="365"/>
      <c r="Z712" s="365"/>
    </row>
    <row r="713" spans="1:26" ht="14.25" customHeight="1" x14ac:dyDescent="0.25">
      <c r="A713" s="365"/>
      <c r="B713" s="365"/>
      <c r="C713" s="365"/>
      <c r="D713" s="365"/>
      <c r="E713" s="365"/>
      <c r="F713" s="365"/>
      <c r="G713" s="365"/>
      <c r="H713" s="365"/>
      <c r="I713" s="365"/>
      <c r="J713" s="365"/>
      <c r="K713" s="365"/>
      <c r="L713" s="365"/>
      <c r="M713" s="365"/>
      <c r="N713" s="365"/>
      <c r="O713" s="365"/>
      <c r="P713" s="365"/>
      <c r="Q713" s="365"/>
      <c r="R713" s="365"/>
      <c r="S713" s="365"/>
      <c r="T713" s="365"/>
      <c r="U713" s="365"/>
      <c r="V713" s="365"/>
      <c r="W713" s="365"/>
      <c r="X713" s="365"/>
      <c r="Y713" s="365"/>
      <c r="Z713" s="365"/>
    </row>
    <row r="714" spans="1:26" ht="14.25" customHeight="1" x14ac:dyDescent="0.25">
      <c r="A714" s="365"/>
      <c r="B714" s="365"/>
      <c r="C714" s="365"/>
      <c r="D714" s="365"/>
      <c r="E714" s="365"/>
      <c r="F714" s="365"/>
      <c r="G714" s="365"/>
      <c r="H714" s="365"/>
      <c r="I714" s="365"/>
      <c r="J714" s="365"/>
      <c r="K714" s="365"/>
      <c r="L714" s="365"/>
      <c r="M714" s="365"/>
      <c r="N714" s="365"/>
      <c r="O714" s="365"/>
      <c r="P714" s="365"/>
      <c r="Q714" s="365"/>
      <c r="R714" s="365"/>
      <c r="S714" s="365"/>
      <c r="T714" s="365"/>
      <c r="U714" s="365"/>
      <c r="V714" s="365"/>
      <c r="W714" s="365"/>
      <c r="X714" s="365"/>
      <c r="Y714" s="365"/>
      <c r="Z714" s="365"/>
    </row>
    <row r="715" spans="1:26" ht="14.25" customHeight="1" x14ac:dyDescent="0.25">
      <c r="A715" s="365"/>
      <c r="B715" s="365"/>
      <c r="C715" s="365"/>
      <c r="D715" s="365"/>
      <c r="E715" s="365"/>
      <c r="F715" s="365"/>
      <c r="G715" s="365"/>
      <c r="H715" s="365"/>
      <c r="I715" s="365"/>
      <c r="J715" s="365"/>
      <c r="K715" s="365"/>
      <c r="L715" s="365"/>
      <c r="M715" s="365"/>
      <c r="N715" s="365"/>
      <c r="O715" s="365"/>
      <c r="P715" s="365"/>
      <c r="Q715" s="365"/>
      <c r="R715" s="365"/>
      <c r="S715" s="365"/>
      <c r="T715" s="365"/>
      <c r="U715" s="365"/>
      <c r="V715" s="365"/>
      <c r="W715" s="365"/>
      <c r="X715" s="365"/>
      <c r="Y715" s="365"/>
      <c r="Z715" s="365"/>
    </row>
    <row r="716" spans="1:26" ht="14.25" customHeight="1" x14ac:dyDescent="0.25">
      <c r="A716" s="365"/>
      <c r="B716" s="365"/>
      <c r="C716" s="365"/>
      <c r="D716" s="365"/>
      <c r="E716" s="365"/>
      <c r="F716" s="365"/>
      <c r="G716" s="365"/>
      <c r="H716" s="365"/>
      <c r="I716" s="365"/>
      <c r="J716" s="365"/>
      <c r="K716" s="365"/>
      <c r="L716" s="365"/>
      <c r="M716" s="365"/>
      <c r="N716" s="365"/>
      <c r="O716" s="365"/>
      <c r="P716" s="365"/>
      <c r="Q716" s="365"/>
      <c r="R716" s="365"/>
      <c r="S716" s="365"/>
      <c r="T716" s="365"/>
      <c r="U716" s="365"/>
      <c r="V716" s="365"/>
      <c r="W716" s="365"/>
      <c r="X716" s="365"/>
      <c r="Y716" s="365"/>
      <c r="Z716" s="365"/>
    </row>
    <row r="717" spans="1:26" ht="14.25" customHeight="1" x14ac:dyDescent="0.25">
      <c r="A717" s="365"/>
      <c r="B717" s="365"/>
      <c r="C717" s="365"/>
      <c r="D717" s="365"/>
      <c r="E717" s="365"/>
      <c r="F717" s="365"/>
      <c r="G717" s="365"/>
      <c r="H717" s="365"/>
      <c r="I717" s="365"/>
      <c r="J717" s="365"/>
      <c r="K717" s="365"/>
      <c r="L717" s="365"/>
      <c r="M717" s="365"/>
      <c r="N717" s="365"/>
      <c r="O717" s="365"/>
      <c r="P717" s="365"/>
      <c r="Q717" s="365"/>
      <c r="R717" s="365"/>
      <c r="S717" s="365"/>
      <c r="T717" s="365"/>
      <c r="U717" s="365"/>
      <c r="V717" s="365"/>
      <c r="W717" s="365"/>
      <c r="X717" s="365"/>
      <c r="Y717" s="365"/>
      <c r="Z717" s="365"/>
    </row>
    <row r="718" spans="1:26" ht="14.25" customHeight="1" x14ac:dyDescent="0.25">
      <c r="A718" s="365"/>
      <c r="B718" s="365"/>
      <c r="C718" s="365"/>
      <c r="D718" s="365"/>
      <c r="E718" s="365"/>
      <c r="F718" s="365"/>
      <c r="G718" s="365"/>
      <c r="H718" s="365"/>
      <c r="I718" s="365"/>
      <c r="J718" s="365"/>
      <c r="K718" s="365"/>
      <c r="L718" s="365"/>
      <c r="M718" s="365"/>
      <c r="N718" s="365"/>
      <c r="O718" s="365"/>
      <c r="P718" s="365"/>
      <c r="Q718" s="365"/>
      <c r="R718" s="365"/>
      <c r="S718" s="365"/>
      <c r="T718" s="365"/>
      <c r="U718" s="365"/>
      <c r="V718" s="365"/>
      <c r="W718" s="365"/>
      <c r="X718" s="365"/>
      <c r="Y718" s="365"/>
      <c r="Z718" s="365"/>
    </row>
    <row r="719" spans="1:26" ht="14.25" customHeight="1" x14ac:dyDescent="0.25">
      <c r="A719" s="365"/>
      <c r="B719" s="365"/>
      <c r="C719" s="365"/>
      <c r="D719" s="365"/>
      <c r="E719" s="365"/>
      <c r="F719" s="365"/>
      <c r="G719" s="365"/>
      <c r="H719" s="365"/>
      <c r="I719" s="365"/>
      <c r="J719" s="365"/>
      <c r="K719" s="365"/>
      <c r="L719" s="365"/>
      <c r="M719" s="365"/>
      <c r="N719" s="365"/>
      <c r="O719" s="365"/>
      <c r="P719" s="365"/>
      <c r="Q719" s="365"/>
      <c r="R719" s="365"/>
      <c r="S719" s="365"/>
      <c r="T719" s="365"/>
      <c r="U719" s="365"/>
      <c r="V719" s="365"/>
      <c r="W719" s="365"/>
      <c r="X719" s="365"/>
      <c r="Y719" s="365"/>
      <c r="Z719" s="365"/>
    </row>
    <row r="720" spans="1:26" ht="14.25" customHeight="1" x14ac:dyDescent="0.25">
      <c r="A720" s="365"/>
      <c r="B720" s="365"/>
      <c r="C720" s="365"/>
      <c r="D720" s="365"/>
      <c r="E720" s="365"/>
      <c r="F720" s="365"/>
      <c r="G720" s="365"/>
      <c r="H720" s="365"/>
      <c r="I720" s="365"/>
      <c r="J720" s="365"/>
      <c r="K720" s="365"/>
      <c r="L720" s="365"/>
      <c r="M720" s="365"/>
      <c r="N720" s="365"/>
      <c r="O720" s="365"/>
      <c r="P720" s="365"/>
      <c r="Q720" s="365"/>
      <c r="R720" s="365"/>
      <c r="S720" s="365"/>
      <c r="T720" s="365"/>
      <c r="U720" s="365"/>
      <c r="V720" s="365"/>
      <c r="W720" s="365"/>
      <c r="X720" s="365"/>
      <c r="Y720" s="365"/>
      <c r="Z720" s="365"/>
    </row>
    <row r="721" spans="1:26" ht="14.25" customHeight="1" x14ac:dyDescent="0.25">
      <c r="A721" s="365"/>
      <c r="B721" s="365"/>
      <c r="C721" s="365"/>
      <c r="D721" s="365"/>
      <c r="E721" s="365"/>
      <c r="F721" s="365"/>
      <c r="G721" s="365"/>
      <c r="H721" s="365"/>
      <c r="I721" s="365"/>
      <c r="J721" s="365"/>
      <c r="K721" s="365"/>
      <c r="L721" s="365"/>
      <c r="M721" s="365"/>
      <c r="N721" s="365"/>
      <c r="O721" s="365"/>
      <c r="P721" s="365"/>
      <c r="Q721" s="365"/>
      <c r="R721" s="365"/>
      <c r="S721" s="365"/>
      <c r="T721" s="365"/>
      <c r="U721" s="365"/>
      <c r="V721" s="365"/>
      <c r="W721" s="365"/>
      <c r="X721" s="365"/>
      <c r="Y721" s="365"/>
      <c r="Z721" s="365"/>
    </row>
    <row r="722" spans="1:26" ht="14.25" customHeight="1" x14ac:dyDescent="0.25">
      <c r="A722" s="365"/>
      <c r="B722" s="365"/>
      <c r="C722" s="365"/>
      <c r="D722" s="365"/>
      <c r="E722" s="365"/>
      <c r="F722" s="365"/>
      <c r="G722" s="365"/>
      <c r="H722" s="365"/>
      <c r="I722" s="365"/>
      <c r="J722" s="365"/>
      <c r="K722" s="365"/>
      <c r="L722" s="365"/>
      <c r="M722" s="365"/>
      <c r="N722" s="365"/>
      <c r="O722" s="365"/>
      <c r="P722" s="365"/>
      <c r="Q722" s="365"/>
      <c r="R722" s="365"/>
      <c r="S722" s="365"/>
      <c r="T722" s="365"/>
      <c r="U722" s="365"/>
      <c r="V722" s="365"/>
      <c r="W722" s="365"/>
      <c r="X722" s="365"/>
      <c r="Y722" s="365"/>
      <c r="Z722" s="365"/>
    </row>
    <row r="723" spans="1:26" ht="14.25" customHeight="1" x14ac:dyDescent="0.25">
      <c r="A723" s="365"/>
      <c r="B723" s="365"/>
      <c r="C723" s="365"/>
      <c r="D723" s="365"/>
      <c r="E723" s="365"/>
      <c r="F723" s="365"/>
      <c r="G723" s="365"/>
      <c r="H723" s="365"/>
      <c r="I723" s="365"/>
      <c r="J723" s="365"/>
      <c r="K723" s="365"/>
      <c r="L723" s="365"/>
      <c r="M723" s="365"/>
      <c r="N723" s="365"/>
      <c r="O723" s="365"/>
      <c r="P723" s="365"/>
      <c r="Q723" s="365"/>
      <c r="R723" s="365"/>
      <c r="S723" s="365"/>
      <c r="T723" s="365"/>
      <c r="U723" s="365"/>
      <c r="V723" s="365"/>
      <c r="W723" s="365"/>
      <c r="X723" s="365"/>
      <c r="Y723" s="365"/>
      <c r="Z723" s="365"/>
    </row>
    <row r="724" spans="1:26" ht="14.25" customHeight="1" x14ac:dyDescent="0.25">
      <c r="A724" s="365"/>
      <c r="B724" s="365"/>
      <c r="C724" s="365"/>
      <c r="D724" s="365"/>
      <c r="E724" s="365"/>
      <c r="F724" s="365"/>
      <c r="G724" s="365"/>
      <c r="H724" s="365"/>
      <c r="I724" s="365"/>
      <c r="J724" s="365"/>
      <c r="K724" s="365"/>
      <c r="L724" s="365"/>
      <c r="M724" s="365"/>
      <c r="N724" s="365"/>
      <c r="O724" s="365"/>
      <c r="P724" s="365"/>
      <c r="Q724" s="365"/>
      <c r="R724" s="365"/>
      <c r="S724" s="365"/>
      <c r="T724" s="365"/>
      <c r="U724" s="365"/>
      <c r="V724" s="365"/>
      <c r="W724" s="365"/>
      <c r="X724" s="365"/>
      <c r="Y724" s="365"/>
      <c r="Z724" s="365"/>
    </row>
    <row r="725" spans="1:26" ht="14.25" customHeight="1" x14ac:dyDescent="0.25">
      <c r="A725" s="365"/>
      <c r="B725" s="365"/>
      <c r="C725" s="365"/>
      <c r="D725" s="365"/>
      <c r="E725" s="365"/>
      <c r="F725" s="365"/>
      <c r="G725" s="365"/>
      <c r="H725" s="365"/>
      <c r="I725" s="365"/>
      <c r="J725" s="365"/>
      <c r="K725" s="365"/>
      <c r="L725" s="365"/>
      <c r="M725" s="365"/>
      <c r="N725" s="365"/>
      <c r="O725" s="365"/>
      <c r="P725" s="365"/>
      <c r="Q725" s="365"/>
      <c r="R725" s="365"/>
      <c r="S725" s="365"/>
      <c r="T725" s="365"/>
      <c r="U725" s="365"/>
      <c r="V725" s="365"/>
      <c r="W725" s="365"/>
      <c r="X725" s="365"/>
      <c r="Y725" s="365"/>
      <c r="Z725" s="365"/>
    </row>
    <row r="726" spans="1:26" ht="14.25" customHeight="1" x14ac:dyDescent="0.25">
      <c r="A726" s="365"/>
      <c r="B726" s="365"/>
      <c r="C726" s="365"/>
      <c r="D726" s="365"/>
      <c r="E726" s="365"/>
      <c r="F726" s="365"/>
      <c r="G726" s="365"/>
      <c r="H726" s="365"/>
      <c r="I726" s="365"/>
      <c r="J726" s="365"/>
      <c r="K726" s="365"/>
      <c r="L726" s="365"/>
      <c r="M726" s="365"/>
      <c r="N726" s="365"/>
      <c r="O726" s="365"/>
      <c r="P726" s="365"/>
      <c r="Q726" s="365"/>
      <c r="R726" s="365"/>
      <c r="S726" s="365"/>
      <c r="T726" s="365"/>
      <c r="U726" s="365"/>
      <c r="V726" s="365"/>
      <c r="W726" s="365"/>
      <c r="X726" s="365"/>
      <c r="Y726" s="365"/>
      <c r="Z726" s="365"/>
    </row>
    <row r="727" spans="1:26" ht="14.25" customHeight="1" x14ac:dyDescent="0.25">
      <c r="A727" s="365"/>
      <c r="B727" s="365"/>
      <c r="C727" s="365"/>
      <c r="D727" s="365"/>
      <c r="E727" s="365"/>
      <c r="F727" s="365"/>
      <c r="G727" s="365"/>
      <c r="H727" s="365"/>
      <c r="I727" s="365"/>
      <c r="J727" s="365"/>
      <c r="K727" s="365"/>
      <c r="L727" s="365"/>
      <c r="M727" s="365"/>
      <c r="N727" s="365"/>
      <c r="O727" s="365"/>
      <c r="P727" s="365"/>
      <c r="Q727" s="365"/>
      <c r="R727" s="365"/>
      <c r="S727" s="365"/>
      <c r="T727" s="365"/>
      <c r="U727" s="365"/>
      <c r="V727" s="365"/>
      <c r="W727" s="365"/>
      <c r="X727" s="365"/>
      <c r="Y727" s="365"/>
      <c r="Z727" s="365"/>
    </row>
    <row r="728" spans="1:26" ht="14.25" customHeight="1" x14ac:dyDescent="0.25">
      <c r="A728" s="365"/>
      <c r="B728" s="365"/>
      <c r="C728" s="365"/>
      <c r="D728" s="365"/>
      <c r="E728" s="365"/>
      <c r="F728" s="365"/>
      <c r="G728" s="365"/>
      <c r="H728" s="365"/>
      <c r="I728" s="365"/>
      <c r="J728" s="365"/>
      <c r="K728" s="365"/>
      <c r="L728" s="365"/>
      <c r="M728" s="365"/>
      <c r="N728" s="365"/>
      <c r="O728" s="365"/>
      <c r="P728" s="365"/>
      <c r="Q728" s="365"/>
      <c r="R728" s="365"/>
      <c r="S728" s="365"/>
      <c r="T728" s="365"/>
      <c r="U728" s="365"/>
      <c r="V728" s="365"/>
      <c r="W728" s="365"/>
      <c r="X728" s="365"/>
      <c r="Y728" s="365"/>
      <c r="Z728" s="365"/>
    </row>
    <row r="729" spans="1:26" ht="14.25" customHeight="1" x14ac:dyDescent="0.25">
      <c r="A729" s="365"/>
      <c r="B729" s="365"/>
      <c r="C729" s="365"/>
      <c r="D729" s="365"/>
      <c r="E729" s="365"/>
      <c r="F729" s="365"/>
      <c r="G729" s="365"/>
      <c r="H729" s="365"/>
      <c r="I729" s="365"/>
      <c r="J729" s="365"/>
      <c r="K729" s="365"/>
      <c r="L729" s="365"/>
      <c r="M729" s="365"/>
      <c r="N729" s="365"/>
      <c r="O729" s="365"/>
      <c r="P729" s="365"/>
      <c r="Q729" s="365"/>
      <c r="R729" s="365"/>
      <c r="S729" s="365"/>
      <c r="T729" s="365"/>
      <c r="U729" s="365"/>
      <c r="V729" s="365"/>
      <c r="W729" s="365"/>
      <c r="X729" s="365"/>
      <c r="Y729" s="365"/>
      <c r="Z729" s="365"/>
    </row>
    <row r="730" spans="1:26" ht="14.25" customHeight="1" x14ac:dyDescent="0.25">
      <c r="A730" s="365"/>
      <c r="B730" s="365"/>
      <c r="C730" s="365"/>
      <c r="D730" s="365"/>
      <c r="E730" s="365"/>
      <c r="F730" s="365"/>
      <c r="G730" s="365"/>
      <c r="H730" s="365"/>
      <c r="I730" s="365"/>
      <c r="J730" s="365"/>
      <c r="K730" s="365"/>
      <c r="L730" s="365"/>
      <c r="M730" s="365"/>
      <c r="N730" s="365"/>
      <c r="O730" s="365"/>
      <c r="P730" s="365"/>
      <c r="Q730" s="365"/>
      <c r="R730" s="365"/>
      <c r="S730" s="365"/>
      <c r="T730" s="365"/>
      <c r="U730" s="365"/>
      <c r="V730" s="365"/>
      <c r="W730" s="365"/>
      <c r="X730" s="365"/>
      <c r="Y730" s="365"/>
      <c r="Z730" s="365"/>
    </row>
    <row r="731" spans="1:26" ht="14.25" customHeight="1" x14ac:dyDescent="0.25">
      <c r="A731" s="365"/>
      <c r="B731" s="365"/>
      <c r="C731" s="365"/>
      <c r="D731" s="365"/>
      <c r="E731" s="365"/>
      <c r="F731" s="365"/>
      <c r="G731" s="365"/>
      <c r="H731" s="365"/>
      <c r="I731" s="365"/>
      <c r="J731" s="365"/>
      <c r="K731" s="365"/>
      <c r="L731" s="365"/>
      <c r="M731" s="365"/>
      <c r="N731" s="365"/>
      <c r="O731" s="365"/>
      <c r="P731" s="365"/>
      <c r="Q731" s="365"/>
      <c r="R731" s="365"/>
      <c r="S731" s="365"/>
      <c r="T731" s="365"/>
      <c r="U731" s="365"/>
      <c r="V731" s="365"/>
      <c r="W731" s="365"/>
      <c r="X731" s="365"/>
      <c r="Y731" s="365"/>
      <c r="Z731" s="365"/>
    </row>
    <row r="732" spans="1:26" ht="14.25" customHeight="1" x14ac:dyDescent="0.25">
      <c r="A732" s="365"/>
      <c r="B732" s="365"/>
      <c r="C732" s="365"/>
      <c r="D732" s="365"/>
      <c r="E732" s="365"/>
      <c r="F732" s="365"/>
      <c r="G732" s="365"/>
      <c r="H732" s="365"/>
      <c r="I732" s="365"/>
      <c r="J732" s="365"/>
      <c r="K732" s="365"/>
      <c r="L732" s="365"/>
      <c r="M732" s="365"/>
      <c r="N732" s="365"/>
      <c r="O732" s="365"/>
      <c r="P732" s="365"/>
      <c r="Q732" s="365"/>
      <c r="R732" s="365"/>
      <c r="S732" s="365"/>
      <c r="T732" s="365"/>
      <c r="U732" s="365"/>
      <c r="V732" s="365"/>
      <c r="W732" s="365"/>
      <c r="X732" s="365"/>
      <c r="Y732" s="365"/>
      <c r="Z732" s="365"/>
    </row>
    <row r="733" spans="1:26" ht="14.25" customHeight="1" x14ac:dyDescent="0.25">
      <c r="A733" s="365"/>
      <c r="B733" s="365"/>
      <c r="C733" s="365"/>
      <c r="D733" s="365"/>
      <c r="E733" s="365"/>
      <c r="F733" s="365"/>
      <c r="G733" s="365"/>
      <c r="H733" s="365"/>
      <c r="I733" s="365"/>
      <c r="J733" s="365"/>
      <c r="K733" s="365"/>
      <c r="L733" s="365"/>
      <c r="M733" s="365"/>
      <c r="N733" s="365"/>
      <c r="O733" s="365"/>
      <c r="P733" s="365"/>
      <c r="Q733" s="365"/>
      <c r="R733" s="365"/>
      <c r="S733" s="365"/>
      <c r="T733" s="365"/>
      <c r="U733" s="365"/>
      <c r="V733" s="365"/>
      <c r="W733" s="365"/>
      <c r="X733" s="365"/>
      <c r="Y733" s="365"/>
      <c r="Z733" s="365"/>
    </row>
    <row r="734" spans="1:26" ht="14.25" customHeight="1" x14ac:dyDescent="0.25">
      <c r="A734" s="365"/>
      <c r="B734" s="365"/>
      <c r="C734" s="365"/>
      <c r="D734" s="365"/>
      <c r="E734" s="365"/>
      <c r="F734" s="365"/>
      <c r="G734" s="365"/>
      <c r="H734" s="365"/>
      <c r="I734" s="365"/>
      <c r="J734" s="365"/>
      <c r="K734" s="365"/>
      <c r="L734" s="365"/>
      <c r="M734" s="365"/>
      <c r="N734" s="365"/>
      <c r="O734" s="365"/>
      <c r="P734" s="365"/>
      <c r="Q734" s="365"/>
      <c r="R734" s="365"/>
      <c r="S734" s="365"/>
      <c r="T734" s="365"/>
      <c r="U734" s="365"/>
      <c r="V734" s="365"/>
      <c r="W734" s="365"/>
      <c r="X734" s="365"/>
      <c r="Y734" s="365"/>
      <c r="Z734" s="365"/>
    </row>
    <row r="735" spans="1:26" ht="14.25" customHeight="1" x14ac:dyDescent="0.25">
      <c r="A735" s="365"/>
      <c r="B735" s="365"/>
      <c r="C735" s="365"/>
      <c r="D735" s="365"/>
      <c r="E735" s="365"/>
      <c r="F735" s="365"/>
      <c r="G735" s="365"/>
      <c r="H735" s="365"/>
      <c r="I735" s="365"/>
      <c r="J735" s="365"/>
      <c r="K735" s="365"/>
      <c r="L735" s="365"/>
      <c r="M735" s="365"/>
      <c r="N735" s="365"/>
      <c r="O735" s="365"/>
      <c r="P735" s="365"/>
      <c r="Q735" s="365"/>
      <c r="R735" s="365"/>
      <c r="S735" s="365"/>
      <c r="T735" s="365"/>
      <c r="U735" s="365"/>
      <c r="V735" s="365"/>
      <c r="W735" s="365"/>
      <c r="X735" s="365"/>
      <c r="Y735" s="365"/>
      <c r="Z735" s="365"/>
    </row>
    <row r="736" spans="1:26" ht="14.25" customHeight="1" x14ac:dyDescent="0.25">
      <c r="A736" s="365"/>
      <c r="B736" s="365"/>
      <c r="C736" s="365"/>
      <c r="D736" s="365"/>
      <c r="E736" s="365"/>
      <c r="F736" s="365"/>
      <c r="G736" s="365"/>
      <c r="H736" s="365"/>
      <c r="I736" s="365"/>
      <c r="J736" s="365"/>
      <c r="K736" s="365"/>
      <c r="L736" s="365"/>
      <c r="M736" s="365"/>
      <c r="N736" s="365"/>
      <c r="O736" s="365"/>
      <c r="P736" s="365"/>
      <c r="Q736" s="365"/>
      <c r="R736" s="365"/>
      <c r="S736" s="365"/>
      <c r="T736" s="365"/>
      <c r="U736" s="365"/>
      <c r="V736" s="365"/>
      <c r="W736" s="365"/>
      <c r="X736" s="365"/>
      <c r="Y736" s="365"/>
      <c r="Z736" s="365"/>
    </row>
    <row r="737" spans="1:26" ht="14.25" customHeight="1" x14ac:dyDescent="0.25">
      <c r="A737" s="365"/>
      <c r="B737" s="365"/>
      <c r="C737" s="365"/>
      <c r="D737" s="365"/>
      <c r="E737" s="365"/>
      <c r="F737" s="365"/>
      <c r="G737" s="365"/>
      <c r="H737" s="365"/>
      <c r="I737" s="365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  <c r="T737" s="365"/>
      <c r="U737" s="365"/>
      <c r="V737" s="365"/>
      <c r="W737" s="365"/>
      <c r="X737" s="365"/>
      <c r="Y737" s="365"/>
      <c r="Z737" s="365"/>
    </row>
    <row r="738" spans="1:26" ht="14.25" customHeight="1" x14ac:dyDescent="0.25">
      <c r="A738" s="365"/>
      <c r="B738" s="365"/>
      <c r="C738" s="365"/>
      <c r="D738" s="365"/>
      <c r="E738" s="365"/>
      <c r="F738" s="365"/>
      <c r="G738" s="365"/>
      <c r="H738" s="365"/>
      <c r="I738" s="365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  <c r="T738" s="365"/>
      <c r="U738" s="365"/>
      <c r="V738" s="365"/>
      <c r="W738" s="365"/>
      <c r="X738" s="365"/>
      <c r="Y738" s="365"/>
      <c r="Z738" s="365"/>
    </row>
    <row r="739" spans="1:26" ht="14.25" customHeight="1" x14ac:dyDescent="0.25">
      <c r="A739" s="365"/>
      <c r="B739" s="365"/>
      <c r="C739" s="365"/>
      <c r="D739" s="365"/>
      <c r="E739" s="365"/>
      <c r="F739" s="365"/>
      <c r="G739" s="365"/>
      <c r="H739" s="365"/>
      <c r="I739" s="365"/>
      <c r="J739" s="365"/>
      <c r="K739" s="365"/>
      <c r="L739" s="365"/>
      <c r="M739" s="365"/>
      <c r="N739" s="365"/>
      <c r="O739" s="365"/>
      <c r="P739" s="365"/>
      <c r="Q739" s="365"/>
      <c r="R739" s="365"/>
      <c r="S739" s="365"/>
      <c r="T739" s="365"/>
      <c r="U739" s="365"/>
      <c r="V739" s="365"/>
      <c r="W739" s="365"/>
      <c r="X739" s="365"/>
      <c r="Y739" s="365"/>
      <c r="Z739" s="365"/>
    </row>
    <row r="740" spans="1:26" ht="14.25" customHeight="1" x14ac:dyDescent="0.25">
      <c r="A740" s="365"/>
      <c r="B740" s="365"/>
      <c r="C740" s="365"/>
      <c r="D740" s="365"/>
      <c r="E740" s="365"/>
      <c r="F740" s="365"/>
      <c r="G740" s="365"/>
      <c r="H740" s="365"/>
      <c r="I740" s="365"/>
      <c r="J740" s="365"/>
      <c r="K740" s="365"/>
      <c r="L740" s="365"/>
      <c r="M740" s="365"/>
      <c r="N740" s="365"/>
      <c r="O740" s="365"/>
      <c r="P740" s="365"/>
      <c r="Q740" s="365"/>
      <c r="R740" s="365"/>
      <c r="S740" s="365"/>
      <c r="T740" s="365"/>
      <c r="U740" s="365"/>
      <c r="V740" s="365"/>
      <c r="W740" s="365"/>
      <c r="X740" s="365"/>
      <c r="Y740" s="365"/>
      <c r="Z740" s="365"/>
    </row>
    <row r="741" spans="1:26" ht="14.25" customHeight="1" x14ac:dyDescent="0.25">
      <c r="A741" s="365"/>
      <c r="B741" s="365"/>
      <c r="C741" s="365"/>
      <c r="D741" s="365"/>
      <c r="E741" s="365"/>
      <c r="F741" s="365"/>
      <c r="G741" s="365"/>
      <c r="H741" s="365"/>
      <c r="I741" s="365"/>
      <c r="J741" s="365"/>
      <c r="K741" s="365"/>
      <c r="L741" s="365"/>
      <c r="M741" s="365"/>
      <c r="N741" s="365"/>
      <c r="O741" s="365"/>
      <c r="P741" s="365"/>
      <c r="Q741" s="365"/>
      <c r="R741" s="365"/>
      <c r="S741" s="365"/>
      <c r="T741" s="365"/>
      <c r="U741" s="365"/>
      <c r="V741" s="365"/>
      <c r="W741" s="365"/>
      <c r="X741" s="365"/>
      <c r="Y741" s="365"/>
      <c r="Z741" s="365"/>
    </row>
    <row r="742" spans="1:26" ht="14.25" customHeight="1" x14ac:dyDescent="0.25">
      <c r="A742" s="365"/>
      <c r="B742" s="365"/>
      <c r="C742" s="365"/>
      <c r="D742" s="365"/>
      <c r="E742" s="365"/>
      <c r="F742" s="365"/>
      <c r="G742" s="365"/>
      <c r="H742" s="365"/>
      <c r="I742" s="365"/>
      <c r="J742" s="365"/>
      <c r="K742" s="365"/>
      <c r="L742" s="365"/>
      <c r="M742" s="365"/>
      <c r="N742" s="365"/>
      <c r="O742" s="365"/>
      <c r="P742" s="365"/>
      <c r="Q742" s="365"/>
      <c r="R742" s="365"/>
      <c r="S742" s="365"/>
      <c r="T742" s="365"/>
      <c r="U742" s="365"/>
      <c r="V742" s="365"/>
      <c r="W742" s="365"/>
      <c r="X742" s="365"/>
      <c r="Y742" s="365"/>
      <c r="Z742" s="365"/>
    </row>
    <row r="743" spans="1:26" ht="14.25" customHeight="1" x14ac:dyDescent="0.25">
      <c r="A743" s="365"/>
      <c r="B743" s="365"/>
      <c r="C743" s="365"/>
      <c r="D743" s="365"/>
      <c r="E743" s="365"/>
      <c r="F743" s="365"/>
      <c r="G743" s="365"/>
      <c r="H743" s="365"/>
      <c r="I743" s="365"/>
      <c r="J743" s="365"/>
      <c r="K743" s="365"/>
      <c r="L743" s="365"/>
      <c r="M743" s="365"/>
      <c r="N743" s="365"/>
      <c r="O743" s="365"/>
      <c r="P743" s="365"/>
      <c r="Q743" s="365"/>
      <c r="R743" s="365"/>
      <c r="S743" s="365"/>
      <c r="T743" s="365"/>
      <c r="U743" s="365"/>
      <c r="V743" s="365"/>
      <c r="W743" s="365"/>
      <c r="X743" s="365"/>
      <c r="Y743" s="365"/>
      <c r="Z743" s="365"/>
    </row>
    <row r="744" spans="1:26" ht="14.25" customHeight="1" x14ac:dyDescent="0.25">
      <c r="A744" s="365"/>
      <c r="B744" s="365"/>
      <c r="C744" s="365"/>
      <c r="D744" s="365"/>
      <c r="E744" s="365"/>
      <c r="F744" s="365"/>
      <c r="G744" s="365"/>
      <c r="H744" s="365"/>
      <c r="I744" s="365"/>
      <c r="J744" s="365"/>
      <c r="K744" s="365"/>
      <c r="L744" s="365"/>
      <c r="M744" s="365"/>
      <c r="N744" s="365"/>
      <c r="O744" s="365"/>
      <c r="P744" s="365"/>
      <c r="Q744" s="365"/>
      <c r="R744" s="365"/>
      <c r="S744" s="365"/>
      <c r="T744" s="365"/>
      <c r="U744" s="365"/>
      <c r="V744" s="365"/>
      <c r="W744" s="365"/>
      <c r="X744" s="365"/>
      <c r="Y744" s="365"/>
      <c r="Z744" s="365"/>
    </row>
    <row r="745" spans="1:26" ht="14.25" customHeight="1" x14ac:dyDescent="0.25">
      <c r="A745" s="365"/>
      <c r="B745" s="365"/>
      <c r="C745" s="365"/>
      <c r="D745" s="365"/>
      <c r="E745" s="365"/>
      <c r="F745" s="365"/>
      <c r="G745" s="365"/>
      <c r="H745" s="365"/>
      <c r="I745" s="365"/>
      <c r="J745" s="365"/>
      <c r="K745" s="365"/>
      <c r="L745" s="365"/>
      <c r="M745" s="365"/>
      <c r="N745" s="365"/>
      <c r="O745" s="365"/>
      <c r="P745" s="365"/>
      <c r="Q745" s="365"/>
      <c r="R745" s="365"/>
      <c r="S745" s="365"/>
      <c r="T745" s="365"/>
      <c r="U745" s="365"/>
      <c r="V745" s="365"/>
      <c r="W745" s="365"/>
      <c r="X745" s="365"/>
      <c r="Y745" s="365"/>
      <c r="Z745" s="365"/>
    </row>
    <row r="746" spans="1:26" ht="14.25" customHeight="1" x14ac:dyDescent="0.25">
      <c r="A746" s="365"/>
      <c r="B746" s="365"/>
      <c r="C746" s="365"/>
      <c r="D746" s="365"/>
      <c r="E746" s="365"/>
      <c r="F746" s="365"/>
      <c r="G746" s="365"/>
      <c r="H746" s="365"/>
      <c r="I746" s="365"/>
      <c r="J746" s="365"/>
      <c r="K746" s="365"/>
      <c r="L746" s="365"/>
      <c r="M746" s="365"/>
      <c r="N746" s="365"/>
      <c r="O746" s="365"/>
      <c r="P746" s="365"/>
      <c r="Q746" s="365"/>
      <c r="R746" s="365"/>
      <c r="S746" s="365"/>
      <c r="T746" s="365"/>
      <c r="U746" s="365"/>
      <c r="V746" s="365"/>
      <c r="W746" s="365"/>
      <c r="X746" s="365"/>
      <c r="Y746" s="365"/>
      <c r="Z746" s="365"/>
    </row>
    <row r="747" spans="1:26" ht="14.25" customHeight="1" x14ac:dyDescent="0.25">
      <c r="A747" s="365"/>
      <c r="B747" s="365"/>
      <c r="C747" s="365"/>
      <c r="D747" s="365"/>
      <c r="E747" s="365"/>
      <c r="F747" s="365"/>
      <c r="G747" s="365"/>
      <c r="H747" s="365"/>
      <c r="I747" s="365"/>
      <c r="J747" s="365"/>
      <c r="K747" s="365"/>
      <c r="L747" s="365"/>
      <c r="M747" s="365"/>
      <c r="N747" s="365"/>
      <c r="O747" s="365"/>
      <c r="P747" s="365"/>
      <c r="Q747" s="365"/>
      <c r="R747" s="365"/>
      <c r="S747" s="365"/>
      <c r="T747" s="365"/>
      <c r="U747" s="365"/>
      <c r="V747" s="365"/>
      <c r="W747" s="365"/>
      <c r="X747" s="365"/>
      <c r="Y747" s="365"/>
      <c r="Z747" s="365"/>
    </row>
    <row r="748" spans="1:26" ht="14.25" customHeight="1" x14ac:dyDescent="0.25">
      <c r="A748" s="365"/>
      <c r="B748" s="365"/>
      <c r="C748" s="365"/>
      <c r="D748" s="365"/>
      <c r="E748" s="365"/>
      <c r="F748" s="365"/>
      <c r="G748" s="365"/>
      <c r="H748" s="365"/>
      <c r="I748" s="365"/>
      <c r="J748" s="365"/>
      <c r="K748" s="365"/>
      <c r="L748" s="365"/>
      <c r="M748" s="365"/>
      <c r="N748" s="365"/>
      <c r="O748" s="365"/>
      <c r="P748" s="365"/>
      <c r="Q748" s="365"/>
      <c r="R748" s="365"/>
      <c r="S748" s="365"/>
      <c r="T748" s="365"/>
      <c r="U748" s="365"/>
      <c r="V748" s="365"/>
      <c r="W748" s="365"/>
      <c r="X748" s="365"/>
      <c r="Y748" s="365"/>
      <c r="Z748" s="365"/>
    </row>
    <row r="749" spans="1:26" ht="14.25" customHeight="1" x14ac:dyDescent="0.25">
      <c r="A749" s="365"/>
      <c r="B749" s="365"/>
      <c r="C749" s="365"/>
      <c r="D749" s="365"/>
      <c r="E749" s="365"/>
      <c r="F749" s="365"/>
      <c r="G749" s="365"/>
      <c r="H749" s="365"/>
      <c r="I749" s="365"/>
      <c r="J749" s="365"/>
      <c r="K749" s="365"/>
      <c r="L749" s="365"/>
      <c r="M749" s="365"/>
      <c r="N749" s="365"/>
      <c r="O749" s="365"/>
      <c r="P749" s="365"/>
      <c r="Q749" s="365"/>
      <c r="R749" s="365"/>
      <c r="S749" s="365"/>
      <c r="T749" s="365"/>
      <c r="U749" s="365"/>
      <c r="V749" s="365"/>
      <c r="W749" s="365"/>
      <c r="X749" s="365"/>
      <c r="Y749" s="365"/>
      <c r="Z749" s="365"/>
    </row>
    <row r="750" spans="1:26" ht="14.25" customHeight="1" x14ac:dyDescent="0.25">
      <c r="A750" s="365"/>
      <c r="B750" s="365"/>
      <c r="C750" s="365"/>
      <c r="D750" s="365"/>
      <c r="E750" s="365"/>
      <c r="F750" s="365"/>
      <c r="G750" s="365"/>
      <c r="H750" s="365"/>
      <c r="I750" s="365"/>
      <c r="J750" s="365"/>
      <c r="K750" s="365"/>
      <c r="L750" s="365"/>
      <c r="M750" s="365"/>
      <c r="N750" s="365"/>
      <c r="O750" s="365"/>
      <c r="P750" s="365"/>
      <c r="Q750" s="365"/>
      <c r="R750" s="365"/>
      <c r="S750" s="365"/>
      <c r="T750" s="365"/>
      <c r="U750" s="365"/>
      <c r="V750" s="365"/>
      <c r="W750" s="365"/>
      <c r="X750" s="365"/>
      <c r="Y750" s="365"/>
      <c r="Z750" s="365"/>
    </row>
    <row r="751" spans="1:26" ht="14.25" customHeight="1" x14ac:dyDescent="0.25">
      <c r="A751" s="365"/>
      <c r="B751" s="365"/>
      <c r="C751" s="365"/>
      <c r="D751" s="365"/>
      <c r="E751" s="365"/>
      <c r="F751" s="365"/>
      <c r="G751" s="365"/>
      <c r="H751" s="365"/>
      <c r="I751" s="365"/>
      <c r="J751" s="365"/>
      <c r="K751" s="365"/>
      <c r="L751" s="365"/>
      <c r="M751" s="365"/>
      <c r="N751" s="365"/>
      <c r="O751" s="365"/>
      <c r="P751" s="365"/>
      <c r="Q751" s="365"/>
      <c r="R751" s="365"/>
      <c r="S751" s="365"/>
      <c r="T751" s="365"/>
      <c r="U751" s="365"/>
      <c r="V751" s="365"/>
      <c r="W751" s="365"/>
      <c r="X751" s="365"/>
      <c r="Y751" s="365"/>
      <c r="Z751" s="365"/>
    </row>
    <row r="752" spans="1:26" ht="14.25" customHeight="1" x14ac:dyDescent="0.25">
      <c r="A752" s="365"/>
      <c r="B752" s="365"/>
      <c r="C752" s="365"/>
      <c r="D752" s="365"/>
      <c r="E752" s="365"/>
      <c r="F752" s="365"/>
      <c r="G752" s="365"/>
      <c r="H752" s="365"/>
      <c r="I752" s="365"/>
      <c r="J752" s="365"/>
      <c r="K752" s="365"/>
      <c r="L752" s="365"/>
      <c r="M752" s="365"/>
      <c r="N752" s="365"/>
      <c r="O752" s="365"/>
      <c r="P752" s="365"/>
      <c r="Q752" s="365"/>
      <c r="R752" s="365"/>
      <c r="S752" s="365"/>
      <c r="T752" s="365"/>
      <c r="U752" s="365"/>
      <c r="V752" s="365"/>
      <c r="W752" s="365"/>
      <c r="X752" s="365"/>
      <c r="Y752" s="365"/>
      <c r="Z752" s="365"/>
    </row>
    <row r="753" spans="1:26" ht="14.25" customHeight="1" x14ac:dyDescent="0.25">
      <c r="A753" s="365"/>
      <c r="B753" s="365"/>
      <c r="C753" s="365"/>
      <c r="D753" s="365"/>
      <c r="E753" s="365"/>
      <c r="F753" s="365"/>
      <c r="G753" s="365"/>
      <c r="H753" s="365"/>
      <c r="I753" s="365"/>
      <c r="J753" s="365"/>
      <c r="K753" s="365"/>
      <c r="L753" s="365"/>
      <c r="M753" s="365"/>
      <c r="N753" s="365"/>
      <c r="O753" s="365"/>
      <c r="P753" s="365"/>
      <c r="Q753" s="365"/>
      <c r="R753" s="365"/>
      <c r="S753" s="365"/>
      <c r="T753" s="365"/>
      <c r="U753" s="365"/>
      <c r="V753" s="365"/>
      <c r="W753" s="365"/>
      <c r="X753" s="365"/>
      <c r="Y753" s="365"/>
      <c r="Z753" s="365"/>
    </row>
    <row r="754" spans="1:26" ht="14.25" customHeight="1" x14ac:dyDescent="0.25">
      <c r="A754" s="365"/>
      <c r="B754" s="365"/>
      <c r="C754" s="365"/>
      <c r="D754" s="365"/>
      <c r="E754" s="365"/>
      <c r="F754" s="365"/>
      <c r="G754" s="365"/>
      <c r="H754" s="365"/>
      <c r="I754" s="365"/>
      <c r="J754" s="365"/>
      <c r="K754" s="365"/>
      <c r="L754" s="365"/>
      <c r="M754" s="365"/>
      <c r="N754" s="365"/>
      <c r="O754" s="365"/>
      <c r="P754" s="365"/>
      <c r="Q754" s="365"/>
      <c r="R754" s="365"/>
      <c r="S754" s="365"/>
      <c r="T754" s="365"/>
      <c r="U754" s="365"/>
      <c r="V754" s="365"/>
      <c r="W754" s="365"/>
      <c r="X754" s="365"/>
      <c r="Y754" s="365"/>
      <c r="Z754" s="365"/>
    </row>
    <row r="755" spans="1:26" ht="14.25" customHeight="1" x14ac:dyDescent="0.25">
      <c r="A755" s="365"/>
      <c r="B755" s="365"/>
      <c r="C755" s="365"/>
      <c r="D755" s="365"/>
      <c r="E755" s="365"/>
      <c r="F755" s="365"/>
      <c r="G755" s="365"/>
      <c r="H755" s="365"/>
      <c r="I755" s="365"/>
      <c r="J755" s="365"/>
      <c r="K755" s="365"/>
      <c r="L755" s="365"/>
      <c r="M755" s="365"/>
      <c r="N755" s="365"/>
      <c r="O755" s="365"/>
      <c r="P755" s="365"/>
      <c r="Q755" s="365"/>
      <c r="R755" s="365"/>
      <c r="S755" s="365"/>
      <c r="T755" s="365"/>
      <c r="U755" s="365"/>
      <c r="V755" s="365"/>
      <c r="W755" s="365"/>
      <c r="X755" s="365"/>
      <c r="Y755" s="365"/>
      <c r="Z755" s="365"/>
    </row>
    <row r="756" spans="1:26" ht="14.25" customHeight="1" x14ac:dyDescent="0.25">
      <c r="A756" s="365"/>
      <c r="B756" s="365"/>
      <c r="C756" s="365"/>
      <c r="D756" s="365"/>
      <c r="E756" s="365"/>
      <c r="F756" s="365"/>
      <c r="G756" s="365"/>
      <c r="H756" s="365"/>
      <c r="I756" s="365"/>
      <c r="J756" s="365"/>
      <c r="K756" s="365"/>
      <c r="L756" s="365"/>
      <c r="M756" s="365"/>
      <c r="N756" s="365"/>
      <c r="O756" s="365"/>
      <c r="P756" s="365"/>
      <c r="Q756" s="365"/>
      <c r="R756" s="365"/>
      <c r="S756" s="365"/>
      <c r="T756" s="365"/>
      <c r="U756" s="365"/>
      <c r="V756" s="365"/>
      <c r="W756" s="365"/>
      <c r="X756" s="365"/>
      <c r="Y756" s="365"/>
      <c r="Z756" s="365"/>
    </row>
    <row r="757" spans="1:26" ht="14.25" customHeight="1" x14ac:dyDescent="0.25">
      <c r="A757" s="365"/>
      <c r="B757" s="365"/>
      <c r="C757" s="365"/>
      <c r="D757" s="365"/>
      <c r="E757" s="365"/>
      <c r="F757" s="365"/>
      <c r="G757" s="365"/>
      <c r="H757" s="365"/>
      <c r="I757" s="365"/>
      <c r="J757" s="365"/>
      <c r="K757" s="365"/>
      <c r="L757" s="365"/>
      <c r="M757" s="365"/>
      <c r="N757" s="365"/>
      <c r="O757" s="365"/>
      <c r="P757" s="365"/>
      <c r="Q757" s="365"/>
      <c r="R757" s="365"/>
      <c r="S757" s="365"/>
      <c r="T757" s="365"/>
      <c r="U757" s="365"/>
      <c r="V757" s="365"/>
      <c r="W757" s="365"/>
      <c r="X757" s="365"/>
      <c r="Y757" s="365"/>
      <c r="Z757" s="365"/>
    </row>
    <row r="758" spans="1:26" ht="14.25" customHeight="1" x14ac:dyDescent="0.25">
      <c r="A758" s="365"/>
      <c r="B758" s="365"/>
      <c r="C758" s="365"/>
      <c r="D758" s="365"/>
      <c r="E758" s="365"/>
      <c r="F758" s="365"/>
      <c r="G758" s="365"/>
      <c r="H758" s="365"/>
      <c r="I758" s="365"/>
      <c r="J758" s="365"/>
      <c r="K758" s="365"/>
      <c r="L758" s="365"/>
      <c r="M758" s="365"/>
      <c r="N758" s="365"/>
      <c r="O758" s="365"/>
      <c r="P758" s="365"/>
      <c r="Q758" s="365"/>
      <c r="R758" s="365"/>
      <c r="S758" s="365"/>
      <c r="T758" s="365"/>
      <c r="U758" s="365"/>
      <c r="V758" s="365"/>
      <c r="W758" s="365"/>
      <c r="X758" s="365"/>
      <c r="Y758" s="365"/>
      <c r="Z758" s="365"/>
    </row>
    <row r="759" spans="1:26" ht="14.25" customHeight="1" x14ac:dyDescent="0.25">
      <c r="A759" s="365"/>
      <c r="B759" s="365"/>
      <c r="C759" s="365"/>
      <c r="D759" s="365"/>
      <c r="E759" s="365"/>
      <c r="F759" s="365"/>
      <c r="G759" s="365"/>
      <c r="H759" s="365"/>
      <c r="I759" s="365"/>
      <c r="J759" s="365"/>
      <c r="K759" s="365"/>
      <c r="L759" s="365"/>
      <c r="M759" s="365"/>
      <c r="N759" s="365"/>
      <c r="O759" s="365"/>
      <c r="P759" s="365"/>
      <c r="Q759" s="365"/>
      <c r="R759" s="365"/>
      <c r="S759" s="365"/>
      <c r="T759" s="365"/>
      <c r="U759" s="365"/>
      <c r="V759" s="365"/>
      <c r="W759" s="365"/>
      <c r="X759" s="365"/>
      <c r="Y759" s="365"/>
      <c r="Z759" s="365"/>
    </row>
    <row r="760" spans="1:26" ht="14.25" customHeight="1" x14ac:dyDescent="0.25">
      <c r="A760" s="365"/>
      <c r="B760" s="365"/>
      <c r="C760" s="365"/>
      <c r="D760" s="365"/>
      <c r="E760" s="365"/>
      <c r="F760" s="365"/>
      <c r="G760" s="365"/>
      <c r="H760" s="365"/>
      <c r="I760" s="365"/>
      <c r="J760" s="365"/>
      <c r="K760" s="365"/>
      <c r="L760" s="365"/>
      <c r="M760" s="365"/>
      <c r="N760" s="365"/>
      <c r="O760" s="365"/>
      <c r="P760" s="365"/>
      <c r="Q760" s="365"/>
      <c r="R760" s="365"/>
      <c r="S760" s="365"/>
      <c r="T760" s="365"/>
      <c r="U760" s="365"/>
      <c r="V760" s="365"/>
      <c r="W760" s="365"/>
      <c r="X760" s="365"/>
      <c r="Y760" s="365"/>
      <c r="Z760" s="365"/>
    </row>
    <row r="761" spans="1:26" ht="14.25" customHeight="1" x14ac:dyDescent="0.25">
      <c r="A761" s="365"/>
      <c r="B761" s="365"/>
      <c r="C761" s="365"/>
      <c r="D761" s="365"/>
      <c r="E761" s="365"/>
      <c r="F761" s="365"/>
      <c r="G761" s="365"/>
      <c r="H761" s="365"/>
      <c r="I761" s="365"/>
      <c r="J761" s="365"/>
      <c r="K761" s="365"/>
      <c r="L761" s="365"/>
      <c r="M761" s="365"/>
      <c r="N761" s="365"/>
      <c r="O761" s="365"/>
      <c r="P761" s="365"/>
      <c r="Q761" s="365"/>
      <c r="R761" s="365"/>
      <c r="S761" s="365"/>
      <c r="T761" s="365"/>
      <c r="U761" s="365"/>
      <c r="V761" s="365"/>
      <c r="W761" s="365"/>
      <c r="X761" s="365"/>
      <c r="Y761" s="365"/>
      <c r="Z761" s="365"/>
    </row>
    <row r="762" spans="1:26" ht="14.25" customHeight="1" x14ac:dyDescent="0.25">
      <c r="A762" s="365"/>
      <c r="B762" s="365"/>
      <c r="C762" s="365"/>
      <c r="D762" s="365"/>
      <c r="E762" s="365"/>
      <c r="F762" s="365"/>
      <c r="G762" s="365"/>
      <c r="H762" s="365"/>
      <c r="I762" s="365"/>
      <c r="J762" s="365"/>
      <c r="K762" s="365"/>
      <c r="L762" s="365"/>
      <c r="M762" s="365"/>
      <c r="N762" s="365"/>
      <c r="O762" s="365"/>
      <c r="P762" s="365"/>
      <c r="Q762" s="365"/>
      <c r="R762" s="365"/>
      <c r="S762" s="365"/>
      <c r="T762" s="365"/>
      <c r="U762" s="365"/>
      <c r="V762" s="365"/>
      <c r="W762" s="365"/>
      <c r="X762" s="365"/>
      <c r="Y762" s="365"/>
      <c r="Z762" s="365"/>
    </row>
    <row r="763" spans="1:26" ht="14.25" customHeight="1" x14ac:dyDescent="0.25">
      <c r="A763" s="365"/>
      <c r="B763" s="365"/>
      <c r="C763" s="365"/>
      <c r="D763" s="365"/>
      <c r="E763" s="365"/>
      <c r="F763" s="365"/>
      <c r="G763" s="365"/>
      <c r="H763" s="365"/>
      <c r="I763" s="365"/>
      <c r="J763" s="365"/>
      <c r="K763" s="365"/>
      <c r="L763" s="365"/>
      <c r="M763" s="365"/>
      <c r="N763" s="365"/>
      <c r="O763" s="365"/>
      <c r="P763" s="365"/>
      <c r="Q763" s="365"/>
      <c r="R763" s="365"/>
      <c r="S763" s="365"/>
      <c r="T763" s="365"/>
      <c r="U763" s="365"/>
      <c r="V763" s="365"/>
      <c r="W763" s="365"/>
      <c r="X763" s="365"/>
      <c r="Y763" s="365"/>
      <c r="Z763" s="365"/>
    </row>
    <row r="764" spans="1:26" ht="14.25" customHeight="1" x14ac:dyDescent="0.25">
      <c r="A764" s="365"/>
      <c r="B764" s="365"/>
      <c r="C764" s="365"/>
      <c r="D764" s="365"/>
      <c r="E764" s="365"/>
      <c r="F764" s="365"/>
      <c r="G764" s="365"/>
      <c r="H764" s="365"/>
      <c r="I764" s="365"/>
      <c r="J764" s="365"/>
      <c r="K764" s="365"/>
      <c r="L764" s="365"/>
      <c r="M764" s="365"/>
      <c r="N764" s="365"/>
      <c r="O764" s="365"/>
      <c r="P764" s="365"/>
      <c r="Q764" s="365"/>
      <c r="R764" s="365"/>
      <c r="S764" s="365"/>
      <c r="T764" s="365"/>
      <c r="U764" s="365"/>
      <c r="V764" s="365"/>
      <c r="W764" s="365"/>
      <c r="X764" s="365"/>
      <c r="Y764" s="365"/>
      <c r="Z764" s="365"/>
    </row>
    <row r="765" spans="1:26" ht="14.25" customHeight="1" x14ac:dyDescent="0.25">
      <c r="A765" s="365"/>
      <c r="B765" s="365"/>
      <c r="C765" s="365"/>
      <c r="D765" s="365"/>
      <c r="E765" s="365"/>
      <c r="F765" s="365"/>
      <c r="G765" s="365"/>
      <c r="H765" s="365"/>
      <c r="I765" s="365"/>
      <c r="J765" s="365"/>
      <c r="K765" s="365"/>
      <c r="L765" s="365"/>
      <c r="M765" s="365"/>
      <c r="N765" s="365"/>
      <c r="O765" s="365"/>
      <c r="P765" s="365"/>
      <c r="Q765" s="365"/>
      <c r="R765" s="365"/>
      <c r="S765" s="365"/>
      <c r="T765" s="365"/>
      <c r="U765" s="365"/>
      <c r="V765" s="365"/>
      <c r="W765" s="365"/>
      <c r="X765" s="365"/>
      <c r="Y765" s="365"/>
      <c r="Z765" s="365"/>
    </row>
    <row r="766" spans="1:26" ht="14.25" customHeight="1" x14ac:dyDescent="0.25">
      <c r="A766" s="365"/>
      <c r="B766" s="365"/>
      <c r="C766" s="365"/>
      <c r="D766" s="365"/>
      <c r="E766" s="365"/>
      <c r="F766" s="365"/>
      <c r="G766" s="365"/>
      <c r="H766" s="365"/>
      <c r="I766" s="365"/>
      <c r="J766" s="365"/>
      <c r="K766" s="365"/>
      <c r="L766" s="365"/>
      <c r="M766" s="365"/>
      <c r="N766" s="365"/>
      <c r="O766" s="365"/>
      <c r="P766" s="365"/>
      <c r="Q766" s="365"/>
      <c r="R766" s="365"/>
      <c r="S766" s="365"/>
      <c r="T766" s="365"/>
      <c r="U766" s="365"/>
      <c r="V766" s="365"/>
      <c r="W766" s="365"/>
      <c r="X766" s="365"/>
      <c r="Y766" s="365"/>
      <c r="Z766" s="365"/>
    </row>
    <row r="767" spans="1:26" ht="14.25" customHeight="1" x14ac:dyDescent="0.25">
      <c r="A767" s="365"/>
      <c r="B767" s="365"/>
      <c r="C767" s="365"/>
      <c r="D767" s="365"/>
      <c r="E767" s="365"/>
      <c r="F767" s="365"/>
      <c r="G767" s="365"/>
      <c r="H767" s="365"/>
      <c r="I767" s="365"/>
      <c r="J767" s="365"/>
      <c r="K767" s="365"/>
      <c r="L767" s="365"/>
      <c r="M767" s="365"/>
      <c r="N767" s="365"/>
      <c r="O767" s="365"/>
      <c r="P767" s="365"/>
      <c r="Q767" s="365"/>
      <c r="R767" s="365"/>
      <c r="S767" s="365"/>
      <c r="T767" s="365"/>
      <c r="U767" s="365"/>
      <c r="V767" s="365"/>
      <c r="W767" s="365"/>
      <c r="X767" s="365"/>
      <c r="Y767" s="365"/>
      <c r="Z767" s="365"/>
    </row>
    <row r="768" spans="1:26" ht="14.25" customHeight="1" x14ac:dyDescent="0.25">
      <c r="A768" s="365"/>
      <c r="B768" s="365"/>
      <c r="C768" s="365"/>
      <c r="D768" s="365"/>
      <c r="E768" s="365"/>
      <c r="F768" s="365"/>
      <c r="G768" s="365"/>
      <c r="H768" s="365"/>
      <c r="I768" s="365"/>
      <c r="J768" s="365"/>
      <c r="K768" s="365"/>
      <c r="L768" s="365"/>
      <c r="M768" s="365"/>
      <c r="N768" s="365"/>
      <c r="O768" s="365"/>
      <c r="P768" s="365"/>
      <c r="Q768" s="365"/>
      <c r="R768" s="365"/>
      <c r="S768" s="365"/>
      <c r="T768" s="365"/>
      <c r="U768" s="365"/>
      <c r="V768" s="365"/>
      <c r="W768" s="365"/>
      <c r="X768" s="365"/>
      <c r="Y768" s="365"/>
      <c r="Z768" s="365"/>
    </row>
    <row r="769" spans="1:26" ht="14.25" customHeight="1" x14ac:dyDescent="0.25">
      <c r="A769" s="365"/>
      <c r="B769" s="365"/>
      <c r="C769" s="365"/>
      <c r="D769" s="365"/>
      <c r="E769" s="365"/>
      <c r="F769" s="365"/>
      <c r="G769" s="365"/>
      <c r="H769" s="365"/>
      <c r="I769" s="365"/>
      <c r="J769" s="365"/>
      <c r="K769" s="365"/>
      <c r="L769" s="365"/>
      <c r="M769" s="365"/>
      <c r="N769" s="365"/>
      <c r="O769" s="365"/>
      <c r="P769" s="365"/>
      <c r="Q769" s="365"/>
      <c r="R769" s="365"/>
      <c r="S769" s="365"/>
      <c r="T769" s="365"/>
      <c r="U769" s="365"/>
      <c r="V769" s="365"/>
      <c r="W769" s="365"/>
      <c r="X769" s="365"/>
      <c r="Y769" s="365"/>
      <c r="Z769" s="365"/>
    </row>
    <row r="770" spans="1:26" ht="14.25" customHeight="1" x14ac:dyDescent="0.25">
      <c r="A770" s="365"/>
      <c r="B770" s="365"/>
      <c r="C770" s="365"/>
      <c r="D770" s="365"/>
      <c r="E770" s="365"/>
      <c r="F770" s="365"/>
      <c r="G770" s="365"/>
      <c r="H770" s="365"/>
      <c r="I770" s="365"/>
      <c r="J770" s="365"/>
      <c r="K770" s="365"/>
      <c r="L770" s="365"/>
      <c r="M770" s="365"/>
      <c r="N770" s="365"/>
      <c r="O770" s="365"/>
      <c r="P770" s="365"/>
      <c r="Q770" s="365"/>
      <c r="R770" s="365"/>
      <c r="S770" s="365"/>
      <c r="T770" s="365"/>
      <c r="U770" s="365"/>
      <c r="V770" s="365"/>
      <c r="W770" s="365"/>
      <c r="X770" s="365"/>
      <c r="Y770" s="365"/>
      <c r="Z770" s="365"/>
    </row>
    <row r="771" spans="1:26" ht="14.25" customHeight="1" x14ac:dyDescent="0.25">
      <c r="A771" s="365"/>
      <c r="B771" s="365"/>
      <c r="C771" s="365"/>
      <c r="D771" s="365"/>
      <c r="E771" s="365"/>
      <c r="F771" s="365"/>
      <c r="G771" s="365"/>
      <c r="H771" s="365"/>
      <c r="I771" s="365"/>
      <c r="J771" s="365"/>
      <c r="K771" s="365"/>
      <c r="L771" s="365"/>
      <c r="M771" s="365"/>
      <c r="N771" s="365"/>
      <c r="O771" s="365"/>
      <c r="P771" s="365"/>
      <c r="Q771" s="365"/>
      <c r="R771" s="365"/>
      <c r="S771" s="365"/>
      <c r="T771" s="365"/>
      <c r="U771" s="365"/>
      <c r="V771" s="365"/>
      <c r="W771" s="365"/>
      <c r="X771" s="365"/>
      <c r="Y771" s="365"/>
      <c r="Z771" s="365"/>
    </row>
    <row r="772" spans="1:26" ht="14.25" customHeight="1" x14ac:dyDescent="0.25">
      <c r="A772" s="365"/>
      <c r="B772" s="365"/>
      <c r="C772" s="365"/>
      <c r="D772" s="365"/>
      <c r="E772" s="365"/>
      <c r="F772" s="365"/>
      <c r="G772" s="365"/>
      <c r="H772" s="365"/>
      <c r="I772" s="365"/>
      <c r="J772" s="365"/>
      <c r="K772" s="365"/>
      <c r="L772" s="365"/>
      <c r="M772" s="365"/>
      <c r="N772" s="365"/>
      <c r="O772" s="365"/>
      <c r="P772" s="365"/>
      <c r="Q772" s="365"/>
      <c r="R772" s="365"/>
      <c r="S772" s="365"/>
      <c r="T772" s="365"/>
      <c r="U772" s="365"/>
      <c r="V772" s="365"/>
      <c r="W772" s="365"/>
      <c r="X772" s="365"/>
      <c r="Y772" s="365"/>
      <c r="Z772" s="365"/>
    </row>
    <row r="773" spans="1:26" ht="14.25" customHeight="1" x14ac:dyDescent="0.25">
      <c r="A773" s="365"/>
      <c r="B773" s="365"/>
      <c r="C773" s="365"/>
      <c r="D773" s="365"/>
      <c r="E773" s="365"/>
      <c r="F773" s="365"/>
      <c r="G773" s="365"/>
      <c r="H773" s="365"/>
      <c r="I773" s="365"/>
      <c r="J773" s="365"/>
      <c r="K773" s="365"/>
      <c r="L773" s="365"/>
      <c r="M773" s="365"/>
      <c r="N773" s="365"/>
      <c r="O773" s="365"/>
      <c r="P773" s="365"/>
      <c r="Q773" s="365"/>
      <c r="R773" s="365"/>
      <c r="S773" s="365"/>
      <c r="T773" s="365"/>
      <c r="U773" s="365"/>
      <c r="V773" s="365"/>
      <c r="W773" s="365"/>
      <c r="X773" s="365"/>
      <c r="Y773" s="365"/>
      <c r="Z773" s="365"/>
    </row>
    <row r="774" spans="1:26" ht="14.25" customHeight="1" x14ac:dyDescent="0.25">
      <c r="A774" s="365"/>
      <c r="B774" s="365"/>
      <c r="C774" s="365"/>
      <c r="D774" s="365"/>
      <c r="E774" s="365"/>
      <c r="F774" s="365"/>
      <c r="G774" s="365"/>
      <c r="H774" s="365"/>
      <c r="I774" s="365"/>
      <c r="J774" s="365"/>
      <c r="K774" s="365"/>
      <c r="L774" s="365"/>
      <c r="M774" s="365"/>
      <c r="N774" s="365"/>
      <c r="O774" s="365"/>
      <c r="P774" s="365"/>
      <c r="Q774" s="365"/>
      <c r="R774" s="365"/>
      <c r="S774" s="365"/>
      <c r="T774" s="365"/>
      <c r="U774" s="365"/>
      <c r="V774" s="365"/>
      <c r="W774" s="365"/>
      <c r="X774" s="365"/>
      <c r="Y774" s="365"/>
      <c r="Z774" s="365"/>
    </row>
    <row r="775" spans="1:26" ht="14.25" customHeight="1" x14ac:dyDescent="0.25">
      <c r="A775" s="365"/>
      <c r="B775" s="365"/>
      <c r="C775" s="365"/>
      <c r="D775" s="365"/>
      <c r="E775" s="365"/>
      <c r="F775" s="365"/>
      <c r="G775" s="365"/>
      <c r="H775" s="365"/>
      <c r="I775" s="365"/>
      <c r="J775" s="365"/>
      <c r="K775" s="365"/>
      <c r="L775" s="365"/>
      <c r="M775" s="365"/>
      <c r="N775" s="365"/>
      <c r="O775" s="365"/>
      <c r="P775" s="365"/>
      <c r="Q775" s="365"/>
      <c r="R775" s="365"/>
      <c r="S775" s="365"/>
      <c r="T775" s="365"/>
      <c r="U775" s="365"/>
      <c r="V775" s="365"/>
      <c r="W775" s="365"/>
      <c r="X775" s="365"/>
      <c r="Y775" s="365"/>
      <c r="Z775" s="365"/>
    </row>
    <row r="776" spans="1:26" ht="14.25" customHeight="1" x14ac:dyDescent="0.25">
      <c r="A776" s="365"/>
      <c r="B776" s="365"/>
      <c r="C776" s="365"/>
      <c r="D776" s="365"/>
      <c r="E776" s="365"/>
      <c r="F776" s="365"/>
      <c r="G776" s="365"/>
      <c r="H776" s="365"/>
      <c r="I776" s="365"/>
      <c r="J776" s="365"/>
      <c r="K776" s="365"/>
      <c r="L776" s="365"/>
      <c r="M776" s="365"/>
      <c r="N776" s="365"/>
      <c r="O776" s="365"/>
      <c r="P776" s="365"/>
      <c r="Q776" s="365"/>
      <c r="R776" s="365"/>
      <c r="S776" s="365"/>
      <c r="T776" s="365"/>
      <c r="U776" s="365"/>
      <c r="V776" s="365"/>
      <c r="W776" s="365"/>
      <c r="X776" s="365"/>
      <c r="Y776" s="365"/>
      <c r="Z776" s="365"/>
    </row>
    <row r="777" spans="1:26" ht="14.25" customHeight="1" x14ac:dyDescent="0.25">
      <c r="A777" s="365"/>
      <c r="B777" s="365"/>
      <c r="C777" s="365"/>
      <c r="D777" s="365"/>
      <c r="E777" s="365"/>
      <c r="F777" s="365"/>
      <c r="G777" s="365"/>
      <c r="H777" s="365"/>
      <c r="I777" s="365"/>
      <c r="J777" s="365"/>
      <c r="K777" s="365"/>
      <c r="L777" s="365"/>
      <c r="M777" s="365"/>
      <c r="N777" s="365"/>
      <c r="O777" s="365"/>
      <c r="P777" s="365"/>
      <c r="Q777" s="365"/>
      <c r="R777" s="365"/>
      <c r="S777" s="365"/>
      <c r="T777" s="365"/>
      <c r="U777" s="365"/>
      <c r="V777" s="365"/>
      <c r="W777" s="365"/>
      <c r="X777" s="365"/>
      <c r="Y777" s="365"/>
      <c r="Z777" s="365"/>
    </row>
    <row r="778" spans="1:26" ht="14.25" customHeight="1" x14ac:dyDescent="0.25">
      <c r="A778" s="365"/>
      <c r="B778" s="365"/>
      <c r="C778" s="365"/>
      <c r="D778" s="365"/>
      <c r="E778" s="365"/>
      <c r="F778" s="365"/>
      <c r="G778" s="365"/>
      <c r="H778" s="365"/>
      <c r="I778" s="365"/>
      <c r="J778" s="365"/>
      <c r="K778" s="365"/>
      <c r="L778" s="365"/>
      <c r="M778" s="365"/>
      <c r="N778" s="365"/>
      <c r="O778" s="365"/>
      <c r="P778" s="365"/>
      <c r="Q778" s="365"/>
      <c r="R778" s="365"/>
      <c r="S778" s="365"/>
      <c r="T778" s="365"/>
      <c r="U778" s="365"/>
      <c r="V778" s="365"/>
      <c r="W778" s="365"/>
      <c r="X778" s="365"/>
      <c r="Y778" s="365"/>
      <c r="Z778" s="365"/>
    </row>
    <row r="779" spans="1:26" ht="14.25" customHeight="1" x14ac:dyDescent="0.25">
      <c r="A779" s="365"/>
      <c r="B779" s="365"/>
      <c r="C779" s="365"/>
      <c r="D779" s="365"/>
      <c r="E779" s="365"/>
      <c r="F779" s="365"/>
      <c r="G779" s="365"/>
      <c r="H779" s="365"/>
      <c r="I779" s="365"/>
      <c r="J779" s="365"/>
      <c r="K779" s="365"/>
      <c r="L779" s="365"/>
      <c r="M779" s="365"/>
      <c r="N779" s="365"/>
      <c r="O779" s="365"/>
      <c r="P779" s="365"/>
      <c r="Q779" s="365"/>
      <c r="R779" s="365"/>
      <c r="S779" s="365"/>
      <c r="T779" s="365"/>
      <c r="U779" s="365"/>
      <c r="V779" s="365"/>
      <c r="W779" s="365"/>
      <c r="X779" s="365"/>
      <c r="Y779" s="365"/>
      <c r="Z779" s="365"/>
    </row>
    <row r="780" spans="1:26" ht="14.25" customHeight="1" x14ac:dyDescent="0.25">
      <c r="A780" s="365"/>
      <c r="B780" s="365"/>
      <c r="C780" s="365"/>
      <c r="D780" s="365"/>
      <c r="E780" s="365"/>
      <c r="F780" s="365"/>
      <c r="G780" s="365"/>
      <c r="H780" s="365"/>
      <c r="I780" s="365"/>
      <c r="J780" s="365"/>
      <c r="K780" s="365"/>
      <c r="L780" s="365"/>
      <c r="M780" s="365"/>
      <c r="N780" s="365"/>
      <c r="O780" s="365"/>
      <c r="P780" s="365"/>
      <c r="Q780" s="365"/>
      <c r="R780" s="365"/>
      <c r="S780" s="365"/>
      <c r="T780" s="365"/>
      <c r="U780" s="365"/>
      <c r="V780" s="365"/>
      <c r="W780" s="365"/>
      <c r="X780" s="365"/>
      <c r="Y780" s="365"/>
      <c r="Z780" s="365"/>
    </row>
    <row r="781" spans="1:26" ht="14.25" customHeight="1" x14ac:dyDescent="0.25">
      <c r="A781" s="365"/>
      <c r="B781" s="365"/>
      <c r="C781" s="365"/>
      <c r="D781" s="365"/>
      <c r="E781" s="365"/>
      <c r="F781" s="365"/>
      <c r="G781" s="365"/>
      <c r="H781" s="365"/>
      <c r="I781" s="365"/>
      <c r="J781" s="365"/>
      <c r="K781" s="365"/>
      <c r="L781" s="365"/>
      <c r="M781" s="365"/>
      <c r="N781" s="365"/>
      <c r="O781" s="365"/>
      <c r="P781" s="365"/>
      <c r="Q781" s="365"/>
      <c r="R781" s="365"/>
      <c r="S781" s="365"/>
      <c r="T781" s="365"/>
      <c r="U781" s="365"/>
      <c r="V781" s="365"/>
      <c r="W781" s="365"/>
      <c r="X781" s="365"/>
      <c r="Y781" s="365"/>
      <c r="Z781" s="365"/>
    </row>
    <row r="782" spans="1:26" ht="14.25" customHeight="1" x14ac:dyDescent="0.25">
      <c r="A782" s="365"/>
      <c r="B782" s="365"/>
      <c r="C782" s="365"/>
      <c r="D782" s="365"/>
      <c r="E782" s="365"/>
      <c r="F782" s="365"/>
      <c r="G782" s="365"/>
      <c r="H782" s="365"/>
      <c r="I782" s="365"/>
      <c r="J782" s="365"/>
      <c r="K782" s="365"/>
      <c r="L782" s="365"/>
      <c r="M782" s="365"/>
      <c r="N782" s="365"/>
      <c r="O782" s="365"/>
      <c r="P782" s="365"/>
      <c r="Q782" s="365"/>
      <c r="R782" s="365"/>
      <c r="S782" s="365"/>
      <c r="T782" s="365"/>
      <c r="U782" s="365"/>
      <c r="V782" s="365"/>
      <c r="W782" s="365"/>
      <c r="X782" s="365"/>
      <c r="Y782" s="365"/>
      <c r="Z782" s="365"/>
    </row>
    <row r="783" spans="1:26" ht="14.25" customHeight="1" x14ac:dyDescent="0.25">
      <c r="A783" s="365"/>
      <c r="B783" s="365"/>
      <c r="C783" s="365"/>
      <c r="D783" s="365"/>
      <c r="E783" s="365"/>
      <c r="F783" s="365"/>
      <c r="G783" s="365"/>
      <c r="H783" s="365"/>
      <c r="I783" s="365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  <c r="T783" s="365"/>
      <c r="U783" s="365"/>
      <c r="V783" s="365"/>
      <c r="W783" s="365"/>
      <c r="X783" s="365"/>
      <c r="Y783" s="365"/>
      <c r="Z783" s="365"/>
    </row>
    <row r="784" spans="1:26" ht="14.25" customHeight="1" x14ac:dyDescent="0.25">
      <c r="A784" s="365"/>
      <c r="B784" s="365"/>
      <c r="C784" s="365"/>
      <c r="D784" s="365"/>
      <c r="E784" s="365"/>
      <c r="F784" s="365"/>
      <c r="G784" s="365"/>
      <c r="H784" s="365"/>
      <c r="I784" s="365"/>
      <c r="J784" s="365"/>
      <c r="K784" s="365"/>
      <c r="L784" s="365"/>
      <c r="M784" s="365"/>
      <c r="N784" s="365"/>
      <c r="O784" s="365"/>
      <c r="P784" s="365"/>
      <c r="Q784" s="365"/>
      <c r="R784" s="365"/>
      <c r="S784" s="365"/>
      <c r="T784" s="365"/>
      <c r="U784" s="365"/>
      <c r="V784" s="365"/>
      <c r="W784" s="365"/>
      <c r="X784" s="365"/>
      <c r="Y784" s="365"/>
      <c r="Z784" s="365"/>
    </row>
    <row r="785" spans="1:26" ht="14.25" customHeight="1" x14ac:dyDescent="0.25">
      <c r="A785" s="365"/>
      <c r="B785" s="365"/>
      <c r="C785" s="365"/>
      <c r="D785" s="365"/>
      <c r="E785" s="365"/>
      <c r="F785" s="365"/>
      <c r="G785" s="365"/>
      <c r="H785" s="365"/>
      <c r="I785" s="365"/>
      <c r="J785" s="365"/>
      <c r="K785" s="365"/>
      <c r="L785" s="365"/>
      <c r="M785" s="365"/>
      <c r="N785" s="365"/>
      <c r="O785" s="365"/>
      <c r="P785" s="365"/>
      <c r="Q785" s="365"/>
      <c r="R785" s="365"/>
      <c r="S785" s="365"/>
      <c r="T785" s="365"/>
      <c r="U785" s="365"/>
      <c r="V785" s="365"/>
      <c r="W785" s="365"/>
      <c r="X785" s="365"/>
      <c r="Y785" s="365"/>
      <c r="Z785" s="365"/>
    </row>
    <row r="786" spans="1:26" ht="14.25" customHeight="1" x14ac:dyDescent="0.25">
      <c r="A786" s="365"/>
      <c r="B786" s="365"/>
      <c r="C786" s="365"/>
      <c r="D786" s="365"/>
      <c r="E786" s="365"/>
      <c r="F786" s="365"/>
      <c r="G786" s="365"/>
      <c r="H786" s="365"/>
      <c r="I786" s="365"/>
      <c r="J786" s="365"/>
      <c r="K786" s="365"/>
      <c r="L786" s="365"/>
      <c r="M786" s="365"/>
      <c r="N786" s="365"/>
      <c r="O786" s="365"/>
      <c r="P786" s="365"/>
      <c r="Q786" s="365"/>
      <c r="R786" s="365"/>
      <c r="S786" s="365"/>
      <c r="T786" s="365"/>
      <c r="U786" s="365"/>
      <c r="V786" s="365"/>
      <c r="W786" s="365"/>
      <c r="X786" s="365"/>
      <c r="Y786" s="365"/>
      <c r="Z786" s="365"/>
    </row>
    <row r="787" spans="1:26" ht="14.25" customHeight="1" x14ac:dyDescent="0.25">
      <c r="A787" s="365"/>
      <c r="B787" s="365"/>
      <c r="C787" s="365"/>
      <c r="D787" s="365"/>
      <c r="E787" s="365"/>
      <c r="F787" s="365"/>
      <c r="G787" s="365"/>
      <c r="H787" s="365"/>
      <c r="I787" s="365"/>
      <c r="J787" s="365"/>
      <c r="K787" s="365"/>
      <c r="L787" s="365"/>
      <c r="M787" s="365"/>
      <c r="N787" s="365"/>
      <c r="O787" s="365"/>
      <c r="P787" s="365"/>
      <c r="Q787" s="365"/>
      <c r="R787" s="365"/>
      <c r="S787" s="365"/>
      <c r="T787" s="365"/>
      <c r="U787" s="365"/>
      <c r="V787" s="365"/>
      <c r="W787" s="365"/>
      <c r="X787" s="365"/>
      <c r="Y787" s="365"/>
      <c r="Z787" s="365"/>
    </row>
    <row r="788" spans="1:26" ht="14.25" customHeight="1" x14ac:dyDescent="0.25">
      <c r="A788" s="365"/>
      <c r="B788" s="365"/>
      <c r="C788" s="365"/>
      <c r="D788" s="365"/>
      <c r="E788" s="365"/>
      <c r="F788" s="365"/>
      <c r="G788" s="365"/>
      <c r="H788" s="365"/>
      <c r="I788" s="365"/>
      <c r="J788" s="365"/>
      <c r="K788" s="365"/>
      <c r="L788" s="365"/>
      <c r="M788" s="365"/>
      <c r="N788" s="365"/>
      <c r="O788" s="365"/>
      <c r="P788" s="365"/>
      <c r="Q788" s="365"/>
      <c r="R788" s="365"/>
      <c r="S788" s="365"/>
      <c r="T788" s="365"/>
      <c r="U788" s="365"/>
      <c r="V788" s="365"/>
      <c r="W788" s="365"/>
      <c r="X788" s="365"/>
      <c r="Y788" s="365"/>
      <c r="Z788" s="365"/>
    </row>
    <row r="789" spans="1:26" ht="14.25" customHeight="1" x14ac:dyDescent="0.25">
      <c r="A789" s="365"/>
      <c r="B789" s="365"/>
      <c r="C789" s="365"/>
      <c r="D789" s="365"/>
      <c r="E789" s="365"/>
      <c r="F789" s="365"/>
      <c r="G789" s="365"/>
      <c r="H789" s="365"/>
      <c r="I789" s="365"/>
      <c r="J789" s="365"/>
      <c r="K789" s="365"/>
      <c r="L789" s="365"/>
      <c r="M789" s="365"/>
      <c r="N789" s="365"/>
      <c r="O789" s="365"/>
      <c r="P789" s="365"/>
      <c r="Q789" s="365"/>
      <c r="R789" s="365"/>
      <c r="S789" s="365"/>
      <c r="T789" s="365"/>
      <c r="U789" s="365"/>
      <c r="V789" s="365"/>
      <c r="W789" s="365"/>
      <c r="X789" s="365"/>
      <c r="Y789" s="365"/>
      <c r="Z789" s="365"/>
    </row>
    <row r="790" spans="1:26" ht="14.25" customHeight="1" x14ac:dyDescent="0.25">
      <c r="A790" s="365"/>
      <c r="B790" s="365"/>
      <c r="C790" s="365"/>
      <c r="D790" s="365"/>
      <c r="E790" s="365"/>
      <c r="F790" s="365"/>
      <c r="G790" s="365"/>
      <c r="H790" s="365"/>
      <c r="I790" s="365"/>
      <c r="J790" s="365"/>
      <c r="K790" s="365"/>
      <c r="L790" s="365"/>
      <c r="M790" s="365"/>
      <c r="N790" s="365"/>
      <c r="O790" s="365"/>
      <c r="P790" s="365"/>
      <c r="Q790" s="365"/>
      <c r="R790" s="365"/>
      <c r="S790" s="365"/>
      <c r="T790" s="365"/>
      <c r="U790" s="365"/>
      <c r="V790" s="365"/>
      <c r="W790" s="365"/>
      <c r="X790" s="365"/>
      <c r="Y790" s="365"/>
      <c r="Z790" s="365"/>
    </row>
    <row r="791" spans="1:26" ht="14.25" customHeight="1" x14ac:dyDescent="0.25">
      <c r="A791" s="365"/>
      <c r="B791" s="365"/>
      <c r="C791" s="365"/>
      <c r="D791" s="365"/>
      <c r="E791" s="365"/>
      <c r="F791" s="365"/>
      <c r="G791" s="365"/>
      <c r="H791" s="365"/>
      <c r="I791" s="365"/>
      <c r="J791" s="365"/>
      <c r="K791" s="365"/>
      <c r="L791" s="365"/>
      <c r="M791" s="365"/>
      <c r="N791" s="365"/>
      <c r="O791" s="365"/>
      <c r="P791" s="365"/>
      <c r="Q791" s="365"/>
      <c r="R791" s="365"/>
      <c r="S791" s="365"/>
      <c r="T791" s="365"/>
      <c r="U791" s="365"/>
      <c r="V791" s="365"/>
      <c r="W791" s="365"/>
      <c r="X791" s="365"/>
      <c r="Y791" s="365"/>
      <c r="Z791" s="365"/>
    </row>
    <row r="792" spans="1:26" ht="14.25" customHeight="1" x14ac:dyDescent="0.25">
      <c r="A792" s="365"/>
      <c r="B792" s="365"/>
      <c r="C792" s="365"/>
      <c r="D792" s="365"/>
      <c r="E792" s="365"/>
      <c r="F792" s="365"/>
      <c r="G792" s="365"/>
      <c r="H792" s="365"/>
      <c r="I792" s="365"/>
      <c r="J792" s="365"/>
      <c r="K792" s="365"/>
      <c r="L792" s="365"/>
      <c r="M792" s="365"/>
      <c r="N792" s="365"/>
      <c r="O792" s="365"/>
      <c r="P792" s="365"/>
      <c r="Q792" s="365"/>
      <c r="R792" s="365"/>
      <c r="S792" s="365"/>
      <c r="T792" s="365"/>
      <c r="U792" s="365"/>
      <c r="V792" s="365"/>
      <c r="W792" s="365"/>
      <c r="X792" s="365"/>
      <c r="Y792" s="365"/>
      <c r="Z792" s="365"/>
    </row>
    <row r="793" spans="1:26" ht="14.25" customHeight="1" x14ac:dyDescent="0.25">
      <c r="A793" s="365"/>
      <c r="B793" s="365"/>
      <c r="C793" s="365"/>
      <c r="D793" s="365"/>
      <c r="E793" s="365"/>
      <c r="F793" s="365"/>
      <c r="G793" s="365"/>
      <c r="H793" s="365"/>
      <c r="I793" s="365"/>
      <c r="J793" s="365"/>
      <c r="K793" s="365"/>
      <c r="L793" s="365"/>
      <c r="M793" s="365"/>
      <c r="N793" s="365"/>
      <c r="O793" s="365"/>
      <c r="P793" s="365"/>
      <c r="Q793" s="365"/>
      <c r="R793" s="365"/>
      <c r="S793" s="365"/>
      <c r="T793" s="365"/>
      <c r="U793" s="365"/>
      <c r="V793" s="365"/>
      <c r="W793" s="365"/>
      <c r="X793" s="365"/>
      <c r="Y793" s="365"/>
      <c r="Z793" s="365"/>
    </row>
    <row r="794" spans="1:26" ht="14.25" customHeight="1" x14ac:dyDescent="0.25">
      <c r="A794" s="365"/>
      <c r="B794" s="365"/>
      <c r="C794" s="365"/>
      <c r="D794" s="365"/>
      <c r="E794" s="365"/>
      <c r="F794" s="365"/>
      <c r="G794" s="365"/>
      <c r="H794" s="365"/>
      <c r="I794" s="365"/>
      <c r="J794" s="365"/>
      <c r="K794" s="365"/>
      <c r="L794" s="365"/>
      <c r="M794" s="365"/>
      <c r="N794" s="365"/>
      <c r="O794" s="365"/>
      <c r="P794" s="365"/>
      <c r="Q794" s="365"/>
      <c r="R794" s="365"/>
      <c r="S794" s="365"/>
      <c r="T794" s="365"/>
      <c r="U794" s="365"/>
      <c r="V794" s="365"/>
      <c r="W794" s="365"/>
      <c r="X794" s="365"/>
      <c r="Y794" s="365"/>
      <c r="Z794" s="365"/>
    </row>
    <row r="795" spans="1:26" ht="14.25" customHeight="1" x14ac:dyDescent="0.25">
      <c r="A795" s="365"/>
      <c r="B795" s="365"/>
      <c r="C795" s="365"/>
      <c r="D795" s="365"/>
      <c r="E795" s="365"/>
      <c r="F795" s="365"/>
      <c r="G795" s="365"/>
      <c r="H795" s="365"/>
      <c r="I795" s="365"/>
      <c r="J795" s="365"/>
      <c r="K795" s="365"/>
      <c r="L795" s="365"/>
      <c r="M795" s="365"/>
      <c r="N795" s="365"/>
      <c r="O795" s="365"/>
      <c r="P795" s="365"/>
      <c r="Q795" s="365"/>
      <c r="R795" s="365"/>
      <c r="S795" s="365"/>
      <c r="T795" s="365"/>
      <c r="U795" s="365"/>
      <c r="V795" s="365"/>
      <c r="W795" s="365"/>
      <c r="X795" s="365"/>
      <c r="Y795" s="365"/>
      <c r="Z795" s="365"/>
    </row>
    <row r="796" spans="1:26" ht="14.25" customHeight="1" x14ac:dyDescent="0.25">
      <c r="A796" s="365"/>
      <c r="B796" s="365"/>
      <c r="C796" s="365"/>
      <c r="D796" s="365"/>
      <c r="E796" s="365"/>
      <c r="F796" s="365"/>
      <c r="G796" s="365"/>
      <c r="H796" s="365"/>
      <c r="I796" s="365"/>
      <c r="J796" s="365"/>
      <c r="K796" s="365"/>
      <c r="L796" s="365"/>
      <c r="M796" s="365"/>
      <c r="N796" s="365"/>
      <c r="O796" s="365"/>
      <c r="P796" s="365"/>
      <c r="Q796" s="365"/>
      <c r="R796" s="365"/>
      <c r="S796" s="365"/>
      <c r="T796" s="365"/>
      <c r="U796" s="365"/>
      <c r="V796" s="365"/>
      <c r="W796" s="365"/>
      <c r="X796" s="365"/>
      <c r="Y796" s="365"/>
      <c r="Z796" s="365"/>
    </row>
    <row r="797" spans="1:26" ht="14.25" customHeight="1" x14ac:dyDescent="0.25">
      <c r="A797" s="365"/>
      <c r="B797" s="365"/>
      <c r="C797" s="365"/>
      <c r="D797" s="365"/>
      <c r="E797" s="365"/>
      <c r="F797" s="365"/>
      <c r="G797" s="365"/>
      <c r="H797" s="365"/>
      <c r="I797" s="365"/>
      <c r="J797" s="365"/>
      <c r="K797" s="365"/>
      <c r="L797" s="365"/>
      <c r="M797" s="365"/>
      <c r="N797" s="365"/>
      <c r="O797" s="365"/>
      <c r="P797" s="365"/>
      <c r="Q797" s="365"/>
      <c r="R797" s="365"/>
      <c r="S797" s="365"/>
      <c r="T797" s="365"/>
      <c r="U797" s="365"/>
      <c r="V797" s="365"/>
      <c r="W797" s="365"/>
      <c r="X797" s="365"/>
      <c r="Y797" s="365"/>
      <c r="Z797" s="365"/>
    </row>
    <row r="798" spans="1:26" ht="14.25" customHeight="1" x14ac:dyDescent="0.25">
      <c r="A798" s="365"/>
      <c r="B798" s="365"/>
      <c r="C798" s="365"/>
      <c r="D798" s="365"/>
      <c r="E798" s="365"/>
      <c r="F798" s="365"/>
      <c r="G798" s="365"/>
      <c r="H798" s="365"/>
      <c r="I798" s="365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5"/>
      <c r="V798" s="365"/>
      <c r="W798" s="365"/>
      <c r="X798" s="365"/>
      <c r="Y798" s="365"/>
      <c r="Z798" s="365"/>
    </row>
    <row r="799" spans="1:26" ht="14.25" customHeight="1" x14ac:dyDescent="0.25">
      <c r="A799" s="365"/>
      <c r="B799" s="365"/>
      <c r="C799" s="365"/>
      <c r="D799" s="365"/>
      <c r="E799" s="365"/>
      <c r="F799" s="365"/>
      <c r="G799" s="365"/>
      <c r="H799" s="365"/>
      <c r="I799" s="365"/>
      <c r="J799" s="365"/>
      <c r="K799" s="365"/>
      <c r="L799" s="365"/>
      <c r="M799" s="365"/>
      <c r="N799" s="365"/>
      <c r="O799" s="365"/>
      <c r="P799" s="365"/>
      <c r="Q799" s="365"/>
      <c r="R799" s="365"/>
      <c r="S799" s="365"/>
      <c r="T799" s="365"/>
      <c r="U799" s="365"/>
      <c r="V799" s="365"/>
      <c r="W799" s="365"/>
      <c r="X799" s="365"/>
      <c r="Y799" s="365"/>
      <c r="Z799" s="365"/>
    </row>
    <row r="800" spans="1:26" ht="14.25" customHeight="1" x14ac:dyDescent="0.25">
      <c r="A800" s="365"/>
      <c r="B800" s="365"/>
      <c r="C800" s="365"/>
      <c r="D800" s="365"/>
      <c r="E800" s="365"/>
      <c r="F800" s="365"/>
      <c r="G800" s="365"/>
      <c r="H800" s="365"/>
      <c r="I800" s="365"/>
      <c r="J800" s="365"/>
      <c r="K800" s="365"/>
      <c r="L800" s="365"/>
      <c r="M800" s="365"/>
      <c r="N800" s="365"/>
      <c r="O800" s="365"/>
      <c r="P800" s="365"/>
      <c r="Q800" s="365"/>
      <c r="R800" s="365"/>
      <c r="S800" s="365"/>
      <c r="T800" s="365"/>
      <c r="U800" s="365"/>
      <c r="V800" s="365"/>
      <c r="W800" s="365"/>
      <c r="X800" s="365"/>
      <c r="Y800" s="365"/>
      <c r="Z800" s="365"/>
    </row>
    <row r="801" spans="1:26" ht="14.25" customHeight="1" x14ac:dyDescent="0.25">
      <c r="A801" s="365"/>
      <c r="B801" s="365"/>
      <c r="C801" s="365"/>
      <c r="D801" s="365"/>
      <c r="E801" s="365"/>
      <c r="F801" s="365"/>
      <c r="G801" s="365"/>
      <c r="H801" s="365"/>
      <c r="I801" s="365"/>
      <c r="J801" s="365"/>
      <c r="K801" s="365"/>
      <c r="L801" s="365"/>
      <c r="M801" s="365"/>
      <c r="N801" s="365"/>
      <c r="O801" s="365"/>
      <c r="P801" s="365"/>
      <c r="Q801" s="365"/>
      <c r="R801" s="365"/>
      <c r="S801" s="365"/>
      <c r="T801" s="365"/>
      <c r="U801" s="365"/>
      <c r="V801" s="365"/>
      <c r="W801" s="365"/>
      <c r="X801" s="365"/>
      <c r="Y801" s="365"/>
      <c r="Z801" s="365"/>
    </row>
    <row r="802" spans="1:26" ht="14.25" customHeight="1" x14ac:dyDescent="0.25">
      <c r="A802" s="365"/>
      <c r="B802" s="365"/>
      <c r="C802" s="365"/>
      <c r="D802" s="365"/>
      <c r="E802" s="365"/>
      <c r="F802" s="365"/>
      <c r="G802" s="365"/>
      <c r="H802" s="365"/>
      <c r="I802" s="365"/>
      <c r="J802" s="365"/>
      <c r="K802" s="365"/>
      <c r="L802" s="365"/>
      <c r="M802" s="365"/>
      <c r="N802" s="365"/>
      <c r="O802" s="365"/>
      <c r="P802" s="365"/>
      <c r="Q802" s="365"/>
      <c r="R802" s="365"/>
      <c r="S802" s="365"/>
      <c r="T802" s="365"/>
      <c r="U802" s="365"/>
      <c r="V802" s="365"/>
      <c r="W802" s="365"/>
      <c r="X802" s="365"/>
      <c r="Y802" s="365"/>
      <c r="Z802" s="365"/>
    </row>
    <row r="803" spans="1:26" ht="14.25" customHeight="1" x14ac:dyDescent="0.25">
      <c r="A803" s="365"/>
      <c r="B803" s="365"/>
      <c r="C803" s="365"/>
      <c r="D803" s="365"/>
      <c r="E803" s="365"/>
      <c r="F803" s="365"/>
      <c r="G803" s="365"/>
      <c r="H803" s="365"/>
      <c r="I803" s="365"/>
      <c r="J803" s="365"/>
      <c r="K803" s="365"/>
      <c r="L803" s="365"/>
      <c r="M803" s="365"/>
      <c r="N803" s="365"/>
      <c r="O803" s="365"/>
      <c r="P803" s="365"/>
      <c r="Q803" s="365"/>
      <c r="R803" s="365"/>
      <c r="S803" s="365"/>
      <c r="T803" s="365"/>
      <c r="U803" s="365"/>
      <c r="V803" s="365"/>
      <c r="W803" s="365"/>
      <c r="X803" s="365"/>
      <c r="Y803" s="365"/>
      <c r="Z803" s="365"/>
    </row>
    <row r="804" spans="1:26" ht="14.25" customHeight="1" x14ac:dyDescent="0.25">
      <c r="A804" s="365"/>
      <c r="B804" s="365"/>
      <c r="C804" s="365"/>
      <c r="D804" s="365"/>
      <c r="E804" s="365"/>
      <c r="F804" s="365"/>
      <c r="G804" s="365"/>
      <c r="H804" s="365"/>
      <c r="I804" s="365"/>
      <c r="J804" s="365"/>
      <c r="K804" s="365"/>
      <c r="L804" s="365"/>
      <c r="M804" s="365"/>
      <c r="N804" s="365"/>
      <c r="O804" s="365"/>
      <c r="P804" s="365"/>
      <c r="Q804" s="365"/>
      <c r="R804" s="365"/>
      <c r="S804" s="365"/>
      <c r="T804" s="365"/>
      <c r="U804" s="365"/>
      <c r="V804" s="365"/>
      <c r="W804" s="365"/>
      <c r="X804" s="365"/>
      <c r="Y804" s="365"/>
      <c r="Z804" s="365"/>
    </row>
    <row r="805" spans="1:26" ht="14.25" customHeight="1" x14ac:dyDescent="0.25">
      <c r="A805" s="365"/>
      <c r="B805" s="365"/>
      <c r="C805" s="365"/>
      <c r="D805" s="365"/>
      <c r="E805" s="365"/>
      <c r="F805" s="365"/>
      <c r="G805" s="365"/>
      <c r="H805" s="365"/>
      <c r="I805" s="365"/>
      <c r="J805" s="365"/>
      <c r="K805" s="365"/>
      <c r="L805" s="365"/>
      <c r="M805" s="365"/>
      <c r="N805" s="365"/>
      <c r="O805" s="365"/>
      <c r="P805" s="365"/>
      <c r="Q805" s="365"/>
      <c r="R805" s="365"/>
      <c r="S805" s="365"/>
      <c r="T805" s="365"/>
      <c r="U805" s="365"/>
      <c r="V805" s="365"/>
      <c r="W805" s="365"/>
      <c r="X805" s="365"/>
      <c r="Y805" s="365"/>
      <c r="Z805" s="365"/>
    </row>
    <row r="806" spans="1:26" ht="14.25" customHeight="1" x14ac:dyDescent="0.25">
      <c r="A806" s="365"/>
      <c r="B806" s="365"/>
      <c r="C806" s="365"/>
      <c r="D806" s="365"/>
      <c r="E806" s="365"/>
      <c r="F806" s="365"/>
      <c r="G806" s="365"/>
      <c r="H806" s="365"/>
      <c r="I806" s="365"/>
      <c r="J806" s="365"/>
      <c r="K806" s="365"/>
      <c r="L806" s="365"/>
      <c r="M806" s="365"/>
      <c r="N806" s="365"/>
      <c r="O806" s="365"/>
      <c r="P806" s="365"/>
      <c r="Q806" s="365"/>
      <c r="R806" s="365"/>
      <c r="S806" s="365"/>
      <c r="T806" s="365"/>
      <c r="U806" s="365"/>
      <c r="V806" s="365"/>
      <c r="W806" s="365"/>
      <c r="X806" s="365"/>
      <c r="Y806" s="365"/>
      <c r="Z806" s="365"/>
    </row>
    <row r="807" spans="1:26" ht="14.25" customHeight="1" x14ac:dyDescent="0.25">
      <c r="A807" s="365"/>
      <c r="B807" s="365"/>
      <c r="C807" s="365"/>
      <c r="D807" s="365"/>
      <c r="E807" s="365"/>
      <c r="F807" s="365"/>
      <c r="G807" s="365"/>
      <c r="H807" s="365"/>
      <c r="I807" s="365"/>
      <c r="J807" s="365"/>
      <c r="K807" s="365"/>
      <c r="L807" s="365"/>
      <c r="M807" s="365"/>
      <c r="N807" s="365"/>
      <c r="O807" s="365"/>
      <c r="P807" s="365"/>
      <c r="Q807" s="365"/>
      <c r="R807" s="365"/>
      <c r="S807" s="365"/>
      <c r="T807" s="365"/>
      <c r="U807" s="365"/>
      <c r="V807" s="365"/>
      <c r="W807" s="365"/>
      <c r="X807" s="365"/>
      <c r="Y807" s="365"/>
      <c r="Z807" s="365"/>
    </row>
    <row r="808" spans="1:26" ht="14.25" customHeight="1" x14ac:dyDescent="0.25">
      <c r="A808" s="365"/>
      <c r="B808" s="365"/>
      <c r="C808" s="365"/>
      <c r="D808" s="365"/>
      <c r="E808" s="365"/>
      <c r="F808" s="365"/>
      <c r="G808" s="365"/>
      <c r="H808" s="365"/>
      <c r="I808" s="365"/>
      <c r="J808" s="365"/>
      <c r="K808" s="365"/>
      <c r="L808" s="365"/>
      <c r="M808" s="365"/>
      <c r="N808" s="365"/>
      <c r="O808" s="365"/>
      <c r="P808" s="365"/>
      <c r="Q808" s="365"/>
      <c r="R808" s="365"/>
      <c r="S808" s="365"/>
      <c r="T808" s="365"/>
      <c r="U808" s="365"/>
      <c r="V808" s="365"/>
      <c r="W808" s="365"/>
      <c r="X808" s="365"/>
      <c r="Y808" s="365"/>
      <c r="Z808" s="365"/>
    </row>
    <row r="809" spans="1:26" ht="14.25" customHeight="1" x14ac:dyDescent="0.25">
      <c r="A809" s="365"/>
      <c r="B809" s="365"/>
      <c r="C809" s="365"/>
      <c r="D809" s="365"/>
      <c r="E809" s="365"/>
      <c r="F809" s="365"/>
      <c r="G809" s="365"/>
      <c r="H809" s="365"/>
      <c r="I809" s="365"/>
      <c r="J809" s="365"/>
      <c r="K809" s="365"/>
      <c r="L809" s="365"/>
      <c r="M809" s="365"/>
      <c r="N809" s="365"/>
      <c r="O809" s="365"/>
      <c r="P809" s="365"/>
      <c r="Q809" s="365"/>
      <c r="R809" s="365"/>
      <c r="S809" s="365"/>
      <c r="T809" s="365"/>
      <c r="U809" s="365"/>
      <c r="V809" s="365"/>
      <c r="W809" s="365"/>
      <c r="X809" s="365"/>
      <c r="Y809" s="365"/>
      <c r="Z809" s="365"/>
    </row>
    <row r="810" spans="1:26" ht="14.25" customHeight="1" x14ac:dyDescent="0.25">
      <c r="A810" s="365"/>
      <c r="B810" s="365"/>
      <c r="C810" s="365"/>
      <c r="D810" s="365"/>
      <c r="E810" s="365"/>
      <c r="F810" s="365"/>
      <c r="G810" s="365"/>
      <c r="H810" s="365"/>
      <c r="I810" s="365"/>
      <c r="J810" s="365"/>
      <c r="K810" s="365"/>
      <c r="L810" s="365"/>
      <c r="M810" s="365"/>
      <c r="N810" s="365"/>
      <c r="O810" s="365"/>
      <c r="P810" s="365"/>
      <c r="Q810" s="365"/>
      <c r="R810" s="365"/>
      <c r="S810" s="365"/>
      <c r="T810" s="365"/>
      <c r="U810" s="365"/>
      <c r="V810" s="365"/>
      <c r="W810" s="365"/>
      <c r="X810" s="365"/>
      <c r="Y810" s="365"/>
      <c r="Z810" s="365"/>
    </row>
    <row r="811" spans="1:26" ht="14.25" customHeight="1" x14ac:dyDescent="0.25">
      <c r="A811" s="365"/>
      <c r="B811" s="365"/>
      <c r="C811" s="365"/>
      <c r="D811" s="365"/>
      <c r="E811" s="365"/>
      <c r="F811" s="365"/>
      <c r="G811" s="365"/>
      <c r="H811" s="365"/>
      <c r="I811" s="365"/>
      <c r="J811" s="365"/>
      <c r="K811" s="365"/>
      <c r="L811" s="365"/>
      <c r="M811" s="365"/>
      <c r="N811" s="365"/>
      <c r="O811" s="365"/>
      <c r="P811" s="365"/>
      <c r="Q811" s="365"/>
      <c r="R811" s="365"/>
      <c r="S811" s="365"/>
      <c r="T811" s="365"/>
      <c r="U811" s="365"/>
      <c r="V811" s="365"/>
      <c r="W811" s="365"/>
      <c r="X811" s="365"/>
      <c r="Y811" s="365"/>
      <c r="Z811" s="365"/>
    </row>
    <row r="812" spans="1:26" ht="14.25" customHeight="1" x14ac:dyDescent="0.25">
      <c r="A812" s="365"/>
      <c r="B812" s="365"/>
      <c r="C812" s="365"/>
      <c r="D812" s="365"/>
      <c r="E812" s="365"/>
      <c r="F812" s="365"/>
      <c r="G812" s="365"/>
      <c r="H812" s="365"/>
      <c r="I812" s="365"/>
      <c r="J812" s="365"/>
      <c r="K812" s="365"/>
      <c r="L812" s="365"/>
      <c r="M812" s="365"/>
      <c r="N812" s="365"/>
      <c r="O812" s="365"/>
      <c r="P812" s="365"/>
      <c r="Q812" s="365"/>
      <c r="R812" s="365"/>
      <c r="S812" s="365"/>
      <c r="T812" s="365"/>
      <c r="U812" s="365"/>
      <c r="V812" s="365"/>
      <c r="W812" s="365"/>
      <c r="X812" s="365"/>
      <c r="Y812" s="365"/>
      <c r="Z812" s="365"/>
    </row>
    <row r="813" spans="1:26" ht="14.25" customHeight="1" x14ac:dyDescent="0.25">
      <c r="A813" s="365"/>
      <c r="B813" s="365"/>
      <c r="C813" s="365"/>
      <c r="D813" s="365"/>
      <c r="E813" s="365"/>
      <c r="F813" s="365"/>
      <c r="G813" s="365"/>
      <c r="H813" s="365"/>
      <c r="I813" s="365"/>
      <c r="J813" s="365"/>
      <c r="K813" s="365"/>
      <c r="L813" s="365"/>
      <c r="M813" s="365"/>
      <c r="N813" s="365"/>
      <c r="O813" s="365"/>
      <c r="P813" s="365"/>
      <c r="Q813" s="365"/>
      <c r="R813" s="365"/>
      <c r="S813" s="365"/>
      <c r="T813" s="365"/>
      <c r="U813" s="365"/>
      <c r="V813" s="365"/>
      <c r="W813" s="365"/>
      <c r="X813" s="365"/>
      <c r="Y813" s="365"/>
      <c r="Z813" s="365"/>
    </row>
    <row r="814" spans="1:26" ht="14.25" customHeight="1" x14ac:dyDescent="0.25">
      <c r="A814" s="365"/>
      <c r="B814" s="365"/>
      <c r="C814" s="365"/>
      <c r="D814" s="365"/>
      <c r="E814" s="365"/>
      <c r="F814" s="365"/>
      <c r="G814" s="365"/>
      <c r="H814" s="365"/>
      <c r="I814" s="365"/>
      <c r="J814" s="365"/>
      <c r="K814" s="365"/>
      <c r="L814" s="365"/>
      <c r="M814" s="365"/>
      <c r="N814" s="365"/>
      <c r="O814" s="365"/>
      <c r="P814" s="365"/>
      <c r="Q814" s="365"/>
      <c r="R814" s="365"/>
      <c r="S814" s="365"/>
      <c r="T814" s="365"/>
      <c r="U814" s="365"/>
      <c r="V814" s="365"/>
      <c r="W814" s="365"/>
      <c r="X814" s="365"/>
      <c r="Y814" s="365"/>
      <c r="Z814" s="365"/>
    </row>
    <row r="815" spans="1:26" ht="14.25" customHeight="1" x14ac:dyDescent="0.25">
      <c r="A815" s="365"/>
      <c r="B815" s="365"/>
      <c r="C815" s="365"/>
      <c r="D815" s="365"/>
      <c r="E815" s="365"/>
      <c r="F815" s="365"/>
      <c r="G815" s="365"/>
      <c r="H815" s="365"/>
      <c r="I815" s="365"/>
      <c r="J815" s="365"/>
      <c r="K815" s="365"/>
      <c r="L815" s="365"/>
      <c r="M815" s="365"/>
      <c r="N815" s="365"/>
      <c r="O815" s="365"/>
      <c r="P815" s="365"/>
      <c r="Q815" s="365"/>
      <c r="R815" s="365"/>
      <c r="S815" s="365"/>
      <c r="T815" s="365"/>
      <c r="U815" s="365"/>
      <c r="V815" s="365"/>
      <c r="W815" s="365"/>
      <c r="X815" s="365"/>
      <c r="Y815" s="365"/>
      <c r="Z815" s="365"/>
    </row>
    <row r="816" spans="1:26" ht="14.25" customHeight="1" x14ac:dyDescent="0.25">
      <c r="A816" s="365"/>
      <c r="B816" s="365"/>
      <c r="C816" s="365"/>
      <c r="D816" s="365"/>
      <c r="E816" s="365"/>
      <c r="F816" s="365"/>
      <c r="G816" s="365"/>
      <c r="H816" s="365"/>
      <c r="I816" s="365"/>
      <c r="J816" s="365"/>
      <c r="K816" s="365"/>
      <c r="L816" s="365"/>
      <c r="M816" s="365"/>
      <c r="N816" s="365"/>
      <c r="O816" s="365"/>
      <c r="P816" s="365"/>
      <c r="Q816" s="365"/>
      <c r="R816" s="365"/>
      <c r="S816" s="365"/>
      <c r="T816" s="365"/>
      <c r="U816" s="365"/>
      <c r="V816" s="365"/>
      <c r="W816" s="365"/>
      <c r="X816" s="365"/>
      <c r="Y816" s="365"/>
      <c r="Z816" s="365"/>
    </row>
    <row r="817" spans="1:26" ht="14.25" customHeight="1" x14ac:dyDescent="0.25">
      <c r="A817" s="365"/>
      <c r="B817" s="365"/>
      <c r="C817" s="365"/>
      <c r="D817" s="365"/>
      <c r="E817" s="365"/>
      <c r="F817" s="365"/>
      <c r="G817" s="365"/>
      <c r="H817" s="365"/>
      <c r="I817" s="365"/>
      <c r="J817" s="365"/>
      <c r="K817" s="365"/>
      <c r="L817" s="365"/>
      <c r="M817" s="365"/>
      <c r="N817" s="365"/>
      <c r="O817" s="365"/>
      <c r="P817" s="365"/>
      <c r="Q817" s="365"/>
      <c r="R817" s="365"/>
      <c r="S817" s="365"/>
      <c r="T817" s="365"/>
      <c r="U817" s="365"/>
      <c r="V817" s="365"/>
      <c r="W817" s="365"/>
      <c r="X817" s="365"/>
      <c r="Y817" s="365"/>
      <c r="Z817" s="365"/>
    </row>
    <row r="818" spans="1:26" ht="14.25" customHeight="1" x14ac:dyDescent="0.25">
      <c r="A818" s="365"/>
      <c r="B818" s="365"/>
      <c r="C818" s="365"/>
      <c r="D818" s="365"/>
      <c r="E818" s="365"/>
      <c r="F818" s="365"/>
      <c r="G818" s="365"/>
      <c r="H818" s="365"/>
      <c r="I818" s="365"/>
      <c r="J818" s="365"/>
      <c r="K818" s="365"/>
      <c r="L818" s="365"/>
      <c r="M818" s="365"/>
      <c r="N818" s="365"/>
      <c r="O818" s="365"/>
      <c r="P818" s="365"/>
      <c r="Q818" s="365"/>
      <c r="R818" s="365"/>
      <c r="S818" s="365"/>
      <c r="T818" s="365"/>
      <c r="U818" s="365"/>
      <c r="V818" s="365"/>
      <c r="W818" s="365"/>
      <c r="X818" s="365"/>
      <c r="Y818" s="365"/>
      <c r="Z818" s="365"/>
    </row>
    <row r="819" spans="1:26" ht="14.25" customHeight="1" x14ac:dyDescent="0.25">
      <c r="A819" s="365"/>
      <c r="B819" s="365"/>
      <c r="C819" s="365"/>
      <c r="D819" s="365"/>
      <c r="E819" s="365"/>
      <c r="F819" s="365"/>
      <c r="G819" s="365"/>
      <c r="H819" s="365"/>
      <c r="I819" s="365"/>
      <c r="J819" s="365"/>
      <c r="K819" s="365"/>
      <c r="L819" s="365"/>
      <c r="M819" s="365"/>
      <c r="N819" s="365"/>
      <c r="O819" s="365"/>
      <c r="P819" s="365"/>
      <c r="Q819" s="365"/>
      <c r="R819" s="365"/>
      <c r="S819" s="365"/>
      <c r="T819" s="365"/>
      <c r="U819" s="365"/>
      <c r="V819" s="365"/>
      <c r="W819" s="365"/>
      <c r="X819" s="365"/>
      <c r="Y819" s="365"/>
      <c r="Z819" s="365"/>
    </row>
    <row r="820" spans="1:26" ht="14.25" customHeight="1" x14ac:dyDescent="0.25">
      <c r="A820" s="365"/>
      <c r="B820" s="365"/>
      <c r="C820" s="365"/>
      <c r="D820" s="365"/>
      <c r="E820" s="365"/>
      <c r="F820" s="365"/>
      <c r="G820" s="365"/>
      <c r="H820" s="365"/>
      <c r="I820" s="365"/>
      <c r="J820" s="365"/>
      <c r="K820" s="365"/>
      <c r="L820" s="365"/>
      <c r="M820" s="365"/>
      <c r="N820" s="365"/>
      <c r="O820" s="365"/>
      <c r="P820" s="365"/>
      <c r="Q820" s="365"/>
      <c r="R820" s="365"/>
      <c r="S820" s="365"/>
      <c r="T820" s="365"/>
      <c r="U820" s="365"/>
      <c r="V820" s="365"/>
      <c r="W820" s="365"/>
      <c r="X820" s="365"/>
      <c r="Y820" s="365"/>
      <c r="Z820" s="365"/>
    </row>
    <row r="821" spans="1:26" ht="14.25" customHeight="1" x14ac:dyDescent="0.25">
      <c r="A821" s="365"/>
      <c r="B821" s="365"/>
      <c r="C821" s="365"/>
      <c r="D821" s="365"/>
      <c r="E821" s="365"/>
      <c r="F821" s="365"/>
      <c r="G821" s="365"/>
      <c r="H821" s="365"/>
      <c r="I821" s="365"/>
      <c r="J821" s="365"/>
      <c r="K821" s="365"/>
      <c r="L821" s="365"/>
      <c r="M821" s="365"/>
      <c r="N821" s="365"/>
      <c r="O821" s="365"/>
      <c r="P821" s="365"/>
      <c r="Q821" s="365"/>
      <c r="R821" s="365"/>
      <c r="S821" s="365"/>
      <c r="T821" s="365"/>
      <c r="U821" s="365"/>
      <c r="V821" s="365"/>
      <c r="W821" s="365"/>
      <c r="X821" s="365"/>
      <c r="Y821" s="365"/>
      <c r="Z821" s="365"/>
    </row>
    <row r="822" spans="1:26" ht="14.25" customHeight="1" x14ac:dyDescent="0.25">
      <c r="A822" s="365"/>
      <c r="B822" s="365"/>
      <c r="C822" s="365"/>
      <c r="D822" s="365"/>
      <c r="E822" s="365"/>
      <c r="F822" s="365"/>
      <c r="G822" s="365"/>
      <c r="H822" s="365"/>
      <c r="I822" s="365"/>
      <c r="J822" s="365"/>
      <c r="K822" s="365"/>
      <c r="L822" s="365"/>
      <c r="M822" s="365"/>
      <c r="N822" s="365"/>
      <c r="O822" s="365"/>
      <c r="P822" s="365"/>
      <c r="Q822" s="365"/>
      <c r="R822" s="365"/>
      <c r="S822" s="365"/>
      <c r="T822" s="365"/>
      <c r="U822" s="365"/>
      <c r="V822" s="365"/>
      <c r="W822" s="365"/>
      <c r="X822" s="365"/>
      <c r="Y822" s="365"/>
      <c r="Z822" s="365"/>
    </row>
    <row r="823" spans="1:26" ht="14.25" customHeight="1" x14ac:dyDescent="0.25">
      <c r="A823" s="365"/>
      <c r="B823" s="365"/>
      <c r="C823" s="365"/>
      <c r="D823" s="365"/>
      <c r="E823" s="365"/>
      <c r="F823" s="365"/>
      <c r="G823" s="365"/>
      <c r="H823" s="365"/>
      <c r="I823" s="365"/>
      <c r="J823" s="365"/>
      <c r="K823" s="365"/>
      <c r="L823" s="365"/>
      <c r="M823" s="365"/>
      <c r="N823" s="365"/>
      <c r="O823" s="365"/>
      <c r="P823" s="365"/>
      <c r="Q823" s="365"/>
      <c r="R823" s="365"/>
      <c r="S823" s="365"/>
      <c r="T823" s="365"/>
      <c r="U823" s="365"/>
      <c r="V823" s="365"/>
      <c r="W823" s="365"/>
      <c r="X823" s="365"/>
      <c r="Y823" s="365"/>
      <c r="Z823" s="365"/>
    </row>
    <row r="824" spans="1:26" ht="14.25" customHeight="1" x14ac:dyDescent="0.25">
      <c r="A824" s="365"/>
      <c r="B824" s="365"/>
      <c r="C824" s="365"/>
      <c r="D824" s="365"/>
      <c r="E824" s="365"/>
      <c r="F824" s="365"/>
      <c r="G824" s="365"/>
      <c r="H824" s="365"/>
      <c r="I824" s="365"/>
      <c r="J824" s="365"/>
      <c r="K824" s="365"/>
      <c r="L824" s="365"/>
      <c r="M824" s="365"/>
      <c r="N824" s="365"/>
      <c r="O824" s="365"/>
      <c r="P824" s="365"/>
      <c r="Q824" s="365"/>
      <c r="R824" s="365"/>
      <c r="S824" s="365"/>
      <c r="T824" s="365"/>
      <c r="U824" s="365"/>
      <c r="V824" s="365"/>
      <c r="W824" s="365"/>
      <c r="X824" s="365"/>
      <c r="Y824" s="365"/>
      <c r="Z824" s="365"/>
    </row>
    <row r="825" spans="1:26" ht="14.25" customHeight="1" x14ac:dyDescent="0.25">
      <c r="A825" s="365"/>
      <c r="B825" s="365"/>
      <c r="C825" s="365"/>
      <c r="D825" s="365"/>
      <c r="E825" s="365"/>
      <c r="F825" s="365"/>
      <c r="G825" s="365"/>
      <c r="H825" s="365"/>
      <c r="I825" s="365"/>
      <c r="J825" s="365"/>
      <c r="K825" s="365"/>
      <c r="L825" s="365"/>
      <c r="M825" s="365"/>
      <c r="N825" s="365"/>
      <c r="O825" s="365"/>
      <c r="P825" s="365"/>
      <c r="Q825" s="365"/>
      <c r="R825" s="365"/>
      <c r="S825" s="365"/>
      <c r="T825" s="365"/>
      <c r="U825" s="365"/>
      <c r="V825" s="365"/>
      <c r="W825" s="365"/>
      <c r="X825" s="365"/>
      <c r="Y825" s="365"/>
      <c r="Z825" s="365"/>
    </row>
    <row r="826" spans="1:26" ht="14.25" customHeight="1" x14ac:dyDescent="0.25">
      <c r="A826" s="365"/>
      <c r="B826" s="365"/>
      <c r="C826" s="365"/>
      <c r="D826" s="365"/>
      <c r="E826" s="365"/>
      <c r="F826" s="365"/>
      <c r="G826" s="365"/>
      <c r="H826" s="365"/>
      <c r="I826" s="365"/>
      <c r="J826" s="365"/>
      <c r="K826" s="365"/>
      <c r="L826" s="365"/>
      <c r="M826" s="365"/>
      <c r="N826" s="365"/>
      <c r="O826" s="365"/>
      <c r="P826" s="365"/>
      <c r="Q826" s="365"/>
      <c r="R826" s="365"/>
      <c r="S826" s="365"/>
      <c r="T826" s="365"/>
      <c r="U826" s="365"/>
      <c r="V826" s="365"/>
      <c r="W826" s="365"/>
      <c r="X826" s="365"/>
      <c r="Y826" s="365"/>
      <c r="Z826" s="365"/>
    </row>
    <row r="827" spans="1:26" ht="14.25" customHeight="1" x14ac:dyDescent="0.25">
      <c r="A827" s="365"/>
      <c r="B827" s="365"/>
      <c r="C827" s="365"/>
      <c r="D827" s="365"/>
      <c r="E827" s="365"/>
      <c r="F827" s="365"/>
      <c r="G827" s="365"/>
      <c r="H827" s="365"/>
      <c r="I827" s="365"/>
      <c r="J827" s="365"/>
      <c r="K827" s="365"/>
      <c r="L827" s="365"/>
      <c r="M827" s="365"/>
      <c r="N827" s="365"/>
      <c r="O827" s="365"/>
      <c r="P827" s="365"/>
      <c r="Q827" s="365"/>
      <c r="R827" s="365"/>
      <c r="S827" s="365"/>
      <c r="T827" s="365"/>
      <c r="U827" s="365"/>
      <c r="V827" s="365"/>
      <c r="W827" s="365"/>
      <c r="X827" s="365"/>
      <c r="Y827" s="365"/>
      <c r="Z827" s="365"/>
    </row>
    <row r="828" spans="1:26" ht="14.25" customHeight="1" x14ac:dyDescent="0.25">
      <c r="A828" s="365"/>
      <c r="B828" s="365"/>
      <c r="C828" s="365"/>
      <c r="D828" s="365"/>
      <c r="E828" s="365"/>
      <c r="F828" s="365"/>
      <c r="G828" s="365"/>
      <c r="H828" s="365"/>
      <c r="I828" s="365"/>
      <c r="J828" s="365"/>
      <c r="K828" s="365"/>
      <c r="L828" s="365"/>
      <c r="M828" s="365"/>
      <c r="N828" s="365"/>
      <c r="O828" s="365"/>
      <c r="P828" s="365"/>
      <c r="Q828" s="365"/>
      <c r="R828" s="365"/>
      <c r="S828" s="365"/>
      <c r="T828" s="365"/>
      <c r="U828" s="365"/>
      <c r="V828" s="365"/>
      <c r="W828" s="365"/>
      <c r="X828" s="365"/>
      <c r="Y828" s="365"/>
      <c r="Z828" s="365"/>
    </row>
    <row r="829" spans="1:26" ht="14.25" customHeight="1" x14ac:dyDescent="0.25">
      <c r="A829" s="365"/>
      <c r="B829" s="365"/>
      <c r="C829" s="365"/>
      <c r="D829" s="365"/>
      <c r="E829" s="365"/>
      <c r="F829" s="365"/>
      <c r="G829" s="365"/>
      <c r="H829" s="365"/>
      <c r="I829" s="365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  <c r="T829" s="365"/>
      <c r="U829" s="365"/>
      <c r="V829" s="365"/>
      <c r="W829" s="365"/>
      <c r="X829" s="365"/>
      <c r="Y829" s="365"/>
      <c r="Z829" s="365"/>
    </row>
    <row r="830" spans="1:26" ht="14.25" customHeight="1" x14ac:dyDescent="0.25">
      <c r="A830" s="365"/>
      <c r="B830" s="365"/>
      <c r="C830" s="365"/>
      <c r="D830" s="365"/>
      <c r="E830" s="365"/>
      <c r="F830" s="365"/>
      <c r="G830" s="365"/>
      <c r="H830" s="365"/>
      <c r="I830" s="365"/>
      <c r="J830" s="365"/>
      <c r="K830" s="365"/>
      <c r="L830" s="365"/>
      <c r="M830" s="365"/>
      <c r="N830" s="365"/>
      <c r="O830" s="365"/>
      <c r="P830" s="365"/>
      <c r="Q830" s="365"/>
      <c r="R830" s="365"/>
      <c r="S830" s="365"/>
      <c r="T830" s="365"/>
      <c r="U830" s="365"/>
      <c r="V830" s="365"/>
      <c r="W830" s="365"/>
      <c r="X830" s="365"/>
      <c r="Y830" s="365"/>
      <c r="Z830" s="365"/>
    </row>
    <row r="831" spans="1:26" ht="14.25" customHeight="1" x14ac:dyDescent="0.25">
      <c r="A831" s="365"/>
      <c r="B831" s="365"/>
      <c r="C831" s="365"/>
      <c r="D831" s="365"/>
      <c r="E831" s="365"/>
      <c r="F831" s="365"/>
      <c r="G831" s="365"/>
      <c r="H831" s="365"/>
      <c r="I831" s="365"/>
      <c r="J831" s="365"/>
      <c r="K831" s="365"/>
      <c r="L831" s="365"/>
      <c r="M831" s="365"/>
      <c r="N831" s="365"/>
      <c r="O831" s="365"/>
      <c r="P831" s="365"/>
      <c r="Q831" s="365"/>
      <c r="R831" s="365"/>
      <c r="S831" s="365"/>
      <c r="T831" s="365"/>
      <c r="U831" s="365"/>
      <c r="V831" s="365"/>
      <c r="W831" s="365"/>
      <c r="X831" s="365"/>
      <c r="Y831" s="365"/>
      <c r="Z831" s="365"/>
    </row>
    <row r="832" spans="1:26" ht="14.25" customHeight="1" x14ac:dyDescent="0.25">
      <c r="A832" s="365"/>
      <c r="B832" s="365"/>
      <c r="C832" s="365"/>
      <c r="D832" s="365"/>
      <c r="E832" s="365"/>
      <c r="F832" s="365"/>
      <c r="G832" s="365"/>
      <c r="H832" s="365"/>
      <c r="I832" s="365"/>
      <c r="J832" s="365"/>
      <c r="K832" s="365"/>
      <c r="L832" s="365"/>
      <c r="M832" s="365"/>
      <c r="N832" s="365"/>
      <c r="O832" s="365"/>
      <c r="P832" s="365"/>
      <c r="Q832" s="365"/>
      <c r="R832" s="365"/>
      <c r="S832" s="365"/>
      <c r="T832" s="365"/>
      <c r="U832" s="365"/>
      <c r="V832" s="365"/>
      <c r="W832" s="365"/>
      <c r="X832" s="365"/>
      <c r="Y832" s="365"/>
      <c r="Z832" s="365"/>
    </row>
    <row r="833" spans="1:26" ht="14.25" customHeight="1" x14ac:dyDescent="0.25">
      <c r="A833" s="365"/>
      <c r="B833" s="365"/>
      <c r="C833" s="365"/>
      <c r="D833" s="365"/>
      <c r="E833" s="365"/>
      <c r="F833" s="365"/>
      <c r="G833" s="365"/>
      <c r="H833" s="365"/>
      <c r="I833" s="365"/>
      <c r="J833" s="365"/>
      <c r="K833" s="365"/>
      <c r="L833" s="365"/>
      <c r="M833" s="365"/>
      <c r="N833" s="365"/>
      <c r="O833" s="365"/>
      <c r="P833" s="365"/>
      <c r="Q833" s="365"/>
      <c r="R833" s="365"/>
      <c r="S833" s="365"/>
      <c r="T833" s="365"/>
      <c r="U833" s="365"/>
      <c r="V833" s="365"/>
      <c r="W833" s="365"/>
      <c r="X833" s="365"/>
      <c r="Y833" s="365"/>
      <c r="Z833" s="365"/>
    </row>
    <row r="834" spans="1:26" ht="14.25" customHeight="1" x14ac:dyDescent="0.25">
      <c r="A834" s="365"/>
      <c r="B834" s="365"/>
      <c r="C834" s="365"/>
      <c r="D834" s="365"/>
      <c r="E834" s="365"/>
      <c r="F834" s="365"/>
      <c r="G834" s="365"/>
      <c r="H834" s="365"/>
      <c r="I834" s="365"/>
      <c r="J834" s="365"/>
      <c r="K834" s="365"/>
      <c r="L834" s="365"/>
      <c r="M834" s="365"/>
      <c r="N834" s="365"/>
      <c r="O834" s="365"/>
      <c r="P834" s="365"/>
      <c r="Q834" s="365"/>
      <c r="R834" s="365"/>
      <c r="S834" s="365"/>
      <c r="T834" s="365"/>
      <c r="U834" s="365"/>
      <c r="V834" s="365"/>
      <c r="W834" s="365"/>
      <c r="X834" s="365"/>
      <c r="Y834" s="365"/>
      <c r="Z834" s="365"/>
    </row>
    <row r="835" spans="1:26" ht="14.25" customHeight="1" x14ac:dyDescent="0.25">
      <c r="A835" s="365"/>
      <c r="B835" s="365"/>
      <c r="C835" s="365"/>
      <c r="D835" s="365"/>
      <c r="E835" s="365"/>
      <c r="F835" s="365"/>
      <c r="G835" s="365"/>
      <c r="H835" s="365"/>
      <c r="I835" s="365"/>
      <c r="J835" s="365"/>
      <c r="K835" s="365"/>
      <c r="L835" s="365"/>
      <c r="M835" s="365"/>
      <c r="N835" s="365"/>
      <c r="O835" s="365"/>
      <c r="P835" s="365"/>
      <c r="Q835" s="365"/>
      <c r="R835" s="365"/>
      <c r="S835" s="365"/>
      <c r="T835" s="365"/>
      <c r="U835" s="365"/>
      <c r="V835" s="365"/>
      <c r="W835" s="365"/>
      <c r="X835" s="365"/>
      <c r="Y835" s="365"/>
      <c r="Z835" s="365"/>
    </row>
    <row r="836" spans="1:26" ht="14.25" customHeight="1" x14ac:dyDescent="0.25">
      <c r="A836" s="365"/>
      <c r="B836" s="365"/>
      <c r="C836" s="365"/>
      <c r="D836" s="365"/>
      <c r="E836" s="365"/>
      <c r="F836" s="365"/>
      <c r="G836" s="365"/>
      <c r="H836" s="365"/>
      <c r="I836" s="365"/>
      <c r="J836" s="365"/>
      <c r="K836" s="365"/>
      <c r="L836" s="365"/>
      <c r="M836" s="365"/>
      <c r="N836" s="365"/>
      <c r="O836" s="365"/>
      <c r="P836" s="365"/>
      <c r="Q836" s="365"/>
      <c r="R836" s="365"/>
      <c r="S836" s="365"/>
      <c r="T836" s="365"/>
      <c r="U836" s="365"/>
      <c r="V836" s="365"/>
      <c r="W836" s="365"/>
      <c r="X836" s="365"/>
      <c r="Y836" s="365"/>
      <c r="Z836" s="365"/>
    </row>
    <row r="837" spans="1:26" ht="14.25" customHeight="1" x14ac:dyDescent="0.25">
      <c r="A837" s="365"/>
      <c r="B837" s="365"/>
      <c r="C837" s="365"/>
      <c r="D837" s="365"/>
      <c r="E837" s="365"/>
      <c r="F837" s="365"/>
      <c r="G837" s="365"/>
      <c r="H837" s="365"/>
      <c r="I837" s="365"/>
      <c r="J837" s="365"/>
      <c r="K837" s="365"/>
      <c r="L837" s="365"/>
      <c r="M837" s="365"/>
      <c r="N837" s="365"/>
      <c r="O837" s="365"/>
      <c r="P837" s="365"/>
      <c r="Q837" s="365"/>
      <c r="R837" s="365"/>
      <c r="S837" s="365"/>
      <c r="T837" s="365"/>
      <c r="U837" s="365"/>
      <c r="V837" s="365"/>
      <c r="W837" s="365"/>
      <c r="X837" s="365"/>
      <c r="Y837" s="365"/>
      <c r="Z837" s="365"/>
    </row>
    <row r="838" spans="1:26" ht="14.25" customHeight="1" x14ac:dyDescent="0.25">
      <c r="A838" s="365"/>
      <c r="B838" s="365"/>
      <c r="C838" s="365"/>
      <c r="D838" s="365"/>
      <c r="E838" s="365"/>
      <c r="F838" s="365"/>
      <c r="G838" s="365"/>
      <c r="H838" s="365"/>
      <c r="I838" s="365"/>
      <c r="J838" s="365"/>
      <c r="K838" s="365"/>
      <c r="L838" s="365"/>
      <c r="M838" s="365"/>
      <c r="N838" s="365"/>
      <c r="O838" s="365"/>
      <c r="P838" s="365"/>
      <c r="Q838" s="365"/>
      <c r="R838" s="365"/>
      <c r="S838" s="365"/>
      <c r="T838" s="365"/>
      <c r="U838" s="365"/>
      <c r="V838" s="365"/>
      <c r="W838" s="365"/>
      <c r="X838" s="365"/>
      <c r="Y838" s="365"/>
      <c r="Z838" s="365"/>
    </row>
    <row r="839" spans="1:26" ht="14.25" customHeight="1" x14ac:dyDescent="0.25">
      <c r="A839" s="365"/>
      <c r="B839" s="365"/>
      <c r="C839" s="365"/>
      <c r="D839" s="365"/>
      <c r="E839" s="365"/>
      <c r="F839" s="365"/>
      <c r="G839" s="365"/>
      <c r="H839" s="365"/>
      <c r="I839" s="365"/>
      <c r="J839" s="365"/>
      <c r="K839" s="365"/>
      <c r="L839" s="365"/>
      <c r="M839" s="365"/>
      <c r="N839" s="365"/>
      <c r="O839" s="365"/>
      <c r="P839" s="365"/>
      <c r="Q839" s="365"/>
      <c r="R839" s="365"/>
      <c r="S839" s="365"/>
      <c r="T839" s="365"/>
      <c r="U839" s="365"/>
      <c r="V839" s="365"/>
      <c r="W839" s="365"/>
      <c r="X839" s="365"/>
      <c r="Y839" s="365"/>
      <c r="Z839" s="365"/>
    </row>
    <row r="840" spans="1:26" ht="14.25" customHeight="1" x14ac:dyDescent="0.25">
      <c r="A840" s="365"/>
      <c r="B840" s="365"/>
      <c r="C840" s="365"/>
      <c r="D840" s="365"/>
      <c r="E840" s="365"/>
      <c r="F840" s="365"/>
      <c r="G840" s="365"/>
      <c r="H840" s="365"/>
      <c r="I840" s="365"/>
      <c r="J840" s="365"/>
      <c r="K840" s="365"/>
      <c r="L840" s="365"/>
      <c r="M840" s="365"/>
      <c r="N840" s="365"/>
      <c r="O840" s="365"/>
      <c r="P840" s="365"/>
      <c r="Q840" s="365"/>
      <c r="R840" s="365"/>
      <c r="S840" s="365"/>
      <c r="T840" s="365"/>
      <c r="U840" s="365"/>
      <c r="V840" s="365"/>
      <c r="W840" s="365"/>
      <c r="X840" s="365"/>
      <c r="Y840" s="365"/>
      <c r="Z840" s="365"/>
    </row>
    <row r="841" spans="1:26" ht="14.25" customHeight="1" x14ac:dyDescent="0.25">
      <c r="A841" s="365"/>
      <c r="B841" s="365"/>
      <c r="C841" s="365"/>
      <c r="D841" s="365"/>
      <c r="E841" s="365"/>
      <c r="F841" s="365"/>
      <c r="G841" s="365"/>
      <c r="H841" s="365"/>
      <c r="I841" s="365"/>
      <c r="J841" s="365"/>
      <c r="K841" s="365"/>
      <c r="L841" s="365"/>
      <c r="M841" s="365"/>
      <c r="N841" s="365"/>
      <c r="O841" s="365"/>
      <c r="P841" s="365"/>
      <c r="Q841" s="365"/>
      <c r="R841" s="365"/>
      <c r="S841" s="365"/>
      <c r="T841" s="365"/>
      <c r="U841" s="365"/>
      <c r="V841" s="365"/>
      <c r="W841" s="365"/>
      <c r="X841" s="365"/>
      <c r="Y841" s="365"/>
      <c r="Z841" s="365"/>
    </row>
    <row r="842" spans="1:26" ht="14.25" customHeight="1" x14ac:dyDescent="0.25">
      <c r="A842" s="365"/>
      <c r="B842" s="365"/>
      <c r="C842" s="365"/>
      <c r="D842" s="365"/>
      <c r="E842" s="365"/>
      <c r="F842" s="365"/>
      <c r="G842" s="365"/>
      <c r="H842" s="365"/>
      <c r="I842" s="365"/>
      <c r="J842" s="365"/>
      <c r="K842" s="365"/>
      <c r="L842" s="365"/>
      <c r="M842" s="365"/>
      <c r="N842" s="365"/>
      <c r="O842" s="365"/>
      <c r="P842" s="365"/>
      <c r="Q842" s="365"/>
      <c r="R842" s="365"/>
      <c r="S842" s="365"/>
      <c r="T842" s="365"/>
      <c r="U842" s="365"/>
      <c r="V842" s="365"/>
      <c r="W842" s="365"/>
      <c r="X842" s="365"/>
      <c r="Y842" s="365"/>
      <c r="Z842" s="365"/>
    </row>
    <row r="843" spans="1:26" ht="14.25" customHeight="1" x14ac:dyDescent="0.25">
      <c r="A843" s="365"/>
      <c r="B843" s="365"/>
      <c r="C843" s="365"/>
      <c r="D843" s="365"/>
      <c r="E843" s="365"/>
      <c r="F843" s="365"/>
      <c r="G843" s="365"/>
      <c r="H843" s="365"/>
      <c r="I843" s="365"/>
      <c r="J843" s="365"/>
      <c r="K843" s="365"/>
      <c r="L843" s="365"/>
      <c r="M843" s="365"/>
      <c r="N843" s="365"/>
      <c r="O843" s="365"/>
      <c r="P843" s="365"/>
      <c r="Q843" s="365"/>
      <c r="R843" s="365"/>
      <c r="S843" s="365"/>
      <c r="T843" s="365"/>
      <c r="U843" s="365"/>
      <c r="V843" s="365"/>
      <c r="W843" s="365"/>
      <c r="X843" s="365"/>
      <c r="Y843" s="365"/>
      <c r="Z843" s="365"/>
    </row>
    <row r="844" spans="1:26" ht="14.25" customHeight="1" x14ac:dyDescent="0.25">
      <c r="A844" s="365"/>
      <c r="B844" s="365"/>
      <c r="C844" s="365"/>
      <c r="D844" s="365"/>
      <c r="E844" s="365"/>
      <c r="F844" s="365"/>
      <c r="G844" s="365"/>
      <c r="H844" s="365"/>
      <c r="I844" s="365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5"/>
      <c r="V844" s="365"/>
      <c r="W844" s="365"/>
      <c r="X844" s="365"/>
      <c r="Y844" s="365"/>
      <c r="Z844" s="365"/>
    </row>
    <row r="845" spans="1:26" ht="14.25" customHeight="1" x14ac:dyDescent="0.25">
      <c r="A845" s="365"/>
      <c r="B845" s="365"/>
      <c r="C845" s="365"/>
      <c r="D845" s="365"/>
      <c r="E845" s="365"/>
      <c r="F845" s="365"/>
      <c r="G845" s="365"/>
      <c r="H845" s="365"/>
      <c r="I845" s="365"/>
      <c r="J845" s="365"/>
      <c r="K845" s="365"/>
      <c r="L845" s="365"/>
      <c r="M845" s="365"/>
      <c r="N845" s="365"/>
      <c r="O845" s="365"/>
      <c r="P845" s="365"/>
      <c r="Q845" s="365"/>
      <c r="R845" s="365"/>
      <c r="S845" s="365"/>
      <c r="T845" s="365"/>
      <c r="U845" s="365"/>
      <c r="V845" s="365"/>
      <c r="W845" s="365"/>
      <c r="X845" s="365"/>
      <c r="Y845" s="365"/>
      <c r="Z845" s="365"/>
    </row>
    <row r="846" spans="1:26" ht="14.25" customHeight="1" x14ac:dyDescent="0.25">
      <c r="A846" s="365"/>
      <c r="B846" s="365"/>
      <c r="C846" s="365"/>
      <c r="D846" s="365"/>
      <c r="E846" s="365"/>
      <c r="F846" s="365"/>
      <c r="G846" s="365"/>
      <c r="H846" s="365"/>
      <c r="I846" s="365"/>
      <c r="J846" s="365"/>
      <c r="K846" s="365"/>
      <c r="L846" s="365"/>
      <c r="M846" s="365"/>
      <c r="N846" s="365"/>
      <c r="O846" s="365"/>
      <c r="P846" s="365"/>
      <c r="Q846" s="365"/>
      <c r="R846" s="365"/>
      <c r="S846" s="365"/>
      <c r="T846" s="365"/>
      <c r="U846" s="365"/>
      <c r="V846" s="365"/>
      <c r="W846" s="365"/>
      <c r="X846" s="365"/>
      <c r="Y846" s="365"/>
      <c r="Z846" s="365"/>
    </row>
    <row r="847" spans="1:26" ht="14.25" customHeight="1" x14ac:dyDescent="0.25">
      <c r="A847" s="365"/>
      <c r="B847" s="365"/>
      <c r="C847" s="365"/>
      <c r="D847" s="365"/>
      <c r="E847" s="365"/>
      <c r="F847" s="365"/>
      <c r="G847" s="365"/>
      <c r="H847" s="365"/>
      <c r="I847" s="365"/>
      <c r="J847" s="365"/>
      <c r="K847" s="365"/>
      <c r="L847" s="365"/>
      <c r="M847" s="365"/>
      <c r="N847" s="365"/>
      <c r="O847" s="365"/>
      <c r="P847" s="365"/>
      <c r="Q847" s="365"/>
      <c r="R847" s="365"/>
      <c r="S847" s="365"/>
      <c r="T847" s="365"/>
      <c r="U847" s="365"/>
      <c r="V847" s="365"/>
      <c r="W847" s="365"/>
      <c r="X847" s="365"/>
      <c r="Y847" s="365"/>
      <c r="Z847" s="365"/>
    </row>
    <row r="848" spans="1:26" ht="14.25" customHeight="1" x14ac:dyDescent="0.25">
      <c r="A848" s="365"/>
      <c r="B848" s="365"/>
      <c r="C848" s="365"/>
      <c r="D848" s="365"/>
      <c r="E848" s="365"/>
      <c r="F848" s="365"/>
      <c r="G848" s="365"/>
      <c r="H848" s="365"/>
      <c r="I848" s="365"/>
      <c r="J848" s="365"/>
      <c r="K848" s="365"/>
      <c r="L848" s="365"/>
      <c r="M848" s="365"/>
      <c r="N848" s="365"/>
      <c r="O848" s="365"/>
      <c r="P848" s="365"/>
      <c r="Q848" s="365"/>
      <c r="R848" s="365"/>
      <c r="S848" s="365"/>
      <c r="T848" s="365"/>
      <c r="U848" s="365"/>
      <c r="V848" s="365"/>
      <c r="W848" s="365"/>
      <c r="X848" s="365"/>
      <c r="Y848" s="365"/>
      <c r="Z848" s="365"/>
    </row>
    <row r="849" spans="1:26" ht="14.25" customHeight="1" x14ac:dyDescent="0.25">
      <c r="A849" s="365"/>
      <c r="B849" s="365"/>
      <c r="C849" s="365"/>
      <c r="D849" s="365"/>
      <c r="E849" s="365"/>
      <c r="F849" s="365"/>
      <c r="G849" s="365"/>
      <c r="H849" s="365"/>
      <c r="I849" s="365"/>
      <c r="J849" s="365"/>
      <c r="K849" s="365"/>
      <c r="L849" s="365"/>
      <c r="M849" s="365"/>
      <c r="N849" s="365"/>
      <c r="O849" s="365"/>
      <c r="P849" s="365"/>
      <c r="Q849" s="365"/>
      <c r="R849" s="365"/>
      <c r="S849" s="365"/>
      <c r="T849" s="365"/>
      <c r="U849" s="365"/>
      <c r="V849" s="365"/>
      <c r="W849" s="365"/>
      <c r="X849" s="365"/>
      <c r="Y849" s="365"/>
      <c r="Z849" s="365"/>
    </row>
    <row r="850" spans="1:26" ht="14.25" customHeight="1" x14ac:dyDescent="0.25">
      <c r="A850" s="365"/>
      <c r="B850" s="365"/>
      <c r="C850" s="365"/>
      <c r="D850" s="365"/>
      <c r="E850" s="365"/>
      <c r="F850" s="365"/>
      <c r="G850" s="365"/>
      <c r="H850" s="365"/>
      <c r="I850" s="365"/>
      <c r="J850" s="365"/>
      <c r="K850" s="365"/>
      <c r="L850" s="365"/>
      <c r="M850" s="365"/>
      <c r="N850" s="365"/>
      <c r="O850" s="365"/>
      <c r="P850" s="365"/>
      <c r="Q850" s="365"/>
      <c r="R850" s="365"/>
      <c r="S850" s="365"/>
      <c r="T850" s="365"/>
      <c r="U850" s="365"/>
      <c r="V850" s="365"/>
      <c r="W850" s="365"/>
      <c r="X850" s="365"/>
      <c r="Y850" s="365"/>
      <c r="Z850" s="365"/>
    </row>
    <row r="851" spans="1:26" ht="14.25" customHeight="1" x14ac:dyDescent="0.25">
      <c r="A851" s="365"/>
      <c r="B851" s="365"/>
      <c r="C851" s="365"/>
      <c r="D851" s="365"/>
      <c r="E851" s="365"/>
      <c r="F851" s="365"/>
      <c r="G851" s="365"/>
      <c r="H851" s="365"/>
      <c r="I851" s="365"/>
      <c r="J851" s="365"/>
      <c r="K851" s="365"/>
      <c r="L851" s="365"/>
      <c r="M851" s="365"/>
      <c r="N851" s="365"/>
      <c r="O851" s="365"/>
      <c r="P851" s="365"/>
      <c r="Q851" s="365"/>
      <c r="R851" s="365"/>
      <c r="S851" s="365"/>
      <c r="T851" s="365"/>
      <c r="U851" s="365"/>
      <c r="V851" s="365"/>
      <c r="W851" s="365"/>
      <c r="X851" s="365"/>
      <c r="Y851" s="365"/>
      <c r="Z851" s="365"/>
    </row>
    <row r="852" spans="1:26" ht="14.25" customHeight="1" x14ac:dyDescent="0.25">
      <c r="A852" s="365"/>
      <c r="B852" s="365"/>
      <c r="C852" s="365"/>
      <c r="D852" s="365"/>
      <c r="E852" s="365"/>
      <c r="F852" s="365"/>
      <c r="G852" s="365"/>
      <c r="H852" s="365"/>
      <c r="I852" s="365"/>
      <c r="J852" s="365"/>
      <c r="K852" s="365"/>
      <c r="L852" s="365"/>
      <c r="M852" s="365"/>
      <c r="N852" s="365"/>
      <c r="O852" s="365"/>
      <c r="P852" s="365"/>
      <c r="Q852" s="365"/>
      <c r="R852" s="365"/>
      <c r="S852" s="365"/>
      <c r="T852" s="365"/>
      <c r="U852" s="365"/>
      <c r="V852" s="365"/>
      <c r="W852" s="365"/>
      <c r="X852" s="365"/>
      <c r="Y852" s="365"/>
      <c r="Z852" s="365"/>
    </row>
    <row r="853" spans="1:26" ht="14.25" customHeight="1" x14ac:dyDescent="0.25">
      <c r="A853" s="365"/>
      <c r="B853" s="365"/>
      <c r="C853" s="365"/>
      <c r="D853" s="365"/>
      <c r="E853" s="365"/>
      <c r="F853" s="365"/>
      <c r="G853" s="365"/>
      <c r="H853" s="365"/>
      <c r="I853" s="365"/>
      <c r="J853" s="365"/>
      <c r="K853" s="365"/>
      <c r="L853" s="365"/>
      <c r="M853" s="365"/>
      <c r="N853" s="365"/>
      <c r="O853" s="365"/>
      <c r="P853" s="365"/>
      <c r="Q853" s="365"/>
      <c r="R853" s="365"/>
      <c r="S853" s="365"/>
      <c r="T853" s="365"/>
      <c r="U853" s="365"/>
      <c r="V853" s="365"/>
      <c r="W853" s="365"/>
      <c r="X853" s="365"/>
      <c r="Y853" s="365"/>
      <c r="Z853" s="365"/>
    </row>
    <row r="854" spans="1:26" ht="14.25" customHeight="1" x14ac:dyDescent="0.25">
      <c r="A854" s="365"/>
      <c r="B854" s="365"/>
      <c r="C854" s="365"/>
      <c r="D854" s="365"/>
      <c r="E854" s="365"/>
      <c r="F854" s="365"/>
      <c r="G854" s="365"/>
      <c r="H854" s="365"/>
      <c r="I854" s="365"/>
      <c r="J854" s="365"/>
      <c r="K854" s="365"/>
      <c r="L854" s="365"/>
      <c r="M854" s="365"/>
      <c r="N854" s="365"/>
      <c r="O854" s="365"/>
      <c r="P854" s="365"/>
      <c r="Q854" s="365"/>
      <c r="R854" s="365"/>
      <c r="S854" s="365"/>
      <c r="T854" s="365"/>
      <c r="U854" s="365"/>
      <c r="V854" s="365"/>
      <c r="W854" s="365"/>
      <c r="X854" s="365"/>
      <c r="Y854" s="365"/>
      <c r="Z854" s="365"/>
    </row>
    <row r="855" spans="1:26" ht="14.25" customHeight="1" x14ac:dyDescent="0.25">
      <c r="A855" s="365"/>
      <c r="B855" s="365"/>
      <c r="C855" s="365"/>
      <c r="D855" s="365"/>
      <c r="E855" s="365"/>
      <c r="F855" s="365"/>
      <c r="G855" s="365"/>
      <c r="H855" s="365"/>
      <c r="I855" s="365"/>
      <c r="J855" s="365"/>
      <c r="K855" s="365"/>
      <c r="L855" s="365"/>
      <c r="M855" s="365"/>
      <c r="N855" s="365"/>
      <c r="O855" s="365"/>
      <c r="P855" s="365"/>
      <c r="Q855" s="365"/>
      <c r="R855" s="365"/>
      <c r="S855" s="365"/>
      <c r="T855" s="365"/>
      <c r="U855" s="365"/>
      <c r="V855" s="365"/>
      <c r="W855" s="365"/>
      <c r="X855" s="365"/>
      <c r="Y855" s="365"/>
      <c r="Z855" s="365"/>
    </row>
    <row r="856" spans="1:26" ht="14.25" customHeight="1" x14ac:dyDescent="0.25">
      <c r="A856" s="365"/>
      <c r="B856" s="365"/>
      <c r="C856" s="365"/>
      <c r="D856" s="365"/>
      <c r="E856" s="365"/>
      <c r="F856" s="365"/>
      <c r="G856" s="365"/>
      <c r="H856" s="365"/>
      <c r="I856" s="365"/>
      <c r="J856" s="365"/>
      <c r="K856" s="365"/>
      <c r="L856" s="365"/>
      <c r="M856" s="365"/>
      <c r="N856" s="365"/>
      <c r="O856" s="365"/>
      <c r="P856" s="365"/>
      <c r="Q856" s="365"/>
      <c r="R856" s="365"/>
      <c r="S856" s="365"/>
      <c r="T856" s="365"/>
      <c r="U856" s="365"/>
      <c r="V856" s="365"/>
      <c r="W856" s="365"/>
      <c r="X856" s="365"/>
      <c r="Y856" s="365"/>
      <c r="Z856" s="365"/>
    </row>
    <row r="857" spans="1:26" ht="14.25" customHeight="1" x14ac:dyDescent="0.25">
      <c r="A857" s="365"/>
      <c r="B857" s="365"/>
      <c r="C857" s="365"/>
      <c r="D857" s="365"/>
      <c r="E857" s="365"/>
      <c r="F857" s="365"/>
      <c r="G857" s="365"/>
      <c r="H857" s="365"/>
      <c r="I857" s="365"/>
      <c r="J857" s="365"/>
      <c r="K857" s="365"/>
      <c r="L857" s="365"/>
      <c r="M857" s="365"/>
      <c r="N857" s="365"/>
      <c r="O857" s="365"/>
      <c r="P857" s="365"/>
      <c r="Q857" s="365"/>
      <c r="R857" s="365"/>
      <c r="S857" s="365"/>
      <c r="T857" s="365"/>
      <c r="U857" s="365"/>
      <c r="V857" s="365"/>
      <c r="W857" s="365"/>
      <c r="X857" s="365"/>
      <c r="Y857" s="365"/>
      <c r="Z857" s="365"/>
    </row>
    <row r="858" spans="1:26" ht="14.25" customHeight="1" x14ac:dyDescent="0.25">
      <c r="A858" s="365"/>
      <c r="B858" s="365"/>
      <c r="C858" s="365"/>
      <c r="D858" s="365"/>
      <c r="E858" s="365"/>
      <c r="F858" s="365"/>
      <c r="G858" s="365"/>
      <c r="H858" s="365"/>
      <c r="I858" s="365"/>
      <c r="J858" s="365"/>
      <c r="K858" s="365"/>
      <c r="L858" s="365"/>
      <c r="M858" s="365"/>
      <c r="N858" s="365"/>
      <c r="O858" s="365"/>
      <c r="P858" s="365"/>
      <c r="Q858" s="365"/>
      <c r="R858" s="365"/>
      <c r="S858" s="365"/>
      <c r="T858" s="365"/>
      <c r="U858" s="365"/>
      <c r="V858" s="365"/>
      <c r="W858" s="365"/>
      <c r="X858" s="365"/>
      <c r="Y858" s="365"/>
      <c r="Z858" s="365"/>
    </row>
    <row r="859" spans="1:26" ht="14.25" customHeight="1" x14ac:dyDescent="0.25">
      <c r="A859" s="365"/>
      <c r="B859" s="365"/>
      <c r="C859" s="365"/>
      <c r="D859" s="365"/>
      <c r="E859" s="365"/>
      <c r="F859" s="365"/>
      <c r="G859" s="365"/>
      <c r="H859" s="365"/>
      <c r="I859" s="365"/>
      <c r="J859" s="365"/>
      <c r="K859" s="365"/>
      <c r="L859" s="365"/>
      <c r="M859" s="365"/>
      <c r="N859" s="365"/>
      <c r="O859" s="365"/>
      <c r="P859" s="365"/>
      <c r="Q859" s="365"/>
      <c r="R859" s="365"/>
      <c r="S859" s="365"/>
      <c r="T859" s="365"/>
      <c r="U859" s="365"/>
      <c r="V859" s="365"/>
      <c r="W859" s="365"/>
      <c r="X859" s="365"/>
      <c r="Y859" s="365"/>
      <c r="Z859" s="365"/>
    </row>
    <row r="860" spans="1:26" ht="14.25" customHeight="1" x14ac:dyDescent="0.25">
      <c r="A860" s="365"/>
      <c r="B860" s="365"/>
      <c r="C860" s="365"/>
      <c r="D860" s="365"/>
      <c r="E860" s="365"/>
      <c r="F860" s="365"/>
      <c r="G860" s="365"/>
      <c r="H860" s="365"/>
      <c r="I860" s="365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5"/>
      <c r="V860" s="365"/>
      <c r="W860" s="365"/>
      <c r="X860" s="365"/>
      <c r="Y860" s="365"/>
      <c r="Z860" s="365"/>
    </row>
    <row r="861" spans="1:26" ht="14.25" customHeight="1" x14ac:dyDescent="0.25">
      <c r="A861" s="365"/>
      <c r="B861" s="365"/>
      <c r="C861" s="365"/>
      <c r="D861" s="365"/>
      <c r="E861" s="365"/>
      <c r="F861" s="365"/>
      <c r="G861" s="365"/>
      <c r="H861" s="365"/>
      <c r="I861" s="365"/>
      <c r="J861" s="365"/>
      <c r="K861" s="365"/>
      <c r="L861" s="365"/>
      <c r="M861" s="365"/>
      <c r="N861" s="365"/>
      <c r="O861" s="365"/>
      <c r="P861" s="365"/>
      <c r="Q861" s="365"/>
      <c r="R861" s="365"/>
      <c r="S861" s="365"/>
      <c r="T861" s="365"/>
      <c r="U861" s="365"/>
      <c r="V861" s="365"/>
      <c r="W861" s="365"/>
      <c r="X861" s="365"/>
      <c r="Y861" s="365"/>
      <c r="Z861" s="365"/>
    </row>
    <row r="862" spans="1:26" ht="14.25" customHeight="1" x14ac:dyDescent="0.25">
      <c r="A862" s="365"/>
      <c r="B862" s="365"/>
      <c r="C862" s="365"/>
      <c r="D862" s="365"/>
      <c r="E862" s="365"/>
      <c r="F862" s="365"/>
      <c r="G862" s="365"/>
      <c r="H862" s="365"/>
      <c r="I862" s="365"/>
      <c r="J862" s="365"/>
      <c r="K862" s="365"/>
      <c r="L862" s="365"/>
      <c r="M862" s="365"/>
      <c r="N862" s="365"/>
      <c r="O862" s="365"/>
      <c r="P862" s="365"/>
      <c r="Q862" s="365"/>
      <c r="R862" s="365"/>
      <c r="S862" s="365"/>
      <c r="T862" s="365"/>
      <c r="U862" s="365"/>
      <c r="V862" s="365"/>
      <c r="W862" s="365"/>
      <c r="X862" s="365"/>
      <c r="Y862" s="365"/>
      <c r="Z862" s="365"/>
    </row>
    <row r="863" spans="1:26" ht="14.25" customHeight="1" x14ac:dyDescent="0.25">
      <c r="A863" s="365"/>
      <c r="B863" s="365"/>
      <c r="C863" s="365"/>
      <c r="D863" s="365"/>
      <c r="E863" s="365"/>
      <c r="F863" s="365"/>
      <c r="G863" s="365"/>
      <c r="H863" s="365"/>
      <c r="I863" s="365"/>
      <c r="J863" s="365"/>
      <c r="K863" s="365"/>
      <c r="L863" s="365"/>
      <c r="M863" s="365"/>
      <c r="N863" s="365"/>
      <c r="O863" s="365"/>
      <c r="P863" s="365"/>
      <c r="Q863" s="365"/>
      <c r="R863" s="365"/>
      <c r="S863" s="365"/>
      <c r="T863" s="365"/>
      <c r="U863" s="365"/>
      <c r="V863" s="365"/>
      <c r="W863" s="365"/>
      <c r="X863" s="365"/>
      <c r="Y863" s="365"/>
      <c r="Z863" s="365"/>
    </row>
    <row r="864" spans="1:26" ht="14.25" customHeight="1" x14ac:dyDescent="0.25">
      <c r="A864" s="365"/>
      <c r="B864" s="365"/>
      <c r="C864" s="365"/>
      <c r="D864" s="365"/>
      <c r="E864" s="365"/>
      <c r="F864" s="365"/>
      <c r="G864" s="365"/>
      <c r="H864" s="365"/>
      <c r="I864" s="365"/>
      <c r="J864" s="365"/>
      <c r="K864" s="365"/>
      <c r="L864" s="365"/>
      <c r="M864" s="365"/>
      <c r="N864" s="365"/>
      <c r="O864" s="365"/>
      <c r="P864" s="365"/>
      <c r="Q864" s="365"/>
      <c r="R864" s="365"/>
      <c r="S864" s="365"/>
      <c r="T864" s="365"/>
      <c r="U864" s="365"/>
      <c r="V864" s="365"/>
      <c r="W864" s="365"/>
      <c r="X864" s="365"/>
      <c r="Y864" s="365"/>
      <c r="Z864" s="365"/>
    </row>
    <row r="865" spans="1:26" ht="14.25" customHeight="1" x14ac:dyDescent="0.25">
      <c r="A865" s="365"/>
      <c r="B865" s="365"/>
      <c r="C865" s="365"/>
      <c r="D865" s="365"/>
      <c r="E865" s="365"/>
      <c r="F865" s="365"/>
      <c r="G865" s="365"/>
      <c r="H865" s="365"/>
      <c r="I865" s="365"/>
      <c r="J865" s="365"/>
      <c r="K865" s="365"/>
      <c r="L865" s="365"/>
      <c r="M865" s="365"/>
      <c r="N865" s="365"/>
      <c r="O865" s="365"/>
      <c r="P865" s="365"/>
      <c r="Q865" s="365"/>
      <c r="R865" s="365"/>
      <c r="S865" s="365"/>
      <c r="T865" s="365"/>
      <c r="U865" s="365"/>
      <c r="V865" s="365"/>
      <c r="W865" s="365"/>
      <c r="X865" s="365"/>
      <c r="Y865" s="365"/>
      <c r="Z865" s="365"/>
    </row>
    <row r="866" spans="1:26" ht="14.25" customHeight="1" x14ac:dyDescent="0.25">
      <c r="A866" s="365"/>
      <c r="B866" s="365"/>
      <c r="C866" s="365"/>
      <c r="D866" s="365"/>
      <c r="E866" s="365"/>
      <c r="F866" s="365"/>
      <c r="G866" s="365"/>
      <c r="H866" s="365"/>
      <c r="I866" s="365"/>
      <c r="J866" s="365"/>
      <c r="K866" s="365"/>
      <c r="L866" s="365"/>
      <c r="M866" s="365"/>
      <c r="N866" s="365"/>
      <c r="O866" s="365"/>
      <c r="P866" s="365"/>
      <c r="Q866" s="365"/>
      <c r="R866" s="365"/>
      <c r="S866" s="365"/>
      <c r="T866" s="365"/>
      <c r="U866" s="365"/>
      <c r="V866" s="365"/>
      <c r="W866" s="365"/>
      <c r="X866" s="365"/>
      <c r="Y866" s="365"/>
      <c r="Z866" s="365"/>
    </row>
    <row r="867" spans="1:26" ht="14.25" customHeight="1" x14ac:dyDescent="0.25">
      <c r="A867" s="365"/>
      <c r="B867" s="365"/>
      <c r="C867" s="365"/>
      <c r="D867" s="365"/>
      <c r="E867" s="365"/>
      <c r="F867" s="365"/>
      <c r="G867" s="365"/>
      <c r="H867" s="365"/>
      <c r="I867" s="365"/>
      <c r="J867" s="365"/>
      <c r="K867" s="365"/>
      <c r="L867" s="365"/>
      <c r="M867" s="365"/>
      <c r="N867" s="365"/>
      <c r="O867" s="365"/>
      <c r="P867" s="365"/>
      <c r="Q867" s="365"/>
      <c r="R867" s="365"/>
      <c r="S867" s="365"/>
      <c r="T867" s="365"/>
      <c r="U867" s="365"/>
      <c r="V867" s="365"/>
      <c r="W867" s="365"/>
      <c r="X867" s="365"/>
      <c r="Y867" s="365"/>
      <c r="Z867" s="365"/>
    </row>
    <row r="868" spans="1:26" ht="14.25" customHeight="1" x14ac:dyDescent="0.25">
      <c r="A868" s="365"/>
      <c r="B868" s="365"/>
      <c r="C868" s="365"/>
      <c r="D868" s="365"/>
      <c r="E868" s="365"/>
      <c r="F868" s="365"/>
      <c r="G868" s="365"/>
      <c r="H868" s="365"/>
      <c r="I868" s="365"/>
      <c r="J868" s="365"/>
      <c r="K868" s="365"/>
      <c r="L868" s="365"/>
      <c r="M868" s="365"/>
      <c r="N868" s="365"/>
      <c r="O868" s="365"/>
      <c r="P868" s="365"/>
      <c r="Q868" s="365"/>
      <c r="R868" s="365"/>
      <c r="S868" s="365"/>
      <c r="T868" s="365"/>
      <c r="U868" s="365"/>
      <c r="V868" s="365"/>
      <c r="W868" s="365"/>
      <c r="X868" s="365"/>
      <c r="Y868" s="365"/>
      <c r="Z868" s="365"/>
    </row>
    <row r="869" spans="1:26" ht="14.25" customHeight="1" x14ac:dyDescent="0.25">
      <c r="A869" s="365"/>
      <c r="B869" s="365"/>
      <c r="C869" s="365"/>
      <c r="D869" s="365"/>
      <c r="E869" s="365"/>
      <c r="F869" s="365"/>
      <c r="G869" s="365"/>
      <c r="H869" s="365"/>
      <c r="I869" s="365"/>
      <c r="J869" s="365"/>
      <c r="K869" s="365"/>
      <c r="L869" s="365"/>
      <c r="M869" s="365"/>
      <c r="N869" s="365"/>
      <c r="O869" s="365"/>
      <c r="P869" s="365"/>
      <c r="Q869" s="365"/>
      <c r="R869" s="365"/>
      <c r="S869" s="365"/>
      <c r="T869" s="365"/>
      <c r="U869" s="365"/>
      <c r="V869" s="365"/>
      <c r="W869" s="365"/>
      <c r="X869" s="365"/>
      <c r="Y869" s="365"/>
      <c r="Z869" s="365"/>
    </row>
    <row r="870" spans="1:26" ht="14.25" customHeight="1" x14ac:dyDescent="0.25">
      <c r="A870" s="365"/>
      <c r="B870" s="365"/>
      <c r="C870" s="365"/>
      <c r="D870" s="365"/>
      <c r="E870" s="365"/>
      <c r="F870" s="365"/>
      <c r="G870" s="365"/>
      <c r="H870" s="365"/>
      <c r="I870" s="365"/>
      <c r="J870" s="365"/>
      <c r="K870" s="365"/>
      <c r="L870" s="365"/>
      <c r="M870" s="365"/>
      <c r="N870" s="365"/>
      <c r="O870" s="365"/>
      <c r="P870" s="365"/>
      <c r="Q870" s="365"/>
      <c r="R870" s="365"/>
      <c r="S870" s="365"/>
      <c r="T870" s="365"/>
      <c r="U870" s="365"/>
      <c r="V870" s="365"/>
      <c r="W870" s="365"/>
      <c r="X870" s="365"/>
      <c r="Y870" s="365"/>
      <c r="Z870" s="365"/>
    </row>
    <row r="871" spans="1:26" ht="14.25" customHeight="1" x14ac:dyDescent="0.25">
      <c r="A871" s="365"/>
      <c r="B871" s="365"/>
      <c r="C871" s="365"/>
      <c r="D871" s="365"/>
      <c r="E871" s="365"/>
      <c r="F871" s="365"/>
      <c r="G871" s="365"/>
      <c r="H871" s="365"/>
      <c r="I871" s="365"/>
      <c r="J871" s="365"/>
      <c r="K871" s="365"/>
      <c r="L871" s="365"/>
      <c r="M871" s="365"/>
      <c r="N871" s="365"/>
      <c r="O871" s="365"/>
      <c r="P871" s="365"/>
      <c r="Q871" s="365"/>
      <c r="R871" s="365"/>
      <c r="S871" s="365"/>
      <c r="T871" s="365"/>
      <c r="U871" s="365"/>
      <c r="V871" s="365"/>
      <c r="W871" s="365"/>
      <c r="X871" s="365"/>
      <c r="Y871" s="365"/>
      <c r="Z871" s="365"/>
    </row>
    <row r="872" spans="1:26" ht="14.25" customHeight="1" x14ac:dyDescent="0.25">
      <c r="A872" s="365"/>
      <c r="B872" s="365"/>
      <c r="C872" s="365"/>
      <c r="D872" s="365"/>
      <c r="E872" s="365"/>
      <c r="F872" s="365"/>
      <c r="G872" s="365"/>
      <c r="H872" s="365"/>
      <c r="I872" s="365"/>
      <c r="J872" s="365"/>
      <c r="K872" s="365"/>
      <c r="L872" s="365"/>
      <c r="M872" s="365"/>
      <c r="N872" s="365"/>
      <c r="O872" s="365"/>
      <c r="P872" s="365"/>
      <c r="Q872" s="365"/>
      <c r="R872" s="365"/>
      <c r="S872" s="365"/>
      <c r="T872" s="365"/>
      <c r="U872" s="365"/>
      <c r="V872" s="365"/>
      <c r="W872" s="365"/>
      <c r="X872" s="365"/>
      <c r="Y872" s="365"/>
      <c r="Z872" s="365"/>
    </row>
    <row r="873" spans="1:26" ht="14.25" customHeight="1" x14ac:dyDescent="0.25">
      <c r="A873" s="365"/>
      <c r="B873" s="365"/>
      <c r="C873" s="365"/>
      <c r="D873" s="365"/>
      <c r="E873" s="365"/>
      <c r="F873" s="365"/>
      <c r="G873" s="365"/>
      <c r="H873" s="365"/>
      <c r="I873" s="365"/>
      <c r="J873" s="365"/>
      <c r="K873" s="365"/>
      <c r="L873" s="365"/>
      <c r="M873" s="365"/>
      <c r="N873" s="365"/>
      <c r="O873" s="365"/>
      <c r="P873" s="365"/>
      <c r="Q873" s="365"/>
      <c r="R873" s="365"/>
      <c r="S873" s="365"/>
      <c r="T873" s="365"/>
      <c r="U873" s="365"/>
      <c r="V873" s="365"/>
      <c r="W873" s="365"/>
      <c r="X873" s="365"/>
      <c r="Y873" s="365"/>
      <c r="Z873" s="365"/>
    </row>
    <row r="874" spans="1:26" ht="14.25" customHeight="1" x14ac:dyDescent="0.25">
      <c r="A874" s="365"/>
      <c r="B874" s="365"/>
      <c r="C874" s="365"/>
      <c r="D874" s="365"/>
      <c r="E874" s="365"/>
      <c r="F874" s="365"/>
      <c r="G874" s="365"/>
      <c r="H874" s="365"/>
      <c r="I874" s="365"/>
      <c r="J874" s="365"/>
      <c r="K874" s="365"/>
      <c r="L874" s="365"/>
      <c r="M874" s="365"/>
      <c r="N874" s="365"/>
      <c r="O874" s="365"/>
      <c r="P874" s="365"/>
      <c r="Q874" s="365"/>
      <c r="R874" s="365"/>
      <c r="S874" s="365"/>
      <c r="T874" s="365"/>
      <c r="U874" s="365"/>
      <c r="V874" s="365"/>
      <c r="W874" s="365"/>
      <c r="X874" s="365"/>
      <c r="Y874" s="365"/>
      <c r="Z874" s="365"/>
    </row>
    <row r="875" spans="1:26" ht="14.25" customHeight="1" x14ac:dyDescent="0.25">
      <c r="A875" s="365"/>
      <c r="B875" s="365"/>
      <c r="C875" s="365"/>
      <c r="D875" s="365"/>
      <c r="E875" s="365"/>
      <c r="F875" s="365"/>
      <c r="G875" s="365"/>
      <c r="H875" s="365"/>
      <c r="I875" s="365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  <c r="T875" s="365"/>
      <c r="U875" s="365"/>
      <c r="V875" s="365"/>
      <c r="W875" s="365"/>
      <c r="X875" s="365"/>
      <c r="Y875" s="365"/>
      <c r="Z875" s="365"/>
    </row>
    <row r="876" spans="1:26" ht="14.25" customHeight="1" x14ac:dyDescent="0.25">
      <c r="A876" s="365"/>
      <c r="B876" s="365"/>
      <c r="C876" s="365"/>
      <c r="D876" s="365"/>
      <c r="E876" s="365"/>
      <c r="F876" s="365"/>
      <c r="G876" s="365"/>
      <c r="H876" s="365"/>
      <c r="I876" s="365"/>
      <c r="J876" s="365"/>
      <c r="K876" s="365"/>
      <c r="L876" s="365"/>
      <c r="M876" s="365"/>
      <c r="N876" s="365"/>
      <c r="O876" s="365"/>
      <c r="P876" s="365"/>
      <c r="Q876" s="365"/>
      <c r="R876" s="365"/>
      <c r="S876" s="365"/>
      <c r="T876" s="365"/>
      <c r="U876" s="365"/>
      <c r="V876" s="365"/>
      <c r="W876" s="365"/>
      <c r="X876" s="365"/>
      <c r="Y876" s="365"/>
      <c r="Z876" s="365"/>
    </row>
    <row r="877" spans="1:26" ht="14.25" customHeight="1" x14ac:dyDescent="0.25">
      <c r="A877" s="365"/>
      <c r="B877" s="365"/>
      <c r="C877" s="365"/>
      <c r="D877" s="365"/>
      <c r="E877" s="365"/>
      <c r="F877" s="365"/>
      <c r="G877" s="365"/>
      <c r="H877" s="365"/>
      <c r="I877" s="365"/>
      <c r="J877" s="365"/>
      <c r="K877" s="365"/>
      <c r="L877" s="365"/>
      <c r="M877" s="365"/>
      <c r="N877" s="365"/>
      <c r="O877" s="365"/>
      <c r="P877" s="365"/>
      <c r="Q877" s="365"/>
      <c r="R877" s="365"/>
      <c r="S877" s="365"/>
      <c r="T877" s="365"/>
      <c r="U877" s="365"/>
      <c r="V877" s="365"/>
      <c r="W877" s="365"/>
      <c r="X877" s="365"/>
      <c r="Y877" s="365"/>
      <c r="Z877" s="365"/>
    </row>
    <row r="878" spans="1:26" ht="14.25" customHeight="1" x14ac:dyDescent="0.25">
      <c r="A878" s="365"/>
      <c r="B878" s="365"/>
      <c r="C878" s="365"/>
      <c r="D878" s="365"/>
      <c r="E878" s="365"/>
      <c r="F878" s="365"/>
      <c r="G878" s="365"/>
      <c r="H878" s="365"/>
      <c r="I878" s="365"/>
      <c r="J878" s="365"/>
      <c r="K878" s="365"/>
      <c r="L878" s="365"/>
      <c r="M878" s="365"/>
      <c r="N878" s="365"/>
      <c r="O878" s="365"/>
      <c r="P878" s="365"/>
      <c r="Q878" s="365"/>
      <c r="R878" s="365"/>
      <c r="S878" s="365"/>
      <c r="T878" s="365"/>
      <c r="U878" s="365"/>
      <c r="V878" s="365"/>
      <c r="W878" s="365"/>
      <c r="X878" s="365"/>
      <c r="Y878" s="365"/>
      <c r="Z878" s="365"/>
    </row>
    <row r="879" spans="1:26" ht="14.25" customHeight="1" x14ac:dyDescent="0.25">
      <c r="A879" s="365"/>
      <c r="B879" s="365"/>
      <c r="C879" s="365"/>
      <c r="D879" s="365"/>
      <c r="E879" s="365"/>
      <c r="F879" s="365"/>
      <c r="G879" s="365"/>
      <c r="H879" s="365"/>
      <c r="I879" s="365"/>
      <c r="J879" s="365"/>
      <c r="K879" s="365"/>
      <c r="L879" s="365"/>
      <c r="M879" s="365"/>
      <c r="N879" s="365"/>
      <c r="O879" s="365"/>
      <c r="P879" s="365"/>
      <c r="Q879" s="365"/>
      <c r="R879" s="365"/>
      <c r="S879" s="365"/>
      <c r="T879" s="365"/>
      <c r="U879" s="365"/>
      <c r="V879" s="365"/>
      <c r="W879" s="365"/>
      <c r="X879" s="365"/>
      <c r="Y879" s="365"/>
      <c r="Z879" s="365"/>
    </row>
    <row r="880" spans="1:26" ht="14.25" customHeight="1" x14ac:dyDescent="0.25">
      <c r="A880" s="365"/>
      <c r="B880" s="365"/>
      <c r="C880" s="365"/>
      <c r="D880" s="365"/>
      <c r="E880" s="365"/>
      <c r="F880" s="365"/>
      <c r="G880" s="365"/>
      <c r="H880" s="365"/>
      <c r="I880" s="365"/>
      <c r="J880" s="365"/>
      <c r="K880" s="365"/>
      <c r="L880" s="365"/>
      <c r="M880" s="365"/>
      <c r="N880" s="365"/>
      <c r="O880" s="365"/>
      <c r="P880" s="365"/>
      <c r="Q880" s="365"/>
      <c r="R880" s="365"/>
      <c r="S880" s="365"/>
      <c r="T880" s="365"/>
      <c r="U880" s="365"/>
      <c r="V880" s="365"/>
      <c r="W880" s="365"/>
      <c r="X880" s="365"/>
      <c r="Y880" s="365"/>
      <c r="Z880" s="365"/>
    </row>
    <row r="881" spans="1:26" ht="14.25" customHeight="1" x14ac:dyDescent="0.25">
      <c r="A881" s="365"/>
      <c r="B881" s="365"/>
      <c r="C881" s="365"/>
      <c r="D881" s="365"/>
      <c r="E881" s="365"/>
      <c r="F881" s="365"/>
      <c r="G881" s="365"/>
      <c r="H881" s="365"/>
      <c r="I881" s="365"/>
      <c r="J881" s="365"/>
      <c r="K881" s="365"/>
      <c r="L881" s="365"/>
      <c r="M881" s="365"/>
      <c r="N881" s="365"/>
      <c r="O881" s="365"/>
      <c r="P881" s="365"/>
      <c r="Q881" s="365"/>
      <c r="R881" s="365"/>
      <c r="S881" s="365"/>
      <c r="T881" s="365"/>
      <c r="U881" s="365"/>
      <c r="V881" s="365"/>
      <c r="W881" s="365"/>
      <c r="X881" s="365"/>
      <c r="Y881" s="365"/>
      <c r="Z881" s="365"/>
    </row>
    <row r="882" spans="1:26" ht="14.25" customHeight="1" x14ac:dyDescent="0.25">
      <c r="A882" s="365"/>
      <c r="B882" s="365"/>
      <c r="C882" s="365"/>
      <c r="D882" s="365"/>
      <c r="E882" s="365"/>
      <c r="F882" s="365"/>
      <c r="G882" s="365"/>
      <c r="H882" s="365"/>
      <c r="I882" s="365"/>
      <c r="J882" s="365"/>
      <c r="K882" s="365"/>
      <c r="L882" s="365"/>
      <c r="M882" s="365"/>
      <c r="N882" s="365"/>
      <c r="O882" s="365"/>
      <c r="P882" s="365"/>
      <c r="Q882" s="365"/>
      <c r="R882" s="365"/>
      <c r="S882" s="365"/>
      <c r="T882" s="365"/>
      <c r="U882" s="365"/>
      <c r="V882" s="365"/>
      <c r="W882" s="365"/>
      <c r="X882" s="365"/>
      <c r="Y882" s="365"/>
      <c r="Z882" s="365"/>
    </row>
    <row r="883" spans="1:26" ht="14.25" customHeight="1" x14ac:dyDescent="0.25">
      <c r="A883" s="365"/>
      <c r="B883" s="365"/>
      <c r="C883" s="365"/>
      <c r="D883" s="365"/>
      <c r="E883" s="365"/>
      <c r="F883" s="365"/>
      <c r="G883" s="365"/>
      <c r="H883" s="365"/>
      <c r="I883" s="365"/>
      <c r="J883" s="365"/>
      <c r="K883" s="365"/>
      <c r="L883" s="365"/>
      <c r="M883" s="365"/>
      <c r="N883" s="365"/>
      <c r="O883" s="365"/>
      <c r="P883" s="365"/>
      <c r="Q883" s="365"/>
      <c r="R883" s="365"/>
      <c r="S883" s="365"/>
      <c r="T883" s="365"/>
      <c r="U883" s="365"/>
      <c r="V883" s="365"/>
      <c r="W883" s="365"/>
      <c r="X883" s="365"/>
      <c r="Y883" s="365"/>
      <c r="Z883" s="365"/>
    </row>
    <row r="884" spans="1:26" ht="14.25" customHeight="1" x14ac:dyDescent="0.25">
      <c r="A884" s="365"/>
      <c r="B884" s="365"/>
      <c r="C884" s="365"/>
      <c r="D884" s="365"/>
      <c r="E884" s="365"/>
      <c r="F884" s="365"/>
      <c r="G884" s="365"/>
      <c r="H884" s="365"/>
      <c r="I884" s="365"/>
      <c r="J884" s="365"/>
      <c r="K884" s="365"/>
      <c r="L884" s="365"/>
      <c r="M884" s="365"/>
      <c r="N884" s="365"/>
      <c r="O884" s="365"/>
      <c r="P884" s="365"/>
      <c r="Q884" s="365"/>
      <c r="R884" s="365"/>
      <c r="S884" s="365"/>
      <c r="T884" s="365"/>
      <c r="U884" s="365"/>
      <c r="V884" s="365"/>
      <c r="W884" s="365"/>
      <c r="X884" s="365"/>
      <c r="Y884" s="365"/>
      <c r="Z884" s="365"/>
    </row>
    <row r="885" spans="1:26" ht="14.25" customHeight="1" x14ac:dyDescent="0.25">
      <c r="A885" s="365"/>
      <c r="B885" s="365"/>
      <c r="C885" s="365"/>
      <c r="D885" s="365"/>
      <c r="E885" s="365"/>
      <c r="F885" s="365"/>
      <c r="G885" s="365"/>
      <c r="H885" s="365"/>
      <c r="I885" s="365"/>
      <c r="J885" s="365"/>
      <c r="K885" s="365"/>
      <c r="L885" s="365"/>
      <c r="M885" s="365"/>
      <c r="N885" s="365"/>
      <c r="O885" s="365"/>
      <c r="P885" s="365"/>
      <c r="Q885" s="365"/>
      <c r="R885" s="365"/>
      <c r="S885" s="365"/>
      <c r="T885" s="365"/>
      <c r="U885" s="365"/>
      <c r="V885" s="365"/>
      <c r="W885" s="365"/>
      <c r="X885" s="365"/>
      <c r="Y885" s="365"/>
      <c r="Z885" s="365"/>
    </row>
    <row r="886" spans="1:26" ht="14.25" customHeight="1" x14ac:dyDescent="0.25">
      <c r="A886" s="365"/>
      <c r="B886" s="365"/>
      <c r="C886" s="365"/>
      <c r="D886" s="365"/>
      <c r="E886" s="365"/>
      <c r="F886" s="365"/>
      <c r="G886" s="365"/>
      <c r="H886" s="365"/>
      <c r="I886" s="365"/>
      <c r="J886" s="365"/>
      <c r="K886" s="365"/>
      <c r="L886" s="365"/>
      <c r="M886" s="365"/>
      <c r="N886" s="365"/>
      <c r="O886" s="365"/>
      <c r="P886" s="365"/>
      <c r="Q886" s="365"/>
      <c r="R886" s="365"/>
      <c r="S886" s="365"/>
      <c r="T886" s="365"/>
      <c r="U886" s="365"/>
      <c r="V886" s="365"/>
      <c r="W886" s="365"/>
      <c r="X886" s="365"/>
      <c r="Y886" s="365"/>
      <c r="Z886" s="365"/>
    </row>
    <row r="887" spans="1:26" ht="14.25" customHeight="1" x14ac:dyDescent="0.25">
      <c r="A887" s="365"/>
      <c r="B887" s="365"/>
      <c r="C887" s="365"/>
      <c r="D887" s="365"/>
      <c r="E887" s="365"/>
      <c r="F887" s="365"/>
      <c r="G887" s="365"/>
      <c r="H887" s="365"/>
      <c r="I887" s="365"/>
      <c r="J887" s="365"/>
      <c r="K887" s="365"/>
      <c r="L887" s="365"/>
      <c r="M887" s="365"/>
      <c r="N887" s="365"/>
      <c r="O887" s="365"/>
      <c r="P887" s="365"/>
      <c r="Q887" s="365"/>
      <c r="R887" s="365"/>
      <c r="S887" s="365"/>
      <c r="T887" s="365"/>
      <c r="U887" s="365"/>
      <c r="V887" s="365"/>
      <c r="W887" s="365"/>
      <c r="X887" s="365"/>
      <c r="Y887" s="365"/>
      <c r="Z887" s="365"/>
    </row>
    <row r="888" spans="1:26" ht="14.25" customHeight="1" x14ac:dyDescent="0.25">
      <c r="A888" s="365"/>
      <c r="B888" s="365"/>
      <c r="C888" s="365"/>
      <c r="D888" s="365"/>
      <c r="E888" s="365"/>
      <c r="F888" s="365"/>
      <c r="G888" s="365"/>
      <c r="H888" s="365"/>
      <c r="I888" s="365"/>
      <c r="J888" s="365"/>
      <c r="K888" s="365"/>
      <c r="L888" s="365"/>
      <c r="M888" s="365"/>
      <c r="N888" s="365"/>
      <c r="O888" s="365"/>
      <c r="P888" s="365"/>
      <c r="Q888" s="365"/>
      <c r="R888" s="365"/>
      <c r="S888" s="365"/>
      <c r="T888" s="365"/>
      <c r="U888" s="365"/>
      <c r="V888" s="365"/>
      <c r="W888" s="365"/>
      <c r="X888" s="365"/>
      <c r="Y888" s="365"/>
      <c r="Z888" s="365"/>
    </row>
    <row r="889" spans="1:26" ht="14.25" customHeight="1" x14ac:dyDescent="0.25">
      <c r="A889" s="365"/>
      <c r="B889" s="365"/>
      <c r="C889" s="365"/>
      <c r="D889" s="365"/>
      <c r="E889" s="365"/>
      <c r="F889" s="365"/>
      <c r="G889" s="365"/>
      <c r="H889" s="365"/>
      <c r="I889" s="365"/>
      <c r="J889" s="365"/>
      <c r="K889" s="365"/>
      <c r="L889" s="365"/>
      <c r="M889" s="365"/>
      <c r="N889" s="365"/>
      <c r="O889" s="365"/>
      <c r="P889" s="365"/>
      <c r="Q889" s="365"/>
      <c r="R889" s="365"/>
      <c r="S889" s="365"/>
      <c r="T889" s="365"/>
      <c r="U889" s="365"/>
      <c r="V889" s="365"/>
      <c r="W889" s="365"/>
      <c r="X889" s="365"/>
      <c r="Y889" s="365"/>
      <c r="Z889" s="365"/>
    </row>
    <row r="890" spans="1:26" ht="14.25" customHeight="1" x14ac:dyDescent="0.25">
      <c r="A890" s="365"/>
      <c r="B890" s="365"/>
      <c r="C890" s="365"/>
      <c r="D890" s="365"/>
      <c r="E890" s="365"/>
      <c r="F890" s="365"/>
      <c r="G890" s="365"/>
      <c r="H890" s="365"/>
      <c r="I890" s="365"/>
      <c r="J890" s="365"/>
      <c r="K890" s="365"/>
      <c r="L890" s="365"/>
      <c r="M890" s="365"/>
      <c r="N890" s="365"/>
      <c r="O890" s="365"/>
      <c r="P890" s="365"/>
      <c r="Q890" s="365"/>
      <c r="R890" s="365"/>
      <c r="S890" s="365"/>
      <c r="T890" s="365"/>
      <c r="U890" s="365"/>
      <c r="V890" s="365"/>
      <c r="W890" s="365"/>
      <c r="X890" s="365"/>
      <c r="Y890" s="365"/>
      <c r="Z890" s="365"/>
    </row>
    <row r="891" spans="1:26" ht="14.25" customHeight="1" x14ac:dyDescent="0.25">
      <c r="A891" s="365"/>
      <c r="B891" s="365"/>
      <c r="C891" s="365"/>
      <c r="D891" s="365"/>
      <c r="E891" s="365"/>
      <c r="F891" s="365"/>
      <c r="G891" s="365"/>
      <c r="H891" s="365"/>
      <c r="I891" s="365"/>
      <c r="J891" s="365"/>
      <c r="K891" s="365"/>
      <c r="L891" s="365"/>
      <c r="M891" s="365"/>
      <c r="N891" s="365"/>
      <c r="O891" s="365"/>
      <c r="P891" s="365"/>
      <c r="Q891" s="365"/>
      <c r="R891" s="365"/>
      <c r="S891" s="365"/>
      <c r="T891" s="365"/>
      <c r="U891" s="365"/>
      <c r="V891" s="365"/>
      <c r="W891" s="365"/>
      <c r="X891" s="365"/>
      <c r="Y891" s="365"/>
      <c r="Z891" s="365"/>
    </row>
    <row r="892" spans="1:26" ht="14.25" customHeight="1" x14ac:dyDescent="0.25">
      <c r="A892" s="365"/>
      <c r="B892" s="365"/>
      <c r="C892" s="365"/>
      <c r="D892" s="365"/>
      <c r="E892" s="365"/>
      <c r="F892" s="365"/>
      <c r="G892" s="365"/>
      <c r="H892" s="365"/>
      <c r="I892" s="365"/>
      <c r="J892" s="365"/>
      <c r="K892" s="365"/>
      <c r="L892" s="365"/>
      <c r="M892" s="365"/>
      <c r="N892" s="365"/>
      <c r="O892" s="365"/>
      <c r="P892" s="365"/>
      <c r="Q892" s="365"/>
      <c r="R892" s="365"/>
      <c r="S892" s="365"/>
      <c r="T892" s="365"/>
      <c r="U892" s="365"/>
      <c r="V892" s="365"/>
      <c r="W892" s="365"/>
      <c r="X892" s="365"/>
      <c r="Y892" s="365"/>
      <c r="Z892" s="365"/>
    </row>
    <row r="893" spans="1:26" ht="14.25" customHeight="1" x14ac:dyDescent="0.25">
      <c r="A893" s="365"/>
      <c r="B893" s="365"/>
      <c r="C893" s="365"/>
      <c r="D893" s="365"/>
      <c r="E893" s="365"/>
      <c r="F893" s="365"/>
      <c r="G893" s="365"/>
      <c r="H893" s="365"/>
      <c r="I893" s="365"/>
      <c r="J893" s="365"/>
      <c r="K893" s="365"/>
      <c r="L893" s="365"/>
      <c r="M893" s="365"/>
      <c r="N893" s="365"/>
      <c r="O893" s="365"/>
      <c r="P893" s="365"/>
      <c r="Q893" s="365"/>
      <c r="R893" s="365"/>
      <c r="S893" s="365"/>
      <c r="T893" s="365"/>
      <c r="U893" s="365"/>
      <c r="V893" s="365"/>
      <c r="W893" s="365"/>
      <c r="X893" s="365"/>
      <c r="Y893" s="365"/>
      <c r="Z893" s="365"/>
    </row>
    <row r="894" spans="1:26" ht="14.25" customHeight="1" x14ac:dyDescent="0.25">
      <c r="A894" s="365"/>
      <c r="B894" s="365"/>
      <c r="C894" s="365"/>
      <c r="D894" s="365"/>
      <c r="E894" s="365"/>
      <c r="F894" s="365"/>
      <c r="G894" s="365"/>
      <c r="H894" s="365"/>
      <c r="I894" s="365"/>
      <c r="J894" s="365"/>
      <c r="K894" s="365"/>
      <c r="L894" s="365"/>
      <c r="M894" s="365"/>
      <c r="N894" s="365"/>
      <c r="O894" s="365"/>
      <c r="P894" s="365"/>
      <c r="Q894" s="365"/>
      <c r="R894" s="365"/>
      <c r="S894" s="365"/>
      <c r="T894" s="365"/>
      <c r="U894" s="365"/>
      <c r="V894" s="365"/>
      <c r="W894" s="365"/>
      <c r="X894" s="365"/>
      <c r="Y894" s="365"/>
      <c r="Z894" s="365"/>
    </row>
    <row r="895" spans="1:26" ht="14.25" customHeight="1" x14ac:dyDescent="0.25">
      <c r="A895" s="365"/>
      <c r="B895" s="365"/>
      <c r="C895" s="365"/>
      <c r="D895" s="365"/>
      <c r="E895" s="365"/>
      <c r="F895" s="365"/>
      <c r="G895" s="365"/>
      <c r="H895" s="365"/>
      <c r="I895" s="365"/>
      <c r="J895" s="365"/>
      <c r="K895" s="365"/>
      <c r="L895" s="365"/>
      <c r="M895" s="365"/>
      <c r="N895" s="365"/>
      <c r="O895" s="365"/>
      <c r="P895" s="365"/>
      <c r="Q895" s="365"/>
      <c r="R895" s="365"/>
      <c r="S895" s="365"/>
      <c r="T895" s="365"/>
      <c r="U895" s="365"/>
      <c r="V895" s="365"/>
      <c r="W895" s="365"/>
      <c r="X895" s="365"/>
      <c r="Y895" s="365"/>
      <c r="Z895" s="365"/>
    </row>
    <row r="896" spans="1:26" ht="14.25" customHeight="1" x14ac:dyDescent="0.25">
      <c r="A896" s="365"/>
      <c r="B896" s="365"/>
      <c r="C896" s="365"/>
      <c r="D896" s="365"/>
      <c r="E896" s="365"/>
      <c r="F896" s="365"/>
      <c r="G896" s="365"/>
      <c r="H896" s="365"/>
      <c r="I896" s="365"/>
      <c r="J896" s="365"/>
      <c r="K896" s="365"/>
      <c r="L896" s="365"/>
      <c r="M896" s="365"/>
      <c r="N896" s="365"/>
      <c r="O896" s="365"/>
      <c r="P896" s="365"/>
      <c r="Q896" s="365"/>
      <c r="R896" s="365"/>
      <c r="S896" s="365"/>
      <c r="T896" s="365"/>
      <c r="U896" s="365"/>
      <c r="V896" s="365"/>
      <c r="W896" s="365"/>
      <c r="X896" s="365"/>
      <c r="Y896" s="365"/>
      <c r="Z896" s="365"/>
    </row>
    <row r="897" spans="1:26" ht="14.25" customHeight="1" x14ac:dyDescent="0.25">
      <c r="A897" s="365"/>
      <c r="B897" s="365"/>
      <c r="C897" s="365"/>
      <c r="D897" s="365"/>
      <c r="E897" s="365"/>
      <c r="F897" s="365"/>
      <c r="G897" s="365"/>
      <c r="H897" s="365"/>
      <c r="I897" s="365"/>
      <c r="J897" s="365"/>
      <c r="K897" s="365"/>
      <c r="L897" s="365"/>
      <c r="M897" s="365"/>
      <c r="N897" s="365"/>
      <c r="O897" s="365"/>
      <c r="P897" s="365"/>
      <c r="Q897" s="365"/>
      <c r="R897" s="365"/>
      <c r="S897" s="365"/>
      <c r="T897" s="365"/>
      <c r="U897" s="365"/>
      <c r="V897" s="365"/>
      <c r="W897" s="365"/>
      <c r="X897" s="365"/>
      <c r="Y897" s="365"/>
      <c r="Z897" s="365"/>
    </row>
    <row r="898" spans="1:26" ht="14.25" customHeight="1" x14ac:dyDescent="0.25">
      <c r="A898" s="365"/>
      <c r="B898" s="365"/>
      <c r="C898" s="365"/>
      <c r="D898" s="365"/>
      <c r="E898" s="365"/>
      <c r="F898" s="365"/>
      <c r="G898" s="365"/>
      <c r="H898" s="365"/>
      <c r="I898" s="365"/>
      <c r="J898" s="365"/>
      <c r="K898" s="365"/>
      <c r="L898" s="365"/>
      <c r="M898" s="365"/>
      <c r="N898" s="365"/>
      <c r="O898" s="365"/>
      <c r="P898" s="365"/>
      <c r="Q898" s="365"/>
      <c r="R898" s="365"/>
      <c r="S898" s="365"/>
      <c r="T898" s="365"/>
      <c r="U898" s="365"/>
      <c r="V898" s="365"/>
      <c r="W898" s="365"/>
      <c r="X898" s="365"/>
      <c r="Y898" s="365"/>
      <c r="Z898" s="365"/>
    </row>
    <row r="899" spans="1:26" ht="14.25" customHeight="1" x14ac:dyDescent="0.25">
      <c r="A899" s="365"/>
      <c r="B899" s="365"/>
      <c r="C899" s="365"/>
      <c r="D899" s="365"/>
      <c r="E899" s="365"/>
      <c r="F899" s="365"/>
      <c r="G899" s="365"/>
      <c r="H899" s="365"/>
      <c r="I899" s="365"/>
      <c r="J899" s="365"/>
      <c r="K899" s="365"/>
      <c r="L899" s="365"/>
      <c r="M899" s="365"/>
      <c r="N899" s="365"/>
      <c r="O899" s="365"/>
      <c r="P899" s="365"/>
      <c r="Q899" s="365"/>
      <c r="R899" s="365"/>
      <c r="S899" s="365"/>
      <c r="T899" s="365"/>
      <c r="U899" s="365"/>
      <c r="V899" s="365"/>
      <c r="W899" s="365"/>
      <c r="X899" s="365"/>
      <c r="Y899" s="365"/>
      <c r="Z899" s="365"/>
    </row>
    <row r="900" spans="1:26" ht="14.25" customHeight="1" x14ac:dyDescent="0.25">
      <c r="A900" s="365"/>
      <c r="B900" s="365"/>
      <c r="C900" s="365"/>
      <c r="D900" s="365"/>
      <c r="E900" s="365"/>
      <c r="F900" s="365"/>
      <c r="G900" s="365"/>
      <c r="H900" s="365"/>
      <c r="I900" s="365"/>
      <c r="J900" s="365"/>
      <c r="K900" s="365"/>
      <c r="L900" s="365"/>
      <c r="M900" s="365"/>
      <c r="N900" s="365"/>
      <c r="O900" s="365"/>
      <c r="P900" s="365"/>
      <c r="Q900" s="365"/>
      <c r="R900" s="365"/>
      <c r="S900" s="365"/>
      <c r="T900" s="365"/>
      <c r="U900" s="365"/>
      <c r="V900" s="365"/>
      <c r="W900" s="365"/>
      <c r="X900" s="365"/>
      <c r="Y900" s="365"/>
      <c r="Z900" s="365"/>
    </row>
    <row r="901" spans="1:26" ht="14.25" customHeight="1" x14ac:dyDescent="0.25">
      <c r="A901" s="365"/>
      <c r="B901" s="365"/>
      <c r="C901" s="365"/>
      <c r="D901" s="365"/>
      <c r="E901" s="365"/>
      <c r="F901" s="365"/>
      <c r="G901" s="365"/>
      <c r="H901" s="365"/>
      <c r="I901" s="365"/>
      <c r="J901" s="365"/>
      <c r="K901" s="365"/>
      <c r="L901" s="365"/>
      <c r="M901" s="365"/>
      <c r="N901" s="365"/>
      <c r="O901" s="365"/>
      <c r="P901" s="365"/>
      <c r="Q901" s="365"/>
      <c r="R901" s="365"/>
      <c r="S901" s="365"/>
      <c r="T901" s="365"/>
      <c r="U901" s="365"/>
      <c r="V901" s="365"/>
      <c r="W901" s="365"/>
      <c r="X901" s="365"/>
      <c r="Y901" s="365"/>
      <c r="Z901" s="365"/>
    </row>
    <row r="902" spans="1:26" ht="14.25" customHeight="1" x14ac:dyDescent="0.25">
      <c r="A902" s="365"/>
      <c r="B902" s="365"/>
      <c r="C902" s="365"/>
      <c r="D902" s="365"/>
      <c r="E902" s="365"/>
      <c r="F902" s="365"/>
      <c r="G902" s="365"/>
      <c r="H902" s="365"/>
      <c r="I902" s="365"/>
      <c r="J902" s="365"/>
      <c r="K902" s="365"/>
      <c r="L902" s="365"/>
      <c r="M902" s="365"/>
      <c r="N902" s="365"/>
      <c r="O902" s="365"/>
      <c r="P902" s="365"/>
      <c r="Q902" s="365"/>
      <c r="R902" s="365"/>
      <c r="S902" s="365"/>
      <c r="T902" s="365"/>
      <c r="U902" s="365"/>
      <c r="V902" s="365"/>
      <c r="W902" s="365"/>
      <c r="X902" s="365"/>
      <c r="Y902" s="365"/>
      <c r="Z902" s="365"/>
    </row>
    <row r="903" spans="1:26" ht="14.25" customHeight="1" x14ac:dyDescent="0.25">
      <c r="A903" s="365"/>
      <c r="B903" s="365"/>
      <c r="C903" s="365"/>
      <c r="D903" s="365"/>
      <c r="E903" s="365"/>
      <c r="F903" s="365"/>
      <c r="G903" s="365"/>
      <c r="H903" s="365"/>
      <c r="I903" s="365"/>
      <c r="J903" s="365"/>
      <c r="K903" s="365"/>
      <c r="L903" s="365"/>
      <c r="M903" s="365"/>
      <c r="N903" s="365"/>
      <c r="O903" s="365"/>
      <c r="P903" s="365"/>
      <c r="Q903" s="365"/>
      <c r="R903" s="365"/>
      <c r="S903" s="365"/>
      <c r="T903" s="365"/>
      <c r="U903" s="365"/>
      <c r="V903" s="365"/>
      <c r="W903" s="365"/>
      <c r="X903" s="365"/>
      <c r="Y903" s="365"/>
      <c r="Z903" s="365"/>
    </row>
    <row r="904" spans="1:26" ht="14.25" customHeight="1" x14ac:dyDescent="0.25">
      <c r="A904" s="365"/>
      <c r="B904" s="365"/>
      <c r="C904" s="365"/>
      <c r="D904" s="365"/>
      <c r="E904" s="365"/>
      <c r="F904" s="365"/>
      <c r="G904" s="365"/>
      <c r="H904" s="365"/>
      <c r="I904" s="365"/>
      <c r="J904" s="365"/>
      <c r="K904" s="365"/>
      <c r="L904" s="365"/>
      <c r="M904" s="365"/>
      <c r="N904" s="365"/>
      <c r="O904" s="365"/>
      <c r="P904" s="365"/>
      <c r="Q904" s="365"/>
      <c r="R904" s="365"/>
      <c r="S904" s="365"/>
      <c r="T904" s="365"/>
      <c r="U904" s="365"/>
      <c r="V904" s="365"/>
      <c r="W904" s="365"/>
      <c r="X904" s="365"/>
      <c r="Y904" s="365"/>
      <c r="Z904" s="365"/>
    </row>
    <row r="905" spans="1:26" ht="14.25" customHeight="1" x14ac:dyDescent="0.25">
      <c r="A905" s="365"/>
      <c r="B905" s="365"/>
      <c r="C905" s="365"/>
      <c r="D905" s="365"/>
      <c r="E905" s="365"/>
      <c r="F905" s="365"/>
      <c r="G905" s="365"/>
      <c r="H905" s="365"/>
      <c r="I905" s="365"/>
      <c r="J905" s="365"/>
      <c r="K905" s="365"/>
      <c r="L905" s="365"/>
      <c r="M905" s="365"/>
      <c r="N905" s="365"/>
      <c r="O905" s="365"/>
      <c r="P905" s="365"/>
      <c r="Q905" s="365"/>
      <c r="R905" s="365"/>
      <c r="S905" s="365"/>
      <c r="T905" s="365"/>
      <c r="U905" s="365"/>
      <c r="V905" s="365"/>
      <c r="W905" s="365"/>
      <c r="X905" s="365"/>
      <c r="Y905" s="365"/>
      <c r="Z905" s="365"/>
    </row>
    <row r="906" spans="1:26" ht="14.25" customHeight="1" x14ac:dyDescent="0.25">
      <c r="A906" s="365"/>
      <c r="B906" s="365"/>
      <c r="C906" s="365"/>
      <c r="D906" s="365"/>
      <c r="E906" s="365"/>
      <c r="F906" s="365"/>
      <c r="G906" s="365"/>
      <c r="H906" s="365"/>
      <c r="I906" s="365"/>
      <c r="J906" s="365"/>
      <c r="K906" s="365"/>
      <c r="L906" s="365"/>
      <c r="M906" s="365"/>
      <c r="N906" s="365"/>
      <c r="O906" s="365"/>
      <c r="P906" s="365"/>
      <c r="Q906" s="365"/>
      <c r="R906" s="365"/>
      <c r="S906" s="365"/>
      <c r="T906" s="365"/>
      <c r="U906" s="365"/>
      <c r="V906" s="365"/>
      <c r="W906" s="365"/>
      <c r="X906" s="365"/>
      <c r="Y906" s="365"/>
      <c r="Z906" s="365"/>
    </row>
    <row r="907" spans="1:26" ht="14.25" customHeight="1" x14ac:dyDescent="0.25">
      <c r="A907" s="365"/>
      <c r="B907" s="365"/>
      <c r="C907" s="365"/>
      <c r="D907" s="365"/>
      <c r="E907" s="365"/>
      <c r="F907" s="365"/>
      <c r="G907" s="365"/>
      <c r="H907" s="365"/>
      <c r="I907" s="365"/>
      <c r="J907" s="365"/>
      <c r="K907" s="365"/>
      <c r="L907" s="365"/>
      <c r="M907" s="365"/>
      <c r="N907" s="365"/>
      <c r="O907" s="365"/>
      <c r="P907" s="365"/>
      <c r="Q907" s="365"/>
      <c r="R907" s="365"/>
      <c r="S907" s="365"/>
      <c r="T907" s="365"/>
      <c r="U907" s="365"/>
      <c r="V907" s="365"/>
      <c r="W907" s="365"/>
      <c r="X907" s="365"/>
      <c r="Y907" s="365"/>
      <c r="Z907" s="365"/>
    </row>
    <row r="908" spans="1:26" ht="14.25" customHeight="1" x14ac:dyDescent="0.25">
      <c r="A908" s="365"/>
      <c r="B908" s="365"/>
      <c r="C908" s="365"/>
      <c r="D908" s="365"/>
      <c r="E908" s="365"/>
      <c r="F908" s="365"/>
      <c r="G908" s="365"/>
      <c r="H908" s="365"/>
      <c r="I908" s="365"/>
      <c r="J908" s="365"/>
      <c r="K908" s="365"/>
      <c r="L908" s="365"/>
      <c r="M908" s="365"/>
      <c r="N908" s="365"/>
      <c r="O908" s="365"/>
      <c r="P908" s="365"/>
      <c r="Q908" s="365"/>
      <c r="R908" s="365"/>
      <c r="S908" s="365"/>
      <c r="T908" s="365"/>
      <c r="U908" s="365"/>
      <c r="V908" s="365"/>
      <c r="W908" s="365"/>
      <c r="X908" s="365"/>
      <c r="Y908" s="365"/>
      <c r="Z908" s="365"/>
    </row>
    <row r="909" spans="1:26" ht="14.25" customHeight="1" x14ac:dyDescent="0.25">
      <c r="A909" s="365"/>
      <c r="B909" s="365"/>
      <c r="C909" s="365"/>
      <c r="D909" s="365"/>
      <c r="E909" s="365"/>
      <c r="F909" s="365"/>
      <c r="G909" s="365"/>
      <c r="H909" s="365"/>
      <c r="I909" s="365"/>
      <c r="J909" s="365"/>
      <c r="K909" s="365"/>
      <c r="L909" s="365"/>
      <c r="M909" s="365"/>
      <c r="N909" s="365"/>
      <c r="O909" s="365"/>
      <c r="P909" s="365"/>
      <c r="Q909" s="365"/>
      <c r="R909" s="365"/>
      <c r="S909" s="365"/>
      <c r="T909" s="365"/>
      <c r="U909" s="365"/>
      <c r="V909" s="365"/>
      <c r="W909" s="365"/>
      <c r="X909" s="365"/>
      <c r="Y909" s="365"/>
      <c r="Z909" s="365"/>
    </row>
    <row r="910" spans="1:26" ht="14.25" customHeight="1" x14ac:dyDescent="0.25">
      <c r="A910" s="365"/>
      <c r="B910" s="365"/>
      <c r="C910" s="365"/>
      <c r="D910" s="365"/>
      <c r="E910" s="365"/>
      <c r="F910" s="365"/>
      <c r="G910" s="365"/>
      <c r="H910" s="365"/>
      <c r="I910" s="365"/>
      <c r="J910" s="365"/>
      <c r="K910" s="365"/>
      <c r="L910" s="365"/>
      <c r="M910" s="365"/>
      <c r="N910" s="365"/>
      <c r="O910" s="365"/>
      <c r="P910" s="365"/>
      <c r="Q910" s="365"/>
      <c r="R910" s="365"/>
      <c r="S910" s="365"/>
      <c r="T910" s="365"/>
      <c r="U910" s="365"/>
      <c r="V910" s="365"/>
      <c r="W910" s="365"/>
      <c r="X910" s="365"/>
      <c r="Y910" s="365"/>
      <c r="Z910" s="365"/>
    </row>
    <row r="911" spans="1:26" ht="14.25" customHeight="1" x14ac:dyDescent="0.25">
      <c r="A911" s="365"/>
      <c r="B911" s="365"/>
      <c r="C911" s="365"/>
      <c r="D911" s="365"/>
      <c r="E911" s="365"/>
      <c r="F911" s="365"/>
      <c r="G911" s="365"/>
      <c r="H911" s="365"/>
      <c r="I911" s="365"/>
      <c r="J911" s="365"/>
      <c r="K911" s="365"/>
      <c r="L911" s="365"/>
      <c r="M911" s="365"/>
      <c r="N911" s="365"/>
      <c r="O911" s="365"/>
      <c r="P911" s="365"/>
      <c r="Q911" s="365"/>
      <c r="R911" s="365"/>
      <c r="S911" s="365"/>
      <c r="T911" s="365"/>
      <c r="U911" s="365"/>
      <c r="V911" s="365"/>
      <c r="W911" s="365"/>
      <c r="X911" s="365"/>
      <c r="Y911" s="365"/>
      <c r="Z911" s="365"/>
    </row>
    <row r="912" spans="1:26" ht="14.25" customHeight="1" x14ac:dyDescent="0.25">
      <c r="A912" s="365"/>
      <c r="B912" s="365"/>
      <c r="C912" s="365"/>
      <c r="D912" s="365"/>
      <c r="E912" s="365"/>
      <c r="F912" s="365"/>
      <c r="G912" s="365"/>
      <c r="H912" s="365"/>
      <c r="I912" s="365"/>
      <c r="J912" s="365"/>
      <c r="K912" s="365"/>
      <c r="L912" s="365"/>
      <c r="M912" s="365"/>
      <c r="N912" s="365"/>
      <c r="O912" s="365"/>
      <c r="P912" s="365"/>
      <c r="Q912" s="365"/>
      <c r="R912" s="365"/>
      <c r="S912" s="365"/>
      <c r="T912" s="365"/>
      <c r="U912" s="365"/>
      <c r="V912" s="365"/>
      <c r="W912" s="365"/>
      <c r="X912" s="365"/>
      <c r="Y912" s="365"/>
      <c r="Z912" s="365"/>
    </row>
    <row r="913" spans="1:26" ht="14.25" customHeight="1" x14ac:dyDescent="0.25">
      <c r="A913" s="365"/>
      <c r="B913" s="365"/>
      <c r="C913" s="365"/>
      <c r="D913" s="365"/>
      <c r="E913" s="365"/>
      <c r="F913" s="365"/>
      <c r="G913" s="365"/>
      <c r="H913" s="365"/>
      <c r="I913" s="365"/>
      <c r="J913" s="365"/>
      <c r="K913" s="365"/>
      <c r="L913" s="365"/>
      <c r="M913" s="365"/>
      <c r="N913" s="365"/>
      <c r="O913" s="365"/>
      <c r="P913" s="365"/>
      <c r="Q913" s="365"/>
      <c r="R913" s="365"/>
      <c r="S913" s="365"/>
      <c r="T913" s="365"/>
      <c r="U913" s="365"/>
      <c r="V913" s="365"/>
      <c r="W913" s="365"/>
      <c r="X913" s="365"/>
      <c r="Y913" s="365"/>
      <c r="Z913" s="365"/>
    </row>
    <row r="914" spans="1:26" ht="14.25" customHeight="1" x14ac:dyDescent="0.25">
      <c r="A914" s="365"/>
      <c r="B914" s="365"/>
      <c r="C914" s="365"/>
      <c r="D914" s="365"/>
      <c r="E914" s="365"/>
      <c r="F914" s="365"/>
      <c r="G914" s="365"/>
      <c r="H914" s="365"/>
      <c r="I914" s="365"/>
      <c r="J914" s="365"/>
      <c r="K914" s="365"/>
      <c r="L914" s="365"/>
      <c r="M914" s="365"/>
      <c r="N914" s="365"/>
      <c r="O914" s="365"/>
      <c r="P914" s="365"/>
      <c r="Q914" s="365"/>
      <c r="R914" s="365"/>
      <c r="S914" s="365"/>
      <c r="T914" s="365"/>
      <c r="U914" s="365"/>
      <c r="V914" s="365"/>
      <c r="W914" s="365"/>
      <c r="X914" s="365"/>
      <c r="Y914" s="365"/>
      <c r="Z914" s="365"/>
    </row>
    <row r="915" spans="1:26" ht="14.25" customHeight="1" x14ac:dyDescent="0.25">
      <c r="A915" s="365"/>
      <c r="B915" s="365"/>
      <c r="C915" s="365"/>
      <c r="D915" s="365"/>
      <c r="E915" s="365"/>
      <c r="F915" s="365"/>
      <c r="G915" s="365"/>
      <c r="H915" s="365"/>
      <c r="I915" s="365"/>
      <c r="J915" s="365"/>
      <c r="K915" s="365"/>
      <c r="L915" s="365"/>
      <c r="M915" s="365"/>
      <c r="N915" s="365"/>
      <c r="O915" s="365"/>
      <c r="P915" s="365"/>
      <c r="Q915" s="365"/>
      <c r="R915" s="365"/>
      <c r="S915" s="365"/>
      <c r="T915" s="365"/>
      <c r="U915" s="365"/>
      <c r="V915" s="365"/>
      <c r="W915" s="365"/>
      <c r="X915" s="365"/>
      <c r="Y915" s="365"/>
      <c r="Z915" s="365"/>
    </row>
    <row r="916" spans="1:26" ht="14.25" customHeight="1" x14ac:dyDescent="0.25">
      <c r="A916" s="365"/>
      <c r="B916" s="365"/>
      <c r="C916" s="365"/>
      <c r="D916" s="365"/>
      <c r="E916" s="365"/>
      <c r="F916" s="365"/>
      <c r="G916" s="365"/>
      <c r="H916" s="365"/>
      <c r="I916" s="365"/>
      <c r="J916" s="365"/>
      <c r="K916" s="365"/>
      <c r="L916" s="365"/>
      <c r="M916" s="365"/>
      <c r="N916" s="365"/>
      <c r="O916" s="365"/>
      <c r="P916" s="365"/>
      <c r="Q916" s="365"/>
      <c r="R916" s="365"/>
      <c r="S916" s="365"/>
      <c r="T916" s="365"/>
      <c r="U916" s="365"/>
      <c r="V916" s="365"/>
      <c r="W916" s="365"/>
      <c r="X916" s="365"/>
      <c r="Y916" s="365"/>
      <c r="Z916" s="365"/>
    </row>
    <row r="917" spans="1:26" ht="14.25" customHeight="1" x14ac:dyDescent="0.25">
      <c r="A917" s="365"/>
      <c r="B917" s="365"/>
      <c r="C917" s="365"/>
      <c r="D917" s="365"/>
      <c r="E917" s="365"/>
      <c r="F917" s="365"/>
      <c r="G917" s="365"/>
      <c r="H917" s="365"/>
      <c r="I917" s="365"/>
      <c r="J917" s="365"/>
      <c r="K917" s="365"/>
      <c r="L917" s="365"/>
      <c r="M917" s="365"/>
      <c r="N917" s="365"/>
      <c r="O917" s="365"/>
      <c r="P917" s="365"/>
      <c r="Q917" s="365"/>
      <c r="R917" s="365"/>
      <c r="S917" s="365"/>
      <c r="T917" s="365"/>
      <c r="U917" s="365"/>
      <c r="V917" s="365"/>
      <c r="W917" s="365"/>
      <c r="X917" s="365"/>
      <c r="Y917" s="365"/>
      <c r="Z917" s="365"/>
    </row>
    <row r="918" spans="1:26" ht="14.25" customHeight="1" x14ac:dyDescent="0.25">
      <c r="A918" s="365"/>
      <c r="B918" s="365"/>
      <c r="C918" s="365"/>
      <c r="D918" s="365"/>
      <c r="E918" s="365"/>
      <c r="F918" s="365"/>
      <c r="G918" s="365"/>
      <c r="H918" s="365"/>
      <c r="I918" s="365"/>
      <c r="J918" s="365"/>
      <c r="K918" s="365"/>
      <c r="L918" s="365"/>
      <c r="M918" s="365"/>
      <c r="N918" s="365"/>
      <c r="O918" s="365"/>
      <c r="P918" s="365"/>
      <c r="Q918" s="365"/>
      <c r="R918" s="365"/>
      <c r="S918" s="365"/>
      <c r="T918" s="365"/>
      <c r="U918" s="365"/>
      <c r="V918" s="365"/>
      <c r="W918" s="365"/>
      <c r="X918" s="365"/>
      <c r="Y918" s="365"/>
      <c r="Z918" s="365"/>
    </row>
    <row r="919" spans="1:26" ht="14.25" customHeight="1" x14ac:dyDescent="0.25">
      <c r="A919" s="365"/>
      <c r="B919" s="365"/>
      <c r="C919" s="365"/>
      <c r="D919" s="365"/>
      <c r="E919" s="365"/>
      <c r="F919" s="365"/>
      <c r="G919" s="365"/>
      <c r="H919" s="365"/>
      <c r="I919" s="365"/>
      <c r="J919" s="365"/>
      <c r="K919" s="365"/>
      <c r="L919" s="365"/>
      <c r="M919" s="365"/>
      <c r="N919" s="365"/>
      <c r="O919" s="365"/>
      <c r="P919" s="365"/>
      <c r="Q919" s="365"/>
      <c r="R919" s="365"/>
      <c r="S919" s="365"/>
      <c r="T919" s="365"/>
      <c r="U919" s="365"/>
      <c r="V919" s="365"/>
      <c r="W919" s="365"/>
      <c r="X919" s="365"/>
      <c r="Y919" s="365"/>
      <c r="Z919" s="365"/>
    </row>
    <row r="920" spans="1:26" ht="14.25" customHeight="1" x14ac:dyDescent="0.25">
      <c r="A920" s="365"/>
      <c r="B920" s="365"/>
      <c r="C920" s="365"/>
      <c r="D920" s="365"/>
      <c r="E920" s="365"/>
      <c r="F920" s="365"/>
      <c r="G920" s="365"/>
      <c r="H920" s="365"/>
      <c r="I920" s="365"/>
      <c r="J920" s="365"/>
      <c r="K920" s="365"/>
      <c r="L920" s="365"/>
      <c r="M920" s="365"/>
      <c r="N920" s="365"/>
      <c r="O920" s="365"/>
      <c r="P920" s="365"/>
      <c r="Q920" s="365"/>
      <c r="R920" s="365"/>
      <c r="S920" s="365"/>
      <c r="T920" s="365"/>
      <c r="U920" s="365"/>
      <c r="V920" s="365"/>
      <c r="W920" s="365"/>
      <c r="X920" s="365"/>
      <c r="Y920" s="365"/>
      <c r="Z920" s="365"/>
    </row>
    <row r="921" spans="1:26" ht="14.25" customHeight="1" x14ac:dyDescent="0.25">
      <c r="A921" s="365"/>
      <c r="B921" s="365"/>
      <c r="C921" s="365"/>
      <c r="D921" s="365"/>
      <c r="E921" s="365"/>
      <c r="F921" s="365"/>
      <c r="G921" s="365"/>
      <c r="H921" s="365"/>
      <c r="I921" s="365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  <c r="T921" s="365"/>
      <c r="U921" s="365"/>
      <c r="V921" s="365"/>
      <c r="W921" s="365"/>
      <c r="X921" s="365"/>
      <c r="Y921" s="365"/>
      <c r="Z921" s="365"/>
    </row>
    <row r="922" spans="1:26" ht="14.25" customHeight="1" x14ac:dyDescent="0.25">
      <c r="A922" s="365"/>
      <c r="B922" s="365"/>
      <c r="C922" s="365"/>
      <c r="D922" s="365"/>
      <c r="E922" s="365"/>
      <c r="F922" s="365"/>
      <c r="G922" s="365"/>
      <c r="H922" s="365"/>
      <c r="I922" s="365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5"/>
      <c r="V922" s="365"/>
      <c r="W922" s="365"/>
      <c r="X922" s="365"/>
      <c r="Y922" s="365"/>
      <c r="Z922" s="365"/>
    </row>
    <row r="923" spans="1:26" ht="14.25" customHeight="1" x14ac:dyDescent="0.25">
      <c r="A923" s="365"/>
      <c r="B923" s="365"/>
      <c r="C923" s="365"/>
      <c r="D923" s="365"/>
      <c r="E923" s="365"/>
      <c r="F923" s="365"/>
      <c r="G923" s="365"/>
      <c r="H923" s="365"/>
      <c r="I923" s="365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5"/>
      <c r="V923" s="365"/>
      <c r="W923" s="365"/>
      <c r="X923" s="365"/>
      <c r="Y923" s="365"/>
      <c r="Z923" s="365"/>
    </row>
    <row r="924" spans="1:26" ht="14.25" customHeight="1" x14ac:dyDescent="0.25">
      <c r="A924" s="365"/>
      <c r="B924" s="365"/>
      <c r="C924" s="365"/>
      <c r="D924" s="365"/>
      <c r="E924" s="365"/>
      <c r="F924" s="365"/>
      <c r="G924" s="365"/>
      <c r="H924" s="365"/>
      <c r="I924" s="365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5"/>
      <c r="V924" s="365"/>
      <c r="W924" s="365"/>
      <c r="X924" s="365"/>
      <c r="Y924" s="365"/>
      <c r="Z924" s="365"/>
    </row>
    <row r="925" spans="1:26" ht="14.25" customHeight="1" x14ac:dyDescent="0.25">
      <c r="A925" s="365"/>
      <c r="B925" s="365"/>
      <c r="C925" s="365"/>
      <c r="D925" s="365"/>
      <c r="E925" s="365"/>
      <c r="F925" s="365"/>
      <c r="G925" s="365"/>
      <c r="H925" s="365"/>
      <c r="I925" s="365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5"/>
      <c r="V925" s="365"/>
      <c r="W925" s="365"/>
      <c r="X925" s="365"/>
      <c r="Y925" s="365"/>
      <c r="Z925" s="365"/>
    </row>
    <row r="926" spans="1:26" ht="14.25" customHeight="1" x14ac:dyDescent="0.25">
      <c r="A926" s="365"/>
      <c r="B926" s="365"/>
      <c r="C926" s="365"/>
      <c r="D926" s="365"/>
      <c r="E926" s="365"/>
      <c r="F926" s="365"/>
      <c r="G926" s="365"/>
      <c r="H926" s="365"/>
      <c r="I926" s="365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5"/>
      <c r="V926" s="365"/>
      <c r="W926" s="365"/>
      <c r="X926" s="365"/>
      <c r="Y926" s="365"/>
      <c r="Z926" s="365"/>
    </row>
    <row r="927" spans="1:26" ht="14.25" customHeight="1" x14ac:dyDescent="0.25">
      <c r="A927" s="365"/>
      <c r="B927" s="365"/>
      <c r="C927" s="365"/>
      <c r="D927" s="365"/>
      <c r="E927" s="365"/>
      <c r="F927" s="365"/>
      <c r="G927" s="365"/>
      <c r="H927" s="365"/>
      <c r="I927" s="365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5"/>
      <c r="V927" s="365"/>
      <c r="W927" s="365"/>
      <c r="X927" s="365"/>
      <c r="Y927" s="365"/>
      <c r="Z927" s="365"/>
    </row>
    <row r="928" spans="1:26" ht="14.25" customHeight="1" x14ac:dyDescent="0.25">
      <c r="A928" s="365"/>
      <c r="B928" s="365"/>
      <c r="C928" s="365"/>
      <c r="D928" s="365"/>
      <c r="E928" s="365"/>
      <c r="F928" s="365"/>
      <c r="G928" s="365"/>
      <c r="H928" s="365"/>
      <c r="I928" s="365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5"/>
      <c r="V928" s="365"/>
      <c r="W928" s="365"/>
      <c r="X928" s="365"/>
      <c r="Y928" s="365"/>
      <c r="Z928" s="365"/>
    </row>
    <row r="929" spans="1:26" ht="14.25" customHeight="1" x14ac:dyDescent="0.25">
      <c r="A929" s="365"/>
      <c r="B929" s="365"/>
      <c r="C929" s="365"/>
      <c r="D929" s="365"/>
      <c r="E929" s="365"/>
      <c r="F929" s="365"/>
      <c r="G929" s="365"/>
      <c r="H929" s="365"/>
      <c r="I929" s="365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5"/>
      <c r="V929" s="365"/>
      <c r="W929" s="365"/>
      <c r="X929" s="365"/>
      <c r="Y929" s="365"/>
      <c r="Z929" s="365"/>
    </row>
    <row r="930" spans="1:26" ht="14.25" customHeight="1" x14ac:dyDescent="0.25">
      <c r="A930" s="365"/>
      <c r="B930" s="365"/>
      <c r="C930" s="365"/>
      <c r="D930" s="365"/>
      <c r="E930" s="365"/>
      <c r="F930" s="365"/>
      <c r="G930" s="365"/>
      <c r="H930" s="365"/>
      <c r="I930" s="365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5"/>
      <c r="V930" s="365"/>
      <c r="W930" s="365"/>
      <c r="X930" s="365"/>
      <c r="Y930" s="365"/>
      <c r="Z930" s="365"/>
    </row>
    <row r="931" spans="1:26" ht="14.25" customHeight="1" x14ac:dyDescent="0.25">
      <c r="A931" s="365"/>
      <c r="B931" s="365"/>
      <c r="C931" s="365"/>
      <c r="D931" s="365"/>
      <c r="E931" s="365"/>
      <c r="F931" s="365"/>
      <c r="G931" s="365"/>
      <c r="H931" s="365"/>
      <c r="I931" s="365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5"/>
      <c r="V931" s="365"/>
      <c r="W931" s="365"/>
      <c r="X931" s="365"/>
      <c r="Y931" s="365"/>
      <c r="Z931" s="365"/>
    </row>
    <row r="932" spans="1:26" ht="14.25" customHeight="1" x14ac:dyDescent="0.25">
      <c r="A932" s="365"/>
      <c r="B932" s="365"/>
      <c r="C932" s="365"/>
      <c r="D932" s="365"/>
      <c r="E932" s="365"/>
      <c r="F932" s="365"/>
      <c r="G932" s="365"/>
      <c r="H932" s="365"/>
      <c r="I932" s="365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5"/>
      <c r="V932" s="365"/>
      <c r="W932" s="365"/>
      <c r="X932" s="365"/>
      <c r="Y932" s="365"/>
      <c r="Z932" s="365"/>
    </row>
    <row r="933" spans="1:26" ht="14.25" customHeight="1" x14ac:dyDescent="0.25">
      <c r="A933" s="365"/>
      <c r="B933" s="365"/>
      <c r="C933" s="365"/>
      <c r="D933" s="365"/>
      <c r="E933" s="365"/>
      <c r="F933" s="365"/>
      <c r="G933" s="365"/>
      <c r="H933" s="365"/>
      <c r="I933" s="365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5"/>
      <c r="V933" s="365"/>
      <c r="W933" s="365"/>
      <c r="X933" s="365"/>
      <c r="Y933" s="365"/>
      <c r="Z933" s="365"/>
    </row>
    <row r="934" spans="1:26" ht="14.25" customHeight="1" x14ac:dyDescent="0.25">
      <c r="A934" s="365"/>
      <c r="B934" s="365"/>
      <c r="C934" s="365"/>
      <c r="D934" s="365"/>
      <c r="E934" s="365"/>
      <c r="F934" s="365"/>
      <c r="G934" s="365"/>
      <c r="H934" s="365"/>
      <c r="I934" s="365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5"/>
      <c r="V934" s="365"/>
      <c r="W934" s="365"/>
      <c r="X934" s="365"/>
      <c r="Y934" s="365"/>
      <c r="Z934" s="365"/>
    </row>
    <row r="935" spans="1:26" ht="14.25" customHeight="1" x14ac:dyDescent="0.25">
      <c r="A935" s="365"/>
      <c r="B935" s="365"/>
      <c r="C935" s="365"/>
      <c r="D935" s="365"/>
      <c r="E935" s="365"/>
      <c r="F935" s="365"/>
      <c r="G935" s="365"/>
      <c r="H935" s="365"/>
      <c r="I935" s="365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5"/>
      <c r="V935" s="365"/>
      <c r="W935" s="365"/>
      <c r="X935" s="365"/>
      <c r="Y935" s="365"/>
      <c r="Z935" s="365"/>
    </row>
    <row r="936" spans="1:26" ht="14.25" customHeight="1" x14ac:dyDescent="0.25">
      <c r="A936" s="365"/>
      <c r="B936" s="365"/>
      <c r="C936" s="365"/>
      <c r="D936" s="365"/>
      <c r="E936" s="365"/>
      <c r="F936" s="365"/>
      <c r="G936" s="365"/>
      <c r="H936" s="365"/>
      <c r="I936" s="365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5"/>
      <c r="V936" s="365"/>
      <c r="W936" s="365"/>
      <c r="X936" s="365"/>
      <c r="Y936" s="365"/>
      <c r="Z936" s="365"/>
    </row>
    <row r="937" spans="1:26" ht="14.25" customHeight="1" x14ac:dyDescent="0.25">
      <c r="A937" s="365"/>
      <c r="B937" s="365"/>
      <c r="C937" s="365"/>
      <c r="D937" s="365"/>
      <c r="E937" s="365"/>
      <c r="F937" s="365"/>
      <c r="G937" s="365"/>
      <c r="H937" s="365"/>
      <c r="I937" s="365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5"/>
      <c r="V937" s="365"/>
      <c r="W937" s="365"/>
      <c r="X937" s="365"/>
      <c r="Y937" s="365"/>
      <c r="Z937" s="365"/>
    </row>
    <row r="938" spans="1:26" ht="14.25" customHeight="1" x14ac:dyDescent="0.25">
      <c r="A938" s="365"/>
      <c r="B938" s="365"/>
      <c r="C938" s="365"/>
      <c r="D938" s="365"/>
      <c r="E938" s="365"/>
      <c r="F938" s="365"/>
      <c r="G938" s="365"/>
      <c r="H938" s="365"/>
      <c r="I938" s="365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5"/>
      <c r="V938" s="365"/>
      <c r="W938" s="365"/>
      <c r="X938" s="365"/>
      <c r="Y938" s="365"/>
      <c r="Z938" s="365"/>
    </row>
    <row r="939" spans="1:26" ht="14.25" customHeight="1" x14ac:dyDescent="0.25">
      <c r="A939" s="365"/>
      <c r="B939" s="365"/>
      <c r="C939" s="365"/>
      <c r="D939" s="365"/>
      <c r="E939" s="365"/>
      <c r="F939" s="365"/>
      <c r="G939" s="365"/>
      <c r="H939" s="365"/>
      <c r="I939" s="365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5"/>
      <c r="V939" s="365"/>
      <c r="W939" s="365"/>
      <c r="X939" s="365"/>
      <c r="Y939" s="365"/>
      <c r="Z939" s="365"/>
    </row>
    <row r="940" spans="1:26" ht="14.25" customHeight="1" x14ac:dyDescent="0.25">
      <c r="A940" s="365"/>
      <c r="B940" s="365"/>
      <c r="C940" s="365"/>
      <c r="D940" s="365"/>
      <c r="E940" s="365"/>
      <c r="F940" s="365"/>
      <c r="G940" s="365"/>
      <c r="H940" s="365"/>
      <c r="I940" s="365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5"/>
      <c r="V940" s="365"/>
      <c r="W940" s="365"/>
      <c r="X940" s="365"/>
      <c r="Y940" s="365"/>
      <c r="Z940" s="365"/>
    </row>
    <row r="941" spans="1:26" ht="14.25" customHeight="1" x14ac:dyDescent="0.25">
      <c r="A941" s="365"/>
      <c r="B941" s="365"/>
      <c r="C941" s="365"/>
      <c r="D941" s="365"/>
      <c r="E941" s="365"/>
      <c r="F941" s="365"/>
      <c r="G941" s="365"/>
      <c r="H941" s="365"/>
      <c r="I941" s="365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5"/>
      <c r="V941" s="365"/>
      <c r="W941" s="365"/>
      <c r="X941" s="365"/>
      <c r="Y941" s="365"/>
      <c r="Z941" s="365"/>
    </row>
    <row r="942" spans="1:26" ht="14.25" customHeight="1" x14ac:dyDescent="0.25">
      <c r="A942" s="365"/>
      <c r="B942" s="365"/>
      <c r="C942" s="365"/>
      <c r="D942" s="365"/>
      <c r="E942" s="365"/>
      <c r="F942" s="365"/>
      <c r="G942" s="365"/>
      <c r="H942" s="365"/>
      <c r="I942" s="365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5"/>
      <c r="V942" s="365"/>
      <c r="W942" s="365"/>
      <c r="X942" s="365"/>
      <c r="Y942" s="365"/>
      <c r="Z942" s="365"/>
    </row>
    <row r="943" spans="1:26" ht="14.25" customHeight="1" x14ac:dyDescent="0.25">
      <c r="A943" s="365"/>
      <c r="B943" s="365"/>
      <c r="C943" s="365"/>
      <c r="D943" s="365"/>
      <c r="E943" s="365"/>
      <c r="F943" s="365"/>
      <c r="G943" s="365"/>
      <c r="H943" s="365"/>
      <c r="I943" s="365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5"/>
      <c r="V943" s="365"/>
      <c r="W943" s="365"/>
      <c r="X943" s="365"/>
      <c r="Y943" s="365"/>
      <c r="Z943" s="365"/>
    </row>
    <row r="944" spans="1:26" ht="14.25" customHeight="1" x14ac:dyDescent="0.25">
      <c r="A944" s="365"/>
      <c r="B944" s="365"/>
      <c r="C944" s="365"/>
      <c r="D944" s="365"/>
      <c r="E944" s="365"/>
      <c r="F944" s="365"/>
      <c r="G944" s="365"/>
      <c r="H944" s="365"/>
      <c r="I944" s="365"/>
      <c r="J944" s="365"/>
      <c r="K944" s="365"/>
      <c r="L944" s="365"/>
      <c r="M944" s="365"/>
      <c r="N944" s="365"/>
      <c r="O944" s="365"/>
      <c r="P944" s="365"/>
      <c r="Q944" s="365"/>
      <c r="R944" s="365"/>
      <c r="S944" s="365"/>
      <c r="T944" s="365"/>
      <c r="U944" s="365"/>
      <c r="V944" s="365"/>
      <c r="W944" s="365"/>
      <c r="X944" s="365"/>
      <c r="Y944" s="365"/>
      <c r="Z944" s="365"/>
    </row>
    <row r="945" spans="1:26" ht="14.25" customHeight="1" x14ac:dyDescent="0.25">
      <c r="A945" s="365"/>
      <c r="B945" s="365"/>
      <c r="C945" s="365"/>
      <c r="D945" s="365"/>
      <c r="E945" s="365"/>
      <c r="F945" s="365"/>
      <c r="G945" s="365"/>
      <c r="H945" s="365"/>
      <c r="I945" s="365"/>
      <c r="J945" s="365"/>
      <c r="K945" s="365"/>
      <c r="L945" s="365"/>
      <c r="M945" s="365"/>
      <c r="N945" s="365"/>
      <c r="O945" s="365"/>
      <c r="P945" s="365"/>
      <c r="Q945" s="365"/>
      <c r="R945" s="365"/>
      <c r="S945" s="365"/>
      <c r="T945" s="365"/>
      <c r="U945" s="365"/>
      <c r="V945" s="365"/>
      <c r="W945" s="365"/>
      <c r="X945" s="365"/>
      <c r="Y945" s="365"/>
      <c r="Z945" s="365"/>
    </row>
    <row r="946" spans="1:26" ht="14.25" customHeight="1" x14ac:dyDescent="0.25">
      <c r="A946" s="365"/>
      <c r="B946" s="365"/>
      <c r="C946" s="365"/>
      <c r="D946" s="365"/>
      <c r="E946" s="365"/>
      <c r="F946" s="365"/>
      <c r="G946" s="365"/>
      <c r="H946" s="365"/>
      <c r="I946" s="365"/>
      <c r="J946" s="365"/>
      <c r="K946" s="365"/>
      <c r="L946" s="365"/>
      <c r="M946" s="365"/>
      <c r="N946" s="365"/>
      <c r="O946" s="365"/>
      <c r="P946" s="365"/>
      <c r="Q946" s="365"/>
      <c r="R946" s="365"/>
      <c r="S946" s="365"/>
      <c r="T946" s="365"/>
      <c r="U946" s="365"/>
      <c r="V946" s="365"/>
      <c r="W946" s="365"/>
      <c r="X946" s="365"/>
      <c r="Y946" s="365"/>
      <c r="Z946" s="365"/>
    </row>
    <row r="947" spans="1:26" ht="14.25" customHeight="1" x14ac:dyDescent="0.25">
      <c r="A947" s="365"/>
      <c r="B947" s="365"/>
      <c r="C947" s="365"/>
      <c r="D947" s="365"/>
      <c r="E947" s="365"/>
      <c r="F947" s="365"/>
      <c r="G947" s="365"/>
      <c r="H947" s="365"/>
      <c r="I947" s="365"/>
      <c r="J947" s="365"/>
      <c r="K947" s="365"/>
      <c r="L947" s="365"/>
      <c r="M947" s="365"/>
      <c r="N947" s="365"/>
      <c r="O947" s="365"/>
      <c r="P947" s="365"/>
      <c r="Q947" s="365"/>
      <c r="R947" s="365"/>
      <c r="S947" s="365"/>
      <c r="T947" s="365"/>
      <c r="U947" s="365"/>
      <c r="V947" s="365"/>
      <c r="W947" s="365"/>
      <c r="X947" s="365"/>
      <c r="Y947" s="365"/>
      <c r="Z947" s="365"/>
    </row>
    <row r="948" spans="1:26" ht="14.25" customHeight="1" x14ac:dyDescent="0.25">
      <c r="A948" s="365"/>
      <c r="B948" s="365"/>
      <c r="C948" s="365"/>
      <c r="D948" s="365"/>
      <c r="E948" s="365"/>
      <c r="F948" s="365"/>
      <c r="G948" s="365"/>
      <c r="H948" s="365"/>
      <c r="I948" s="365"/>
      <c r="J948" s="365"/>
      <c r="K948" s="365"/>
      <c r="L948" s="365"/>
      <c r="M948" s="365"/>
      <c r="N948" s="365"/>
      <c r="O948" s="365"/>
      <c r="P948" s="365"/>
      <c r="Q948" s="365"/>
      <c r="R948" s="365"/>
      <c r="S948" s="365"/>
      <c r="T948" s="365"/>
      <c r="U948" s="365"/>
      <c r="V948" s="365"/>
      <c r="W948" s="365"/>
      <c r="X948" s="365"/>
      <c r="Y948" s="365"/>
      <c r="Z948" s="365"/>
    </row>
    <row r="949" spans="1:26" ht="14.25" customHeight="1" x14ac:dyDescent="0.25">
      <c r="A949" s="365"/>
      <c r="B949" s="365"/>
      <c r="C949" s="365"/>
      <c r="D949" s="365"/>
      <c r="E949" s="365"/>
      <c r="F949" s="365"/>
      <c r="G949" s="365"/>
      <c r="H949" s="365"/>
      <c r="I949" s="365"/>
      <c r="J949" s="365"/>
      <c r="K949" s="365"/>
      <c r="L949" s="365"/>
      <c r="M949" s="365"/>
      <c r="N949" s="365"/>
      <c r="O949" s="365"/>
      <c r="P949" s="365"/>
      <c r="Q949" s="365"/>
      <c r="R949" s="365"/>
      <c r="S949" s="365"/>
      <c r="T949" s="365"/>
      <c r="U949" s="365"/>
      <c r="V949" s="365"/>
      <c r="W949" s="365"/>
      <c r="X949" s="365"/>
      <c r="Y949" s="365"/>
      <c r="Z949" s="365"/>
    </row>
    <row r="950" spans="1:26" ht="14.25" customHeight="1" x14ac:dyDescent="0.25">
      <c r="A950" s="365"/>
      <c r="B950" s="365"/>
      <c r="C950" s="365"/>
      <c r="D950" s="365"/>
      <c r="E950" s="365"/>
      <c r="F950" s="365"/>
      <c r="G950" s="365"/>
      <c r="H950" s="365"/>
      <c r="I950" s="365"/>
      <c r="J950" s="365"/>
      <c r="K950" s="365"/>
      <c r="L950" s="365"/>
      <c r="M950" s="365"/>
      <c r="N950" s="365"/>
      <c r="O950" s="365"/>
      <c r="P950" s="365"/>
      <c r="Q950" s="365"/>
      <c r="R950" s="365"/>
      <c r="S950" s="365"/>
      <c r="T950" s="365"/>
      <c r="U950" s="365"/>
      <c r="V950" s="365"/>
      <c r="W950" s="365"/>
      <c r="X950" s="365"/>
      <c r="Y950" s="365"/>
      <c r="Z950" s="365"/>
    </row>
    <row r="951" spans="1:26" ht="14.25" customHeight="1" x14ac:dyDescent="0.25">
      <c r="A951" s="365"/>
      <c r="B951" s="365"/>
      <c r="C951" s="365"/>
      <c r="D951" s="365"/>
      <c r="E951" s="365"/>
      <c r="F951" s="365"/>
      <c r="G951" s="365"/>
      <c r="H951" s="365"/>
      <c r="I951" s="365"/>
      <c r="J951" s="365"/>
      <c r="K951" s="365"/>
      <c r="L951" s="365"/>
      <c r="M951" s="365"/>
      <c r="N951" s="365"/>
      <c r="O951" s="365"/>
      <c r="P951" s="365"/>
      <c r="Q951" s="365"/>
      <c r="R951" s="365"/>
      <c r="S951" s="365"/>
      <c r="T951" s="365"/>
      <c r="U951" s="365"/>
      <c r="V951" s="365"/>
      <c r="W951" s="365"/>
      <c r="X951" s="365"/>
      <c r="Y951" s="365"/>
      <c r="Z951" s="365"/>
    </row>
    <row r="952" spans="1:26" ht="14.25" customHeight="1" x14ac:dyDescent="0.25">
      <c r="A952" s="365"/>
      <c r="B952" s="365"/>
      <c r="C952" s="365"/>
      <c r="D952" s="365"/>
      <c r="E952" s="365"/>
      <c r="F952" s="365"/>
      <c r="G952" s="365"/>
      <c r="H952" s="365"/>
      <c r="I952" s="365"/>
      <c r="J952" s="365"/>
      <c r="K952" s="365"/>
      <c r="L952" s="365"/>
      <c r="M952" s="365"/>
      <c r="N952" s="365"/>
      <c r="O952" s="365"/>
      <c r="P952" s="365"/>
      <c r="Q952" s="365"/>
      <c r="R952" s="365"/>
      <c r="S952" s="365"/>
      <c r="T952" s="365"/>
      <c r="U952" s="365"/>
      <c r="V952" s="365"/>
      <c r="W952" s="365"/>
      <c r="X952" s="365"/>
      <c r="Y952" s="365"/>
      <c r="Z952" s="365"/>
    </row>
    <row r="953" spans="1:26" ht="14.25" customHeight="1" x14ac:dyDescent="0.25">
      <c r="A953" s="365"/>
      <c r="B953" s="365"/>
      <c r="C953" s="365"/>
      <c r="D953" s="365"/>
      <c r="E953" s="365"/>
      <c r="F953" s="365"/>
      <c r="G953" s="365"/>
      <c r="H953" s="365"/>
      <c r="I953" s="365"/>
      <c r="J953" s="365"/>
      <c r="K953" s="365"/>
      <c r="L953" s="365"/>
      <c r="M953" s="365"/>
      <c r="N953" s="365"/>
      <c r="O953" s="365"/>
      <c r="P953" s="365"/>
      <c r="Q953" s="365"/>
      <c r="R953" s="365"/>
      <c r="S953" s="365"/>
      <c r="T953" s="365"/>
      <c r="U953" s="365"/>
      <c r="V953" s="365"/>
      <c r="W953" s="365"/>
      <c r="X953" s="365"/>
      <c r="Y953" s="365"/>
      <c r="Z953" s="365"/>
    </row>
    <row r="954" spans="1:26" ht="14.25" customHeight="1" x14ac:dyDescent="0.25">
      <c r="A954" s="365"/>
      <c r="B954" s="365"/>
      <c r="C954" s="365"/>
      <c r="D954" s="365"/>
      <c r="E954" s="365"/>
      <c r="F954" s="365"/>
      <c r="G954" s="365"/>
      <c r="H954" s="365"/>
      <c r="I954" s="365"/>
      <c r="J954" s="365"/>
      <c r="K954" s="365"/>
      <c r="L954" s="365"/>
      <c r="M954" s="365"/>
      <c r="N954" s="365"/>
      <c r="O954" s="365"/>
      <c r="P954" s="365"/>
      <c r="Q954" s="365"/>
      <c r="R954" s="365"/>
      <c r="S954" s="365"/>
      <c r="T954" s="365"/>
      <c r="U954" s="365"/>
      <c r="V954" s="365"/>
      <c r="W954" s="365"/>
      <c r="X954" s="365"/>
      <c r="Y954" s="365"/>
      <c r="Z954" s="365"/>
    </row>
    <row r="955" spans="1:26" ht="14.25" customHeight="1" x14ac:dyDescent="0.25">
      <c r="A955" s="365"/>
      <c r="B955" s="365"/>
      <c r="C955" s="365"/>
      <c r="D955" s="365"/>
      <c r="E955" s="365"/>
      <c r="F955" s="365"/>
      <c r="G955" s="365"/>
      <c r="H955" s="365"/>
      <c r="I955" s="365"/>
      <c r="J955" s="365"/>
      <c r="K955" s="365"/>
      <c r="L955" s="365"/>
      <c r="M955" s="365"/>
      <c r="N955" s="365"/>
      <c r="O955" s="365"/>
      <c r="P955" s="365"/>
      <c r="Q955" s="365"/>
      <c r="R955" s="365"/>
      <c r="S955" s="365"/>
      <c r="T955" s="365"/>
      <c r="U955" s="365"/>
      <c r="V955" s="365"/>
      <c r="W955" s="365"/>
      <c r="X955" s="365"/>
      <c r="Y955" s="365"/>
      <c r="Z955" s="365"/>
    </row>
    <row r="956" spans="1:26" ht="14.25" customHeight="1" x14ac:dyDescent="0.25">
      <c r="A956" s="365"/>
      <c r="B956" s="365"/>
      <c r="C956" s="365"/>
      <c r="D956" s="365"/>
      <c r="E956" s="365"/>
      <c r="F956" s="365"/>
      <c r="G956" s="365"/>
      <c r="H956" s="365"/>
      <c r="I956" s="365"/>
      <c r="J956" s="365"/>
      <c r="K956" s="365"/>
      <c r="L956" s="365"/>
      <c r="M956" s="365"/>
      <c r="N956" s="365"/>
      <c r="O956" s="365"/>
      <c r="P956" s="365"/>
      <c r="Q956" s="365"/>
      <c r="R956" s="365"/>
      <c r="S956" s="365"/>
      <c r="T956" s="365"/>
      <c r="U956" s="365"/>
      <c r="V956" s="365"/>
      <c r="W956" s="365"/>
      <c r="X956" s="365"/>
      <c r="Y956" s="365"/>
      <c r="Z956" s="365"/>
    </row>
    <row r="957" spans="1:26" ht="14.25" customHeight="1" x14ac:dyDescent="0.25">
      <c r="A957" s="365"/>
      <c r="B957" s="365"/>
      <c r="C957" s="365"/>
      <c r="D957" s="365"/>
      <c r="E957" s="365"/>
      <c r="F957" s="365"/>
      <c r="G957" s="365"/>
      <c r="H957" s="365"/>
      <c r="I957" s="365"/>
      <c r="J957" s="365"/>
      <c r="K957" s="365"/>
      <c r="L957" s="365"/>
      <c r="M957" s="365"/>
      <c r="N957" s="365"/>
      <c r="O957" s="365"/>
      <c r="P957" s="365"/>
      <c r="Q957" s="365"/>
      <c r="R957" s="365"/>
      <c r="S957" s="365"/>
      <c r="T957" s="365"/>
      <c r="U957" s="365"/>
      <c r="V957" s="365"/>
      <c r="W957" s="365"/>
      <c r="X957" s="365"/>
      <c r="Y957" s="365"/>
      <c r="Z957" s="365"/>
    </row>
    <row r="958" spans="1:26" ht="14.25" customHeight="1" x14ac:dyDescent="0.25">
      <c r="A958" s="365"/>
      <c r="B958" s="365"/>
      <c r="C958" s="365"/>
      <c r="D958" s="365"/>
      <c r="E958" s="365"/>
      <c r="F958" s="365"/>
      <c r="G958" s="365"/>
      <c r="H958" s="365"/>
      <c r="I958" s="365"/>
      <c r="J958" s="365"/>
      <c r="K958" s="365"/>
      <c r="L958" s="365"/>
      <c r="M958" s="365"/>
      <c r="N958" s="365"/>
      <c r="O958" s="365"/>
      <c r="P958" s="365"/>
      <c r="Q958" s="365"/>
      <c r="R958" s="365"/>
      <c r="S958" s="365"/>
      <c r="T958" s="365"/>
      <c r="U958" s="365"/>
      <c r="V958" s="365"/>
      <c r="W958" s="365"/>
      <c r="X958" s="365"/>
      <c r="Y958" s="365"/>
      <c r="Z958" s="365"/>
    </row>
    <row r="959" spans="1:26" ht="14.25" customHeight="1" x14ac:dyDescent="0.25">
      <c r="A959" s="365"/>
      <c r="B959" s="365"/>
      <c r="C959" s="365"/>
      <c r="D959" s="365"/>
      <c r="E959" s="365"/>
      <c r="F959" s="365"/>
      <c r="G959" s="365"/>
      <c r="H959" s="365"/>
      <c r="I959" s="365"/>
      <c r="J959" s="365"/>
      <c r="K959" s="365"/>
      <c r="L959" s="365"/>
      <c r="M959" s="365"/>
      <c r="N959" s="365"/>
      <c r="O959" s="365"/>
      <c r="P959" s="365"/>
      <c r="Q959" s="365"/>
      <c r="R959" s="365"/>
      <c r="S959" s="365"/>
      <c r="T959" s="365"/>
      <c r="U959" s="365"/>
      <c r="V959" s="365"/>
      <c r="W959" s="365"/>
      <c r="X959" s="365"/>
      <c r="Y959" s="365"/>
      <c r="Z959" s="365"/>
    </row>
    <row r="960" spans="1:26" ht="14.25" customHeight="1" x14ac:dyDescent="0.25">
      <c r="A960" s="365"/>
      <c r="B960" s="365"/>
      <c r="C960" s="365"/>
      <c r="D960" s="365"/>
      <c r="E960" s="365"/>
      <c r="F960" s="365"/>
      <c r="G960" s="365"/>
      <c r="H960" s="365"/>
      <c r="I960" s="365"/>
      <c r="J960" s="365"/>
      <c r="K960" s="365"/>
      <c r="L960" s="365"/>
      <c r="M960" s="365"/>
      <c r="N960" s="365"/>
      <c r="O960" s="365"/>
      <c r="P960" s="365"/>
      <c r="Q960" s="365"/>
      <c r="R960" s="365"/>
      <c r="S960" s="365"/>
      <c r="T960" s="365"/>
      <c r="U960" s="365"/>
      <c r="V960" s="365"/>
      <c r="W960" s="365"/>
      <c r="X960" s="365"/>
      <c r="Y960" s="365"/>
      <c r="Z960" s="365"/>
    </row>
    <row r="961" spans="1:26" ht="14.25" customHeight="1" x14ac:dyDescent="0.25">
      <c r="A961" s="365"/>
      <c r="B961" s="365"/>
      <c r="C961" s="365"/>
      <c r="D961" s="365"/>
      <c r="E961" s="365"/>
      <c r="F961" s="365"/>
      <c r="G961" s="365"/>
      <c r="H961" s="365"/>
      <c r="I961" s="365"/>
      <c r="J961" s="365"/>
      <c r="K961" s="365"/>
      <c r="L961" s="365"/>
      <c r="M961" s="365"/>
      <c r="N961" s="365"/>
      <c r="O961" s="365"/>
      <c r="P961" s="365"/>
      <c r="Q961" s="365"/>
      <c r="R961" s="365"/>
      <c r="S961" s="365"/>
      <c r="T961" s="365"/>
      <c r="U961" s="365"/>
      <c r="V961" s="365"/>
      <c r="W961" s="365"/>
      <c r="X961" s="365"/>
      <c r="Y961" s="365"/>
      <c r="Z961" s="365"/>
    </row>
    <row r="962" spans="1:26" ht="14.25" customHeight="1" x14ac:dyDescent="0.25">
      <c r="A962" s="365"/>
      <c r="B962" s="365"/>
      <c r="C962" s="365"/>
      <c r="D962" s="365"/>
      <c r="E962" s="365"/>
      <c r="F962" s="365"/>
      <c r="G962" s="365"/>
      <c r="H962" s="365"/>
      <c r="I962" s="365"/>
      <c r="J962" s="365"/>
      <c r="K962" s="365"/>
      <c r="L962" s="365"/>
      <c r="M962" s="365"/>
      <c r="N962" s="365"/>
      <c r="O962" s="365"/>
      <c r="P962" s="365"/>
      <c r="Q962" s="365"/>
      <c r="R962" s="365"/>
      <c r="S962" s="365"/>
      <c r="T962" s="365"/>
      <c r="U962" s="365"/>
      <c r="V962" s="365"/>
      <c r="W962" s="365"/>
      <c r="X962" s="365"/>
      <c r="Y962" s="365"/>
      <c r="Z962" s="365"/>
    </row>
    <row r="963" spans="1:26" ht="14.25" customHeight="1" x14ac:dyDescent="0.25">
      <c r="A963" s="365"/>
      <c r="B963" s="365"/>
      <c r="C963" s="365"/>
      <c r="D963" s="365"/>
      <c r="E963" s="365"/>
      <c r="F963" s="365"/>
      <c r="G963" s="365"/>
      <c r="H963" s="365"/>
      <c r="I963" s="365"/>
      <c r="J963" s="365"/>
      <c r="K963" s="365"/>
      <c r="L963" s="365"/>
      <c r="M963" s="365"/>
      <c r="N963" s="365"/>
      <c r="O963" s="365"/>
      <c r="P963" s="365"/>
      <c r="Q963" s="365"/>
      <c r="R963" s="365"/>
      <c r="S963" s="365"/>
      <c r="T963" s="365"/>
      <c r="U963" s="365"/>
      <c r="V963" s="365"/>
      <c r="W963" s="365"/>
      <c r="X963" s="365"/>
      <c r="Y963" s="365"/>
      <c r="Z963" s="365"/>
    </row>
    <row r="964" spans="1:26" ht="14.25" customHeight="1" x14ac:dyDescent="0.25">
      <c r="A964" s="365"/>
      <c r="B964" s="365"/>
      <c r="C964" s="365"/>
      <c r="D964" s="365"/>
      <c r="E964" s="365"/>
      <c r="F964" s="365"/>
      <c r="G964" s="365"/>
      <c r="H964" s="365"/>
      <c r="I964" s="365"/>
      <c r="J964" s="365"/>
      <c r="K964" s="365"/>
      <c r="L964" s="365"/>
      <c r="M964" s="365"/>
      <c r="N964" s="365"/>
      <c r="O964" s="365"/>
      <c r="P964" s="365"/>
      <c r="Q964" s="365"/>
      <c r="R964" s="365"/>
      <c r="S964" s="365"/>
      <c r="T964" s="365"/>
      <c r="U964" s="365"/>
      <c r="V964" s="365"/>
      <c r="W964" s="365"/>
      <c r="X964" s="365"/>
      <c r="Y964" s="365"/>
      <c r="Z964" s="365"/>
    </row>
    <row r="965" spans="1:26" ht="14.25" customHeight="1" x14ac:dyDescent="0.25">
      <c r="A965" s="365"/>
      <c r="B965" s="365"/>
      <c r="C965" s="365"/>
      <c r="D965" s="365"/>
      <c r="E965" s="365"/>
      <c r="F965" s="365"/>
      <c r="G965" s="365"/>
      <c r="H965" s="365"/>
      <c r="I965" s="365"/>
      <c r="J965" s="365"/>
      <c r="K965" s="365"/>
      <c r="L965" s="365"/>
      <c r="M965" s="365"/>
      <c r="N965" s="365"/>
      <c r="O965" s="365"/>
      <c r="P965" s="365"/>
      <c r="Q965" s="365"/>
      <c r="R965" s="365"/>
      <c r="S965" s="365"/>
      <c r="T965" s="365"/>
      <c r="U965" s="365"/>
      <c r="V965" s="365"/>
      <c r="W965" s="365"/>
      <c r="X965" s="365"/>
      <c r="Y965" s="365"/>
      <c r="Z965" s="365"/>
    </row>
    <row r="966" spans="1:26" ht="14.25" customHeight="1" x14ac:dyDescent="0.25">
      <c r="A966" s="365"/>
      <c r="B966" s="365"/>
      <c r="C966" s="365"/>
      <c r="D966" s="365"/>
      <c r="E966" s="365"/>
      <c r="F966" s="365"/>
      <c r="G966" s="365"/>
      <c r="H966" s="365"/>
      <c r="I966" s="365"/>
      <c r="J966" s="365"/>
      <c r="K966" s="365"/>
      <c r="L966" s="365"/>
      <c r="M966" s="365"/>
      <c r="N966" s="365"/>
      <c r="O966" s="365"/>
      <c r="P966" s="365"/>
      <c r="Q966" s="365"/>
      <c r="R966" s="365"/>
      <c r="S966" s="365"/>
      <c r="T966" s="365"/>
      <c r="U966" s="365"/>
      <c r="V966" s="365"/>
      <c r="W966" s="365"/>
      <c r="X966" s="365"/>
      <c r="Y966" s="365"/>
      <c r="Z966" s="365"/>
    </row>
    <row r="967" spans="1:26" ht="14.25" customHeight="1" x14ac:dyDescent="0.25">
      <c r="A967" s="365"/>
      <c r="B967" s="365"/>
      <c r="C967" s="365"/>
      <c r="D967" s="365"/>
      <c r="E967" s="365"/>
      <c r="F967" s="365"/>
      <c r="G967" s="365"/>
      <c r="H967" s="365"/>
      <c r="I967" s="365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  <c r="T967" s="365"/>
      <c r="U967" s="365"/>
      <c r="V967" s="365"/>
      <c r="W967" s="365"/>
      <c r="X967" s="365"/>
      <c r="Y967" s="365"/>
      <c r="Z967" s="365"/>
    </row>
    <row r="968" spans="1:26" ht="14.25" customHeight="1" x14ac:dyDescent="0.25">
      <c r="A968" s="365"/>
      <c r="B968" s="365"/>
      <c r="C968" s="365"/>
      <c r="D968" s="365"/>
      <c r="E968" s="365"/>
      <c r="F968" s="365"/>
      <c r="G968" s="365"/>
      <c r="H968" s="365"/>
      <c r="I968" s="365"/>
      <c r="J968" s="365"/>
      <c r="K968" s="365"/>
      <c r="L968" s="365"/>
      <c r="M968" s="365"/>
      <c r="N968" s="365"/>
      <c r="O968" s="365"/>
      <c r="P968" s="365"/>
      <c r="Q968" s="365"/>
      <c r="R968" s="365"/>
      <c r="S968" s="365"/>
      <c r="T968" s="365"/>
      <c r="U968" s="365"/>
      <c r="V968" s="365"/>
      <c r="W968" s="365"/>
      <c r="X968" s="365"/>
      <c r="Y968" s="365"/>
      <c r="Z968" s="365"/>
    </row>
    <row r="969" spans="1:26" ht="14.25" customHeight="1" x14ac:dyDescent="0.25">
      <c r="A969" s="365"/>
      <c r="B969" s="365"/>
      <c r="C969" s="365"/>
      <c r="D969" s="365"/>
      <c r="E969" s="365"/>
      <c r="F969" s="365"/>
      <c r="G969" s="365"/>
      <c r="H969" s="365"/>
      <c r="I969" s="365"/>
      <c r="J969" s="365"/>
      <c r="K969" s="365"/>
      <c r="L969" s="365"/>
      <c r="M969" s="365"/>
      <c r="N969" s="365"/>
      <c r="O969" s="365"/>
      <c r="P969" s="365"/>
      <c r="Q969" s="365"/>
      <c r="R969" s="365"/>
      <c r="S969" s="365"/>
      <c r="T969" s="365"/>
      <c r="U969" s="365"/>
      <c r="V969" s="365"/>
      <c r="W969" s="365"/>
      <c r="X969" s="365"/>
      <c r="Y969" s="365"/>
      <c r="Z969" s="365"/>
    </row>
    <row r="970" spans="1:26" ht="14.25" customHeight="1" x14ac:dyDescent="0.25">
      <c r="A970" s="365"/>
      <c r="B970" s="365"/>
      <c r="C970" s="365"/>
      <c r="D970" s="365"/>
      <c r="E970" s="365"/>
      <c r="F970" s="365"/>
      <c r="G970" s="365"/>
      <c r="H970" s="365"/>
      <c r="I970" s="365"/>
      <c r="J970" s="365"/>
      <c r="K970" s="365"/>
      <c r="L970" s="365"/>
      <c r="M970" s="365"/>
      <c r="N970" s="365"/>
      <c r="O970" s="365"/>
      <c r="P970" s="365"/>
      <c r="Q970" s="365"/>
      <c r="R970" s="365"/>
      <c r="S970" s="365"/>
      <c r="T970" s="365"/>
      <c r="U970" s="365"/>
      <c r="V970" s="365"/>
      <c r="W970" s="365"/>
      <c r="X970" s="365"/>
      <c r="Y970" s="365"/>
      <c r="Z970" s="365"/>
    </row>
    <row r="971" spans="1:26" ht="14.25" customHeight="1" x14ac:dyDescent="0.25">
      <c r="A971" s="365"/>
      <c r="B971" s="365"/>
      <c r="C971" s="365"/>
      <c r="D971" s="365"/>
      <c r="E971" s="365"/>
      <c r="F971" s="365"/>
      <c r="G971" s="365"/>
      <c r="H971" s="365"/>
      <c r="I971" s="365"/>
      <c r="J971" s="365"/>
      <c r="K971" s="365"/>
      <c r="L971" s="365"/>
      <c r="M971" s="365"/>
      <c r="N971" s="365"/>
      <c r="O971" s="365"/>
      <c r="P971" s="365"/>
      <c r="Q971" s="365"/>
      <c r="R971" s="365"/>
      <c r="S971" s="365"/>
      <c r="T971" s="365"/>
      <c r="U971" s="365"/>
      <c r="V971" s="365"/>
      <c r="W971" s="365"/>
      <c r="X971" s="365"/>
      <c r="Y971" s="365"/>
      <c r="Z971" s="365"/>
    </row>
    <row r="972" spans="1:26" ht="14.25" customHeight="1" x14ac:dyDescent="0.25">
      <c r="A972" s="365"/>
      <c r="B972" s="365"/>
      <c r="C972" s="365"/>
      <c r="D972" s="365"/>
      <c r="E972" s="365"/>
      <c r="F972" s="365"/>
      <c r="G972" s="365"/>
      <c r="H972" s="365"/>
      <c r="I972" s="365"/>
      <c r="J972" s="365"/>
      <c r="K972" s="365"/>
      <c r="L972" s="365"/>
      <c r="M972" s="365"/>
      <c r="N972" s="365"/>
      <c r="O972" s="365"/>
      <c r="P972" s="365"/>
      <c r="Q972" s="365"/>
      <c r="R972" s="365"/>
      <c r="S972" s="365"/>
      <c r="T972" s="365"/>
      <c r="U972" s="365"/>
      <c r="V972" s="365"/>
      <c r="W972" s="365"/>
      <c r="X972" s="365"/>
      <c r="Y972" s="365"/>
      <c r="Z972" s="365"/>
    </row>
    <row r="973" spans="1:26" ht="14.25" customHeight="1" x14ac:dyDescent="0.25">
      <c r="A973" s="365"/>
      <c r="B973" s="365"/>
      <c r="C973" s="365"/>
      <c r="D973" s="365"/>
      <c r="E973" s="365"/>
      <c r="F973" s="365"/>
      <c r="G973" s="365"/>
      <c r="H973" s="365"/>
      <c r="I973" s="365"/>
      <c r="J973" s="365"/>
      <c r="K973" s="365"/>
      <c r="L973" s="365"/>
      <c r="M973" s="365"/>
      <c r="N973" s="365"/>
      <c r="O973" s="365"/>
      <c r="P973" s="365"/>
      <c r="Q973" s="365"/>
      <c r="R973" s="365"/>
      <c r="S973" s="365"/>
      <c r="T973" s="365"/>
      <c r="U973" s="365"/>
      <c r="V973" s="365"/>
      <c r="W973" s="365"/>
      <c r="X973" s="365"/>
      <c r="Y973" s="365"/>
      <c r="Z973" s="365"/>
    </row>
    <row r="974" spans="1:26" ht="14.25" customHeight="1" x14ac:dyDescent="0.25">
      <c r="A974" s="365"/>
      <c r="B974" s="365"/>
      <c r="C974" s="365"/>
      <c r="D974" s="365"/>
      <c r="E974" s="365"/>
      <c r="F974" s="365"/>
      <c r="G974" s="365"/>
      <c r="H974" s="365"/>
      <c r="I974" s="365"/>
      <c r="J974" s="365"/>
      <c r="K974" s="365"/>
      <c r="L974" s="365"/>
      <c r="M974" s="365"/>
      <c r="N974" s="365"/>
      <c r="O974" s="365"/>
      <c r="P974" s="365"/>
      <c r="Q974" s="365"/>
      <c r="R974" s="365"/>
      <c r="S974" s="365"/>
      <c r="T974" s="365"/>
      <c r="U974" s="365"/>
      <c r="V974" s="365"/>
      <c r="W974" s="365"/>
      <c r="X974" s="365"/>
      <c r="Y974" s="365"/>
      <c r="Z974" s="365"/>
    </row>
    <row r="975" spans="1:26" ht="14.25" customHeight="1" x14ac:dyDescent="0.25">
      <c r="A975" s="365"/>
      <c r="B975" s="365"/>
      <c r="C975" s="365"/>
      <c r="D975" s="365"/>
      <c r="E975" s="365"/>
      <c r="F975" s="365"/>
      <c r="G975" s="365"/>
      <c r="H975" s="365"/>
      <c r="I975" s="365"/>
      <c r="J975" s="365"/>
      <c r="K975" s="365"/>
      <c r="L975" s="365"/>
      <c r="M975" s="365"/>
      <c r="N975" s="365"/>
      <c r="O975" s="365"/>
      <c r="P975" s="365"/>
      <c r="Q975" s="365"/>
      <c r="R975" s="365"/>
      <c r="S975" s="365"/>
      <c r="T975" s="365"/>
      <c r="U975" s="365"/>
      <c r="V975" s="365"/>
      <c r="W975" s="365"/>
      <c r="X975" s="365"/>
      <c r="Y975" s="365"/>
      <c r="Z975" s="365"/>
    </row>
    <row r="976" spans="1:26" ht="14.25" customHeight="1" x14ac:dyDescent="0.25">
      <c r="A976" s="365"/>
      <c r="B976" s="365"/>
      <c r="C976" s="365"/>
      <c r="D976" s="365"/>
      <c r="E976" s="365"/>
      <c r="F976" s="365"/>
      <c r="G976" s="365"/>
      <c r="H976" s="365"/>
      <c r="I976" s="365"/>
      <c r="J976" s="365"/>
      <c r="K976" s="365"/>
      <c r="L976" s="365"/>
      <c r="M976" s="365"/>
      <c r="N976" s="365"/>
      <c r="O976" s="365"/>
      <c r="P976" s="365"/>
      <c r="Q976" s="365"/>
      <c r="R976" s="365"/>
      <c r="S976" s="365"/>
      <c r="T976" s="365"/>
      <c r="U976" s="365"/>
      <c r="V976" s="365"/>
      <c r="W976" s="365"/>
      <c r="X976" s="365"/>
      <c r="Y976" s="365"/>
      <c r="Z976" s="365"/>
    </row>
    <row r="977" spans="1:26" ht="14.25" customHeight="1" x14ac:dyDescent="0.25">
      <c r="A977" s="365"/>
      <c r="B977" s="365"/>
      <c r="C977" s="365"/>
      <c r="D977" s="365"/>
      <c r="E977" s="365"/>
      <c r="F977" s="365"/>
      <c r="G977" s="365"/>
      <c r="H977" s="365"/>
      <c r="I977" s="365"/>
      <c r="J977" s="365"/>
      <c r="K977" s="365"/>
      <c r="L977" s="365"/>
      <c r="M977" s="365"/>
      <c r="N977" s="365"/>
      <c r="O977" s="365"/>
      <c r="P977" s="365"/>
      <c r="Q977" s="365"/>
      <c r="R977" s="365"/>
      <c r="S977" s="365"/>
      <c r="T977" s="365"/>
      <c r="U977" s="365"/>
      <c r="V977" s="365"/>
      <c r="W977" s="365"/>
      <c r="X977" s="365"/>
      <c r="Y977" s="365"/>
      <c r="Z977" s="365"/>
    </row>
    <row r="978" spans="1:26" ht="14.25" customHeight="1" x14ac:dyDescent="0.25">
      <c r="A978" s="365"/>
      <c r="B978" s="365"/>
      <c r="C978" s="365"/>
      <c r="D978" s="365"/>
      <c r="E978" s="365"/>
      <c r="F978" s="365"/>
      <c r="G978" s="365"/>
      <c r="H978" s="365"/>
      <c r="I978" s="365"/>
      <c r="J978" s="365"/>
      <c r="K978" s="365"/>
      <c r="L978" s="365"/>
      <c r="M978" s="365"/>
      <c r="N978" s="365"/>
      <c r="O978" s="365"/>
      <c r="P978" s="365"/>
      <c r="Q978" s="365"/>
      <c r="R978" s="365"/>
      <c r="S978" s="365"/>
      <c r="T978" s="365"/>
      <c r="U978" s="365"/>
      <c r="V978" s="365"/>
      <c r="W978" s="365"/>
      <c r="X978" s="365"/>
      <c r="Y978" s="365"/>
      <c r="Z978" s="365"/>
    </row>
    <row r="979" spans="1:26" ht="14.25" customHeight="1" x14ac:dyDescent="0.25">
      <c r="A979" s="365"/>
      <c r="B979" s="365"/>
      <c r="C979" s="365"/>
      <c r="D979" s="365"/>
      <c r="E979" s="365"/>
      <c r="F979" s="365"/>
      <c r="G979" s="365"/>
      <c r="H979" s="365"/>
      <c r="I979" s="365"/>
      <c r="J979" s="365"/>
      <c r="K979" s="365"/>
      <c r="L979" s="365"/>
      <c r="M979" s="365"/>
      <c r="N979" s="365"/>
      <c r="O979" s="365"/>
      <c r="P979" s="365"/>
      <c r="Q979" s="365"/>
      <c r="R979" s="365"/>
      <c r="S979" s="365"/>
      <c r="T979" s="365"/>
      <c r="U979" s="365"/>
      <c r="V979" s="365"/>
      <c r="W979" s="365"/>
      <c r="X979" s="365"/>
      <c r="Y979" s="365"/>
      <c r="Z979" s="365"/>
    </row>
    <row r="980" spans="1:26" ht="14.25" customHeight="1" x14ac:dyDescent="0.25">
      <c r="A980" s="365"/>
      <c r="B980" s="365"/>
      <c r="C980" s="365"/>
      <c r="D980" s="365"/>
      <c r="E980" s="365"/>
      <c r="F980" s="365"/>
      <c r="G980" s="365"/>
      <c r="H980" s="365"/>
      <c r="I980" s="365"/>
      <c r="J980" s="365"/>
      <c r="K980" s="365"/>
      <c r="L980" s="365"/>
      <c r="M980" s="365"/>
      <c r="N980" s="365"/>
      <c r="O980" s="365"/>
      <c r="P980" s="365"/>
      <c r="Q980" s="365"/>
      <c r="R980" s="365"/>
      <c r="S980" s="365"/>
      <c r="T980" s="365"/>
      <c r="U980" s="365"/>
      <c r="V980" s="365"/>
      <c r="W980" s="365"/>
      <c r="X980" s="365"/>
      <c r="Y980" s="365"/>
      <c r="Z980" s="365"/>
    </row>
    <row r="981" spans="1:26" ht="14.25" customHeight="1" x14ac:dyDescent="0.25">
      <c r="A981" s="365"/>
      <c r="B981" s="365"/>
      <c r="C981" s="365"/>
      <c r="D981" s="365"/>
      <c r="E981" s="365"/>
      <c r="F981" s="365"/>
      <c r="G981" s="365"/>
      <c r="H981" s="365"/>
      <c r="I981" s="365"/>
      <c r="J981" s="365"/>
      <c r="K981" s="365"/>
      <c r="L981" s="365"/>
      <c r="M981" s="365"/>
      <c r="N981" s="365"/>
      <c r="O981" s="365"/>
      <c r="P981" s="365"/>
      <c r="Q981" s="365"/>
      <c r="R981" s="365"/>
      <c r="S981" s="365"/>
      <c r="T981" s="365"/>
      <c r="U981" s="365"/>
      <c r="V981" s="365"/>
      <c r="W981" s="365"/>
      <c r="X981" s="365"/>
      <c r="Y981" s="365"/>
      <c r="Z981" s="365"/>
    </row>
    <row r="982" spans="1:26" ht="14.25" customHeight="1" x14ac:dyDescent="0.25">
      <c r="A982" s="365"/>
      <c r="B982" s="365"/>
      <c r="C982" s="365"/>
      <c r="D982" s="365"/>
      <c r="E982" s="365"/>
      <c r="F982" s="365"/>
      <c r="G982" s="365"/>
      <c r="H982" s="365"/>
      <c r="I982" s="365"/>
      <c r="J982" s="365"/>
      <c r="K982" s="365"/>
      <c r="L982" s="365"/>
      <c r="M982" s="365"/>
      <c r="N982" s="365"/>
      <c r="O982" s="365"/>
      <c r="P982" s="365"/>
      <c r="Q982" s="365"/>
      <c r="R982" s="365"/>
      <c r="S982" s="365"/>
      <c r="T982" s="365"/>
      <c r="U982" s="365"/>
      <c r="V982" s="365"/>
      <c r="W982" s="365"/>
      <c r="X982" s="365"/>
      <c r="Y982" s="365"/>
      <c r="Z982" s="365"/>
    </row>
    <row r="983" spans="1:26" ht="14.25" customHeight="1" x14ac:dyDescent="0.25">
      <c r="A983" s="365"/>
      <c r="B983" s="365"/>
      <c r="C983" s="365"/>
      <c r="D983" s="365"/>
      <c r="E983" s="365"/>
      <c r="F983" s="365"/>
      <c r="G983" s="365"/>
      <c r="H983" s="365"/>
      <c r="I983" s="365"/>
      <c r="J983" s="365"/>
      <c r="K983" s="365"/>
      <c r="L983" s="365"/>
      <c r="M983" s="365"/>
      <c r="N983" s="365"/>
      <c r="O983" s="365"/>
      <c r="P983" s="365"/>
      <c r="Q983" s="365"/>
      <c r="R983" s="365"/>
      <c r="S983" s="365"/>
      <c r="T983" s="365"/>
      <c r="U983" s="365"/>
      <c r="V983" s="365"/>
      <c r="W983" s="365"/>
      <c r="X983" s="365"/>
      <c r="Y983" s="365"/>
      <c r="Z983" s="365"/>
    </row>
    <row r="984" spans="1:26" ht="14.25" customHeight="1" x14ac:dyDescent="0.25">
      <c r="A984" s="365"/>
      <c r="B984" s="365"/>
      <c r="C984" s="365"/>
      <c r="D984" s="365"/>
      <c r="E984" s="365"/>
      <c r="F984" s="365"/>
      <c r="G984" s="365"/>
      <c r="H984" s="365"/>
      <c r="I984" s="365"/>
      <c r="J984" s="365"/>
      <c r="K984" s="365"/>
      <c r="L984" s="365"/>
      <c r="M984" s="365"/>
      <c r="N984" s="365"/>
      <c r="O984" s="365"/>
      <c r="P984" s="365"/>
      <c r="Q984" s="365"/>
      <c r="R984" s="365"/>
      <c r="S984" s="365"/>
      <c r="T984" s="365"/>
      <c r="U984" s="365"/>
      <c r="V984" s="365"/>
      <c r="W984" s="365"/>
      <c r="X984" s="365"/>
      <c r="Y984" s="365"/>
      <c r="Z984" s="365"/>
    </row>
    <row r="985" spans="1:26" ht="14.25" customHeight="1" x14ac:dyDescent="0.25">
      <c r="A985" s="365"/>
      <c r="B985" s="365"/>
      <c r="C985" s="365"/>
      <c r="D985" s="365"/>
      <c r="E985" s="365"/>
      <c r="F985" s="365"/>
      <c r="G985" s="365"/>
      <c r="H985" s="365"/>
      <c r="I985" s="365"/>
      <c r="J985" s="365"/>
      <c r="K985" s="365"/>
      <c r="L985" s="365"/>
      <c r="M985" s="365"/>
      <c r="N985" s="365"/>
      <c r="O985" s="365"/>
      <c r="P985" s="365"/>
      <c r="Q985" s="365"/>
      <c r="R985" s="365"/>
      <c r="S985" s="365"/>
      <c r="T985" s="365"/>
      <c r="U985" s="365"/>
      <c r="V985" s="365"/>
      <c r="W985" s="365"/>
      <c r="X985" s="365"/>
      <c r="Y985" s="365"/>
      <c r="Z985" s="365"/>
    </row>
    <row r="986" spans="1:26" ht="14.25" customHeight="1" x14ac:dyDescent="0.25">
      <c r="A986" s="365"/>
      <c r="B986" s="365"/>
      <c r="C986" s="365"/>
      <c r="D986" s="365"/>
      <c r="E986" s="365"/>
      <c r="F986" s="365"/>
      <c r="G986" s="365"/>
      <c r="H986" s="365"/>
      <c r="I986" s="365"/>
      <c r="J986" s="365"/>
      <c r="K986" s="365"/>
      <c r="L986" s="365"/>
      <c r="M986" s="365"/>
      <c r="N986" s="365"/>
      <c r="O986" s="365"/>
      <c r="P986" s="365"/>
      <c r="Q986" s="365"/>
      <c r="R986" s="365"/>
      <c r="S986" s="365"/>
      <c r="T986" s="365"/>
      <c r="U986" s="365"/>
      <c r="V986" s="365"/>
      <c r="W986" s="365"/>
      <c r="X986" s="365"/>
      <c r="Y986" s="365"/>
      <c r="Z986" s="365"/>
    </row>
    <row r="987" spans="1:26" ht="14.25" customHeight="1" x14ac:dyDescent="0.25">
      <c r="A987" s="365"/>
      <c r="B987" s="365"/>
      <c r="C987" s="365"/>
      <c r="D987" s="365"/>
      <c r="E987" s="365"/>
      <c r="F987" s="365"/>
      <c r="G987" s="365"/>
      <c r="H987" s="365"/>
      <c r="I987" s="365"/>
      <c r="J987" s="365"/>
      <c r="K987" s="365"/>
      <c r="L987" s="365"/>
      <c r="M987" s="365"/>
      <c r="N987" s="365"/>
      <c r="O987" s="365"/>
      <c r="P987" s="365"/>
      <c r="Q987" s="365"/>
      <c r="R987" s="365"/>
      <c r="S987" s="365"/>
      <c r="T987" s="365"/>
      <c r="U987" s="365"/>
      <c r="V987" s="365"/>
      <c r="W987" s="365"/>
      <c r="X987" s="365"/>
      <c r="Y987" s="365"/>
      <c r="Z987" s="365"/>
    </row>
    <row r="988" spans="1:26" ht="14.25" customHeight="1" x14ac:dyDescent="0.25">
      <c r="A988" s="365"/>
      <c r="B988" s="365"/>
      <c r="C988" s="365"/>
      <c r="D988" s="365"/>
      <c r="E988" s="365"/>
      <c r="F988" s="365"/>
      <c r="G988" s="365"/>
      <c r="H988" s="365"/>
      <c r="I988" s="365"/>
      <c r="J988" s="365"/>
      <c r="K988" s="365"/>
      <c r="L988" s="365"/>
      <c r="M988" s="365"/>
      <c r="N988" s="365"/>
      <c r="O988" s="365"/>
      <c r="P988" s="365"/>
      <c r="Q988" s="365"/>
      <c r="R988" s="365"/>
      <c r="S988" s="365"/>
      <c r="T988" s="365"/>
      <c r="U988" s="365"/>
      <c r="V988" s="365"/>
      <c r="W988" s="365"/>
      <c r="X988" s="365"/>
      <c r="Y988" s="365"/>
      <c r="Z988" s="365"/>
    </row>
    <row r="989" spans="1:26" ht="14.25" customHeight="1" x14ac:dyDescent="0.25">
      <c r="A989" s="365"/>
      <c r="B989" s="365"/>
      <c r="C989" s="365"/>
      <c r="D989" s="365"/>
      <c r="E989" s="365"/>
      <c r="F989" s="365"/>
      <c r="G989" s="365"/>
      <c r="H989" s="365"/>
      <c r="I989" s="365"/>
      <c r="J989" s="365"/>
      <c r="K989" s="365"/>
      <c r="L989" s="365"/>
      <c r="M989" s="365"/>
      <c r="N989" s="365"/>
      <c r="O989" s="365"/>
      <c r="P989" s="365"/>
      <c r="Q989" s="365"/>
      <c r="R989" s="365"/>
      <c r="S989" s="365"/>
      <c r="T989" s="365"/>
      <c r="U989" s="365"/>
      <c r="V989" s="365"/>
      <c r="W989" s="365"/>
      <c r="X989" s="365"/>
      <c r="Y989" s="365"/>
      <c r="Z989" s="365"/>
    </row>
    <row r="990" spans="1:26" ht="14.25" customHeight="1" x14ac:dyDescent="0.25">
      <c r="A990" s="365"/>
      <c r="B990" s="365"/>
      <c r="C990" s="365"/>
      <c r="D990" s="365"/>
      <c r="E990" s="365"/>
      <c r="F990" s="365"/>
      <c r="G990" s="365"/>
      <c r="H990" s="365"/>
      <c r="I990" s="365"/>
      <c r="J990" s="365"/>
      <c r="K990" s="365"/>
      <c r="L990" s="365"/>
      <c r="M990" s="365"/>
      <c r="N990" s="365"/>
      <c r="O990" s="365"/>
      <c r="P990" s="365"/>
      <c r="Q990" s="365"/>
      <c r="R990" s="365"/>
      <c r="S990" s="365"/>
      <c r="T990" s="365"/>
      <c r="U990" s="365"/>
      <c r="V990" s="365"/>
      <c r="W990" s="365"/>
      <c r="X990" s="365"/>
      <c r="Y990" s="365"/>
      <c r="Z990" s="365"/>
    </row>
    <row r="991" spans="1:26" ht="14.25" customHeight="1" x14ac:dyDescent="0.25">
      <c r="A991" s="365"/>
      <c r="B991" s="365"/>
      <c r="C991" s="365"/>
      <c r="D991" s="365"/>
      <c r="E991" s="365"/>
      <c r="F991" s="365"/>
      <c r="G991" s="365"/>
      <c r="H991" s="365"/>
      <c r="I991" s="365"/>
      <c r="J991" s="365"/>
      <c r="K991" s="365"/>
      <c r="L991" s="365"/>
      <c r="M991" s="365"/>
      <c r="N991" s="365"/>
      <c r="O991" s="365"/>
      <c r="P991" s="365"/>
      <c r="Q991" s="365"/>
      <c r="R991" s="365"/>
      <c r="S991" s="365"/>
      <c r="T991" s="365"/>
      <c r="U991" s="365"/>
      <c r="V991" s="365"/>
      <c r="W991" s="365"/>
      <c r="X991" s="365"/>
      <c r="Y991" s="365"/>
      <c r="Z991" s="365"/>
    </row>
    <row r="992" spans="1:26" ht="14.25" customHeight="1" x14ac:dyDescent="0.25">
      <c r="A992" s="365"/>
      <c r="B992" s="365"/>
      <c r="C992" s="365"/>
      <c r="D992" s="365"/>
      <c r="E992" s="365"/>
      <c r="F992" s="365"/>
      <c r="G992" s="365"/>
      <c r="H992" s="365"/>
      <c r="I992" s="365"/>
      <c r="J992" s="365"/>
      <c r="K992" s="365"/>
      <c r="L992" s="365"/>
      <c r="M992" s="365"/>
      <c r="N992" s="365"/>
      <c r="O992" s="365"/>
      <c r="P992" s="365"/>
      <c r="Q992" s="365"/>
      <c r="R992" s="365"/>
      <c r="S992" s="365"/>
      <c r="T992" s="365"/>
      <c r="U992" s="365"/>
      <c r="V992" s="365"/>
      <c r="W992" s="365"/>
      <c r="X992" s="365"/>
      <c r="Y992" s="365"/>
      <c r="Z992" s="365"/>
    </row>
    <row r="993" spans="1:26" ht="14.25" customHeight="1" x14ac:dyDescent="0.25">
      <c r="A993" s="365"/>
      <c r="B993" s="365"/>
      <c r="C993" s="365"/>
      <c r="D993" s="365"/>
      <c r="E993" s="365"/>
      <c r="F993" s="365"/>
      <c r="G993" s="365"/>
      <c r="H993" s="365"/>
      <c r="I993" s="365"/>
      <c r="J993" s="365"/>
      <c r="K993" s="365"/>
      <c r="L993" s="365"/>
      <c r="M993" s="365"/>
      <c r="N993" s="365"/>
      <c r="O993" s="365"/>
      <c r="P993" s="365"/>
      <c r="Q993" s="365"/>
      <c r="R993" s="365"/>
      <c r="S993" s="365"/>
      <c r="T993" s="365"/>
      <c r="U993" s="365"/>
      <c r="V993" s="365"/>
      <c r="W993" s="365"/>
      <c r="X993" s="365"/>
      <c r="Y993" s="365"/>
      <c r="Z993" s="365"/>
    </row>
    <row r="994" spans="1:26" ht="14.25" customHeight="1" x14ac:dyDescent="0.25">
      <c r="A994" s="365"/>
      <c r="B994" s="365"/>
      <c r="C994" s="365"/>
      <c r="D994" s="365"/>
      <c r="E994" s="365"/>
      <c r="F994" s="365"/>
      <c r="G994" s="365"/>
      <c r="H994" s="365"/>
      <c r="I994" s="365"/>
      <c r="J994" s="365"/>
      <c r="K994" s="365"/>
      <c r="L994" s="365"/>
      <c r="M994" s="365"/>
      <c r="N994" s="365"/>
      <c r="O994" s="365"/>
      <c r="P994" s="365"/>
      <c r="Q994" s="365"/>
      <c r="R994" s="365"/>
      <c r="S994" s="365"/>
      <c r="T994" s="365"/>
      <c r="U994" s="365"/>
      <c r="V994" s="365"/>
      <c r="W994" s="365"/>
      <c r="X994" s="365"/>
      <c r="Y994" s="365"/>
      <c r="Z994" s="365"/>
    </row>
    <row r="995" spans="1:26" ht="14.25" customHeight="1" x14ac:dyDescent="0.25">
      <c r="A995" s="365"/>
      <c r="B995" s="365"/>
      <c r="C995" s="365"/>
      <c r="D995" s="365"/>
      <c r="E995" s="365"/>
      <c r="F995" s="365"/>
      <c r="G995" s="365"/>
      <c r="H995" s="365"/>
      <c r="I995" s="365"/>
      <c r="J995" s="365"/>
      <c r="K995" s="365"/>
      <c r="L995" s="365"/>
      <c r="M995" s="365"/>
      <c r="N995" s="365"/>
      <c r="O995" s="365"/>
      <c r="P995" s="365"/>
      <c r="Q995" s="365"/>
      <c r="R995" s="365"/>
      <c r="S995" s="365"/>
      <c r="T995" s="365"/>
      <c r="U995" s="365"/>
      <c r="V995" s="365"/>
      <c r="W995" s="365"/>
      <c r="X995" s="365"/>
      <c r="Y995" s="365"/>
      <c r="Z995" s="365"/>
    </row>
    <row r="996" spans="1:26" ht="14.25" customHeight="1" x14ac:dyDescent="0.25">
      <c r="A996" s="365"/>
      <c r="B996" s="365"/>
      <c r="C996" s="365"/>
      <c r="D996" s="365"/>
      <c r="E996" s="365"/>
      <c r="F996" s="365"/>
      <c r="G996" s="365"/>
      <c r="H996" s="365"/>
      <c r="I996" s="365"/>
      <c r="J996" s="365"/>
      <c r="K996" s="365"/>
      <c r="L996" s="365"/>
      <c r="M996" s="365"/>
      <c r="N996" s="365"/>
      <c r="O996" s="365"/>
      <c r="P996" s="365"/>
      <c r="Q996" s="365"/>
      <c r="R996" s="365"/>
      <c r="S996" s="365"/>
      <c r="T996" s="365"/>
      <c r="U996" s="365"/>
      <c r="V996" s="365"/>
      <c r="W996" s="365"/>
      <c r="X996" s="365"/>
      <c r="Y996" s="365"/>
      <c r="Z996" s="365"/>
    </row>
    <row r="997" spans="1:26" ht="14.25" customHeight="1" x14ac:dyDescent="0.25">
      <c r="A997" s="365"/>
      <c r="B997" s="365"/>
      <c r="C997" s="365"/>
      <c r="D997" s="365"/>
      <c r="E997" s="365"/>
      <c r="F997" s="365"/>
      <c r="G997" s="365"/>
      <c r="H997" s="365"/>
      <c r="I997" s="365"/>
      <c r="J997" s="365"/>
      <c r="K997" s="365"/>
      <c r="L997" s="365"/>
      <c r="M997" s="365"/>
      <c r="N997" s="365"/>
      <c r="O997" s="365"/>
      <c r="P997" s="365"/>
      <c r="Q997" s="365"/>
      <c r="R997" s="365"/>
      <c r="S997" s="365"/>
      <c r="T997" s="365"/>
      <c r="U997" s="365"/>
      <c r="V997" s="365"/>
      <c r="W997" s="365"/>
      <c r="X997" s="365"/>
      <c r="Y997" s="365"/>
      <c r="Z997" s="365"/>
    </row>
    <row r="998" spans="1:26" ht="14.25" customHeight="1" x14ac:dyDescent="0.25">
      <c r="A998" s="365"/>
      <c r="B998" s="365"/>
      <c r="C998" s="365"/>
      <c r="D998" s="365"/>
      <c r="E998" s="365"/>
      <c r="F998" s="365"/>
      <c r="G998" s="365"/>
      <c r="H998" s="365"/>
      <c r="I998" s="365"/>
      <c r="J998" s="365"/>
      <c r="K998" s="365"/>
      <c r="L998" s="365"/>
      <c r="M998" s="365"/>
      <c r="N998" s="365"/>
      <c r="O998" s="365"/>
      <c r="P998" s="365"/>
      <c r="Q998" s="365"/>
      <c r="R998" s="365"/>
      <c r="S998" s="365"/>
      <c r="T998" s="365"/>
      <c r="U998" s="365"/>
      <c r="V998" s="365"/>
      <c r="W998" s="365"/>
      <c r="X998" s="365"/>
      <c r="Y998" s="365"/>
      <c r="Z998" s="365"/>
    </row>
    <row r="999" spans="1:26" ht="14.25" customHeight="1" x14ac:dyDescent="0.25">
      <c r="A999" s="365"/>
      <c r="B999" s="365"/>
      <c r="C999" s="365"/>
      <c r="D999" s="365"/>
      <c r="E999" s="365"/>
      <c r="F999" s="365"/>
      <c r="G999" s="365"/>
      <c r="H999" s="365"/>
      <c r="I999" s="365"/>
      <c r="J999" s="365"/>
      <c r="K999" s="365"/>
      <c r="L999" s="365"/>
      <c r="M999" s="365"/>
      <c r="N999" s="365"/>
      <c r="O999" s="365"/>
      <c r="P999" s="365"/>
      <c r="Q999" s="365"/>
      <c r="R999" s="365"/>
      <c r="S999" s="365"/>
      <c r="T999" s="365"/>
      <c r="U999" s="365"/>
      <c r="V999" s="365"/>
      <c r="W999" s="365"/>
      <c r="X999" s="365"/>
      <c r="Y999" s="365"/>
      <c r="Z999" s="365"/>
    </row>
    <row r="1000" spans="1:26" ht="14.25" customHeight="1" x14ac:dyDescent="0.25">
      <c r="A1000" s="365"/>
      <c r="B1000" s="365"/>
      <c r="C1000" s="365"/>
      <c r="D1000" s="365"/>
      <c r="E1000" s="365"/>
      <c r="F1000" s="365"/>
      <c r="G1000" s="365"/>
      <c r="H1000" s="365"/>
      <c r="I1000" s="365"/>
      <c r="J1000" s="365"/>
      <c r="K1000" s="365"/>
      <c r="L1000" s="365"/>
      <c r="M1000" s="365"/>
      <c r="N1000" s="365"/>
      <c r="O1000" s="365"/>
      <c r="P1000" s="365"/>
      <c r="Q1000" s="365"/>
      <c r="R1000" s="365"/>
      <c r="S1000" s="365"/>
      <c r="T1000" s="365"/>
      <c r="U1000" s="365"/>
      <c r="V1000" s="365"/>
      <c r="W1000" s="365"/>
      <c r="X1000" s="365"/>
      <c r="Y1000" s="365"/>
      <c r="Z1000" s="365"/>
    </row>
  </sheetData>
  <mergeCells count="4">
    <mergeCell ref="A1:V1"/>
    <mergeCell ref="A2:V2"/>
    <mergeCell ref="A3:V3"/>
    <mergeCell ref="A76:V7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2.7109375" defaultRowHeight="15" customHeight="1" x14ac:dyDescent="0.25"/>
  <cols>
    <col min="1" max="4" width="9" customWidth="1"/>
    <col min="5" max="5" width="27.28515625" customWidth="1"/>
    <col min="6" max="6" width="19" customWidth="1"/>
    <col min="7" max="7" width="9" customWidth="1"/>
    <col min="8" max="26" width="8.7109375" customWidth="1"/>
  </cols>
  <sheetData>
    <row r="1" spans="1:26" ht="14.25" customHeight="1" x14ac:dyDescent="0.25">
      <c r="A1" s="79" t="s">
        <v>708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4.25" customHeight="1" x14ac:dyDescent="0.25">
      <c r="A2" s="79" t="s">
        <v>709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4.25" customHeight="1" x14ac:dyDescent="0.25">
      <c r="A3" s="79" t="s">
        <v>710</v>
      </c>
      <c r="B3" s="395">
        <v>45889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4.25" customHeight="1" x14ac:dyDescent="0.25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4.25" customHeight="1" x14ac:dyDescent="0.25">
      <c r="A5" s="79" t="s">
        <v>461</v>
      </c>
      <c r="B5" s="79" t="s">
        <v>462</v>
      </c>
      <c r="C5" s="79" t="s">
        <v>466</v>
      </c>
      <c r="D5" s="79" t="s">
        <v>711</v>
      </c>
      <c r="E5" s="79" t="s">
        <v>712</v>
      </c>
      <c r="F5" s="79" t="s">
        <v>713</v>
      </c>
      <c r="G5" s="79" t="s">
        <v>714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4.25" customHeight="1" x14ac:dyDescent="0.25">
      <c r="A6" s="79" t="s">
        <v>475</v>
      </c>
      <c r="B6" s="79" t="s">
        <v>476</v>
      </c>
      <c r="C6" s="395">
        <v>45717</v>
      </c>
      <c r="D6" s="79"/>
      <c r="E6" s="79" t="s">
        <v>715</v>
      </c>
      <c r="F6" s="396">
        <v>120000</v>
      </c>
      <c r="G6" s="79" t="s">
        <v>716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4.25" customHeight="1" x14ac:dyDescent="0.25">
      <c r="A7" s="79" t="s">
        <v>519</v>
      </c>
      <c r="B7" s="79" t="s">
        <v>520</v>
      </c>
      <c r="C7" s="395">
        <v>45708</v>
      </c>
      <c r="D7" s="79"/>
      <c r="E7" s="79" t="s">
        <v>717</v>
      </c>
      <c r="F7" s="396">
        <v>53000</v>
      </c>
      <c r="G7" s="79" t="s">
        <v>716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4.25" customHeight="1" x14ac:dyDescent="0.25">
      <c r="A8" s="79" t="s">
        <v>484</v>
      </c>
      <c r="B8" s="79" t="s">
        <v>718</v>
      </c>
      <c r="C8" s="395">
        <v>45139</v>
      </c>
      <c r="D8" s="79"/>
      <c r="E8" s="79" t="s">
        <v>719</v>
      </c>
      <c r="F8" s="396">
        <v>200000</v>
      </c>
      <c r="G8" s="79" t="s">
        <v>716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4.25" customHeight="1" x14ac:dyDescent="0.25">
      <c r="A9" s="79" t="s">
        <v>478</v>
      </c>
      <c r="B9" s="79" t="s">
        <v>479</v>
      </c>
      <c r="C9" s="395">
        <v>45658</v>
      </c>
      <c r="D9" s="79"/>
      <c r="E9" s="79" t="s">
        <v>720</v>
      </c>
      <c r="F9" s="396">
        <v>150000</v>
      </c>
      <c r="G9" s="79" t="s">
        <v>716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4.25" customHeight="1" x14ac:dyDescent="0.25">
      <c r="A10" s="79" t="s">
        <v>503</v>
      </c>
      <c r="B10" s="79" t="s">
        <v>502</v>
      </c>
      <c r="C10" s="395">
        <v>45335</v>
      </c>
      <c r="D10" s="79"/>
      <c r="E10" s="79" t="s">
        <v>721</v>
      </c>
      <c r="F10" s="396">
        <v>82500</v>
      </c>
      <c r="G10" s="79" t="s">
        <v>716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4.25" customHeight="1" x14ac:dyDescent="0.25">
      <c r="A11" s="79" t="s">
        <v>487</v>
      </c>
      <c r="B11" s="79" t="s">
        <v>722</v>
      </c>
      <c r="C11" s="395">
        <v>45628</v>
      </c>
      <c r="D11" s="79"/>
      <c r="E11" s="79" t="s">
        <v>489</v>
      </c>
      <c r="F11" s="396">
        <v>95000</v>
      </c>
      <c r="G11" s="79" t="s">
        <v>716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4.25" customHeight="1" x14ac:dyDescent="0.25">
      <c r="A12" s="79" t="s">
        <v>504</v>
      </c>
      <c r="B12" s="79" t="s">
        <v>505</v>
      </c>
      <c r="C12" s="395">
        <v>45826</v>
      </c>
      <c r="D12" s="79"/>
      <c r="E12" s="79" t="s">
        <v>723</v>
      </c>
      <c r="F12" s="396">
        <v>57000</v>
      </c>
      <c r="G12" s="79" t="s">
        <v>716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4.25" customHeight="1" x14ac:dyDescent="0.25">
      <c r="A13" s="79" t="s">
        <v>528</v>
      </c>
      <c r="B13" s="79" t="s">
        <v>724</v>
      </c>
      <c r="C13" s="395">
        <v>45599</v>
      </c>
      <c r="D13" s="79"/>
      <c r="E13" s="79" t="s">
        <v>530</v>
      </c>
      <c r="F13" s="396">
        <v>75000</v>
      </c>
      <c r="G13" s="79" t="s">
        <v>716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4.25" customHeight="1" x14ac:dyDescent="0.25">
      <c r="A14" s="79" t="s">
        <v>725</v>
      </c>
      <c r="B14" s="79" t="s">
        <v>496</v>
      </c>
      <c r="C14" s="395">
        <v>45552</v>
      </c>
      <c r="D14" s="79"/>
      <c r="E14" s="79" t="s">
        <v>497</v>
      </c>
      <c r="F14" s="396">
        <v>44000</v>
      </c>
      <c r="G14" s="79" t="s">
        <v>716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4.25" customHeight="1" x14ac:dyDescent="0.25">
      <c r="A15" s="79" t="s">
        <v>522</v>
      </c>
      <c r="B15" s="79" t="s">
        <v>523</v>
      </c>
      <c r="C15" s="395">
        <v>45152</v>
      </c>
      <c r="D15" s="79"/>
      <c r="E15" s="79" t="s">
        <v>726</v>
      </c>
      <c r="F15" s="396">
        <v>102000</v>
      </c>
      <c r="G15" s="79" t="s">
        <v>716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4.25" customHeight="1" x14ac:dyDescent="0.25">
      <c r="A16" s="79" t="s">
        <v>499</v>
      </c>
      <c r="B16" s="79" t="s">
        <v>500</v>
      </c>
      <c r="C16" s="395">
        <v>45444</v>
      </c>
      <c r="D16" s="79"/>
      <c r="E16" s="79" t="s">
        <v>727</v>
      </c>
      <c r="F16" s="396">
        <v>70000</v>
      </c>
      <c r="G16" s="79" t="s">
        <v>716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4.25" customHeight="1" x14ac:dyDescent="0.25">
      <c r="A17" s="79" t="s">
        <v>491</v>
      </c>
      <c r="B17" s="79" t="s">
        <v>492</v>
      </c>
      <c r="C17" s="395">
        <v>45741</v>
      </c>
      <c r="D17" s="79"/>
      <c r="E17" s="79" t="s">
        <v>728</v>
      </c>
      <c r="F17" s="396">
        <v>135000</v>
      </c>
      <c r="G17" s="79" t="s">
        <v>716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4.25" customHeight="1" x14ac:dyDescent="0.25">
      <c r="A18" s="79" t="s">
        <v>467</v>
      </c>
      <c r="B18" s="79" t="s">
        <v>468</v>
      </c>
      <c r="C18" s="395">
        <v>44409</v>
      </c>
      <c r="D18" s="79"/>
      <c r="E18" s="79" t="s">
        <v>469</v>
      </c>
      <c r="F18" s="396">
        <v>0</v>
      </c>
      <c r="G18" s="79" t="s">
        <v>729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4.25" customHeight="1" x14ac:dyDescent="0.25">
      <c r="A19" s="79" t="s">
        <v>516</v>
      </c>
      <c r="B19" s="79" t="s">
        <v>517</v>
      </c>
      <c r="C19" s="395">
        <v>45526</v>
      </c>
      <c r="D19" s="79"/>
      <c r="E19" s="79" t="s">
        <v>730</v>
      </c>
      <c r="F19" s="396">
        <v>24</v>
      </c>
      <c r="G19" s="79" t="s">
        <v>731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4.25" customHeight="1" x14ac:dyDescent="0.25">
      <c r="A20" s="79" t="s">
        <v>732</v>
      </c>
      <c r="B20" s="79" t="s">
        <v>511</v>
      </c>
      <c r="C20" s="395">
        <v>45817</v>
      </c>
      <c r="D20" s="79"/>
      <c r="E20" s="79" t="s">
        <v>733</v>
      </c>
      <c r="F20" s="396">
        <v>55000</v>
      </c>
      <c r="G20" s="79" t="s">
        <v>716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4.25" customHeight="1" x14ac:dyDescent="0.25">
      <c r="A21" s="79" t="s">
        <v>513</v>
      </c>
      <c r="B21" s="79" t="s">
        <v>514</v>
      </c>
      <c r="C21" s="395">
        <v>45784</v>
      </c>
      <c r="D21" s="79"/>
      <c r="E21" s="79" t="s">
        <v>734</v>
      </c>
      <c r="F21" s="396">
        <v>125000</v>
      </c>
      <c r="G21" s="79" t="s">
        <v>716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4.25" customHeight="1" x14ac:dyDescent="0.25">
      <c r="A22" s="79" t="s">
        <v>525</v>
      </c>
      <c r="B22" s="79" t="s">
        <v>526</v>
      </c>
      <c r="C22" s="395">
        <v>45866</v>
      </c>
      <c r="D22" s="79"/>
      <c r="E22" s="79" t="s">
        <v>527</v>
      </c>
      <c r="F22" s="396">
        <v>56000</v>
      </c>
      <c r="G22" s="79" t="s">
        <v>716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4.25" customHeight="1" x14ac:dyDescent="0.25">
      <c r="A23" s="79" t="s">
        <v>507</v>
      </c>
      <c r="B23" s="79" t="s">
        <v>508</v>
      </c>
      <c r="C23" s="395">
        <v>45754</v>
      </c>
      <c r="D23" s="79"/>
      <c r="E23" s="79"/>
      <c r="F23" s="396">
        <v>125000</v>
      </c>
      <c r="G23" s="79" t="s">
        <v>716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4.25" customHeight="1" x14ac:dyDescent="0.25">
      <c r="A24" s="79" t="s">
        <v>735</v>
      </c>
      <c r="B24" s="79" t="s">
        <v>473</v>
      </c>
      <c r="C24" s="395">
        <v>45597</v>
      </c>
      <c r="D24" s="79"/>
      <c r="E24" s="79" t="s">
        <v>474</v>
      </c>
      <c r="F24" s="79">
        <v>0</v>
      </c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4.2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4.2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4.2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4.2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4.2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4.2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4.2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4.2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4.2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4.2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4.2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4.2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4.2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4.2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4.2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4.2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4.2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4.2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4.2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4.2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4.2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4.2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4.2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4.2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4.2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4.2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4.2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4.2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4.2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4.2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4.2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4.2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4.2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4.2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4.2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4.2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4.2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4.2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4.2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4.2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4.2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4.2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4.2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4.2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4.2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4.2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4.2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4.2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4.2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4.2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4.2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4.2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4.2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4.2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4.2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4.2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4.2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4.2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4.2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4.2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4.2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4.2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4.2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4.2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4.2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4.2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4.2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4.2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4.2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4.2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4.2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4.2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4.2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4.2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4.2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4.2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4.2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4.2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4.2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4.2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4.2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4.2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4.2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4.2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4.2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4.2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4.2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4.2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4.2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4.2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4.2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4.2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4.2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4.2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4.2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4.2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4.2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4.2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4.2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4.2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4.2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4.2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4.2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4.2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4.2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4.2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4.2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4.2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4.2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4.2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4.2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4.2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4.2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4.2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4.2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4.2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4.2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4.2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4.2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4.2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4.2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4.2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4.2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4.2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4.2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4.2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4.2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4.2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4.2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4.2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4.2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4.2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4.2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4.2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4.2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4.2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4.2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4.2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4.2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4.2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4.2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4.2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4.2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4.2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4.2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4.2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4.2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4.2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4.2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4.2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4.2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4.2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4.2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4.2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4.2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4.2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4.2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4.2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4.2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4.2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4.2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4.2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4.2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4.2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4.2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4.2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4.2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4.2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4.2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4.2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4.2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4.2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4.2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4.2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4.2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4.2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4.2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4.2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4.2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4.2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4.2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4.2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4.2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4.2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4.2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4.2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4.2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4.2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4.2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4.2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4.2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4.2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4.2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4.2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4.2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4.2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4.2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4.25" customHeigh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spans="1:26" ht="14.25" customHeigh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spans="1:26" ht="14.25" customHeigh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spans="1:26" ht="14.25" customHeigh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spans="1:26" ht="14.25" customHeigh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spans="1:26" ht="14.25" customHeigh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spans="1:26" ht="14.25" customHeigh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spans="1:26" ht="14.25" customHeigh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spans="1:26" ht="14.25" customHeigh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spans="1:26" ht="14.25" customHeigh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spans="1:26" ht="14.25" customHeigh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spans="1:26" ht="14.25" customHeigh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spans="1:26" ht="14.25" customHeigh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spans="1:26" ht="14.25" customHeigh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spans="1:26" ht="14.25" customHeigh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spans="1:26" ht="14.25" customHeigh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spans="1:26" ht="14.25" customHeigh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spans="1:26" ht="14.25" customHeigh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spans="1:26" ht="14.25" customHeigh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spans="1:26" ht="14.25" customHeigh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spans="1:26" ht="14.25" customHeigh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spans="1:26" ht="14.25" customHeigh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spans="1:26" ht="14.25" customHeigh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spans="1:26" ht="14.25" customHeigh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spans="1:26" ht="14.25" customHeigh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spans="1:26" ht="14.25" customHeigh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spans="1:26" ht="14.25" customHeigh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spans="1:26" ht="14.25" customHeigh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spans="1:26" ht="14.25" customHeigh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spans="1:26" ht="14.25" customHeigh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spans="1:26" ht="14.25" customHeigh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spans="1:26" ht="14.25" customHeigh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spans="1:26" ht="14.25" customHeigh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spans="1:26" ht="14.25" customHeigh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spans="1:26" ht="14.25" customHeigh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spans="1:26" ht="14.25" customHeigh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spans="1:26" ht="14.25" customHeigh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spans="1:26" ht="14.25" customHeigh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spans="1:26" ht="14.25" customHeigh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spans="1:26" ht="14.25" customHeigh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spans="1:26" ht="14.25" customHeigh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spans="1:26" ht="14.25" customHeigh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spans="1:26" ht="14.25" customHeigh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spans="1:26" ht="14.25" customHeigh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spans="1:26" ht="14.25" customHeigh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spans="1:26" ht="14.25" customHeigh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spans="1:26" ht="14.25" customHeigh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spans="1:26" ht="14.25" customHeigh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spans="1:26" ht="14.25" customHeigh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spans="1:26" ht="14.25" customHeigh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spans="1:26" ht="14.25" customHeigh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spans="1:26" ht="14.25" customHeigh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spans="1:26" ht="14.25" customHeigh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spans="1:26" ht="14.25" customHeigh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spans="1:26" ht="14.25" customHeigh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spans="1:26" ht="14.25" customHeigh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spans="1:26" ht="14.25" customHeigh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spans="1:26" ht="14.25" customHeigh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spans="1:26" ht="14.25" customHeigh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spans="1:26" ht="14.25" customHeigh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spans="1:26" ht="14.25" customHeigh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spans="1:26" ht="14.25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spans="1:26" ht="14.25" customHeigh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spans="1:26" ht="14.25" customHeigh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spans="1:26" ht="14.25" customHeigh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spans="1:26" ht="14.25" customHeigh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spans="1:26" ht="14.25" customHeigh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spans="1:26" ht="14.25" customHeigh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spans="1:26" ht="14.25" customHeigh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spans="1:26" ht="14.25" customHeigh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spans="1:26" ht="14.25" customHeigh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spans="1:26" ht="14.25" customHeigh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spans="1:26" ht="14.25" customHeigh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spans="1:26" ht="14.25" customHeigh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spans="1:26" ht="14.25" customHeigh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spans="1:26" ht="14.25" customHeigh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spans="1:26" ht="14.25" customHeigh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spans="1:26" ht="14.25" customHeigh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spans="1:26" ht="14.25" customHeigh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spans="1:26" ht="14.25" customHeigh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spans="1:26" ht="14.25" customHeigh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spans="1:26" ht="14.25" customHeigh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spans="1:26" ht="14.25" customHeigh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spans="1:26" ht="14.25" customHeigh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spans="1:26" ht="14.25" customHeigh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spans="1:26" ht="14.25" customHeigh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spans="1:26" ht="14.25" customHeigh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spans="1:26" ht="14.25" customHeigh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spans="1:26" ht="14.25" customHeigh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spans="1:26" ht="14.25" customHeigh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spans="1:26" ht="14.25" customHeigh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spans="1:26" ht="14.25" customHeigh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spans="1:26" ht="14.25" customHeigh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spans="1:26" ht="14.25" customHeigh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spans="1:26" ht="14.25" customHeigh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spans="1:26" ht="14.25" customHeigh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spans="1:26" ht="14.25" customHeigh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spans="1:26" ht="14.25" customHeigh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spans="1:26" ht="14.25" customHeigh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spans="1:26" ht="14.25" customHeigh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spans="1:26" ht="14.25" customHeigh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spans="1:26" ht="14.25" customHeigh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spans="1:26" ht="14.25" customHeigh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spans="1:26" ht="14.25" customHeigh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spans="1:26" ht="14.25" customHeigh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spans="1:26" ht="14.25" customHeigh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spans="1:26" ht="14.25" customHeigh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spans="1:26" ht="14.25" customHeigh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spans="1:26" ht="14.25" customHeigh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spans="1:26" ht="14.25" customHeigh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spans="1:26" ht="14.25" customHeigh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spans="1:26" ht="14.25" customHeigh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spans="1:26" ht="14.25" customHeigh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spans="1:26" ht="14.25" customHeigh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spans="1:26" ht="14.25" customHeigh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spans="1:26" ht="14.25" customHeigh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spans="1:26" ht="14.25" customHeigh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spans="1:26" ht="14.25" customHeigh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spans="1:26" ht="14.25" customHeigh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spans="1:26" ht="14.25" customHeigh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spans="1:26" ht="14.25" customHeigh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spans="1:26" ht="14.25" customHeigh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spans="1:26" ht="14.25" customHeigh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spans="1:26" ht="14.25" customHeigh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spans="1:26" ht="14.25" customHeigh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spans="1:26" ht="14.25" customHeigh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spans="1:26" ht="14.25" customHeigh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spans="1:26" ht="14.25" customHeigh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spans="1:26" ht="14.25" customHeigh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spans="1:26" ht="14.25" customHeigh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spans="1:26" ht="14.25" customHeigh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spans="1:26" ht="14.25" customHeigh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spans="1:26" ht="14.25" customHeigh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spans="1:26" ht="14.25" customHeigh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spans="1:26" ht="14.25" customHeigh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spans="1:26" ht="14.25" customHeigh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spans="1:26" ht="14.25" customHeigh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spans="1:26" ht="14.25" customHeigh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spans="1:26" ht="14.25" customHeigh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spans="1:26" ht="14.25" customHeigh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spans="1:26" ht="14.25" customHeigh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spans="1:26" ht="14.25" customHeigh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spans="1:26" ht="14.25" customHeigh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spans="1:26" ht="14.25" customHeigh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spans="1:26" ht="14.25" customHeigh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4.25" customHeigh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4.25" customHeigh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4.25" customHeigh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4.25" customHeigh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4.25" customHeigh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4.25" customHeigh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4.25" customHeigh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4.25" customHeigh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4.25" customHeigh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4.25" customHeigh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4.25" customHeigh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4.25" customHeigh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spans="1:26" ht="14.25" customHeigh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spans="1:26" ht="14.25" customHeigh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spans="1:26" ht="14.25" customHeigh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spans="1:26" ht="14.25" customHeigh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spans="1:26" ht="14.25" customHeigh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4.25" customHeigh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spans="1:26" ht="14.25" customHeigh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spans="1:26" ht="14.25" customHeigh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spans="1:26" ht="14.25" customHeigh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spans="1:26" ht="14.25" customHeigh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spans="1:26" ht="14.25" customHeigh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spans="1:26" ht="14.25" customHeigh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spans="1:26" ht="14.25" customHeigh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spans="1:26" ht="14.25" customHeigh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spans="1:26" ht="14.25" customHeigh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spans="1:26" ht="14.25" customHeigh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spans="1:26" ht="14.25" customHeigh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spans="1:26" ht="14.25" customHeigh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spans="1:26" ht="14.25" customHeigh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spans="1:26" ht="14.25" customHeigh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spans="1:26" ht="14.25" customHeigh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spans="1:26" ht="14.25" customHeigh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spans="1:26" ht="14.25" customHeigh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spans="1:26" ht="14.25" customHeigh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spans="1:26" ht="14.25" customHeigh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spans="1:26" ht="14.25" customHeigh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spans="1:26" ht="14.25" customHeigh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spans="1:26" ht="14.25" customHeigh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spans="1:26" ht="14.25" customHeigh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spans="1:26" ht="14.25" customHeigh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spans="1:26" ht="14.25" customHeigh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spans="1:26" ht="14.25" customHeigh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spans="1:26" ht="14.25" customHeigh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spans="1:26" ht="14.25" customHeigh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spans="1:26" ht="14.25" customHeigh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spans="1:26" ht="14.25" customHeigh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spans="1:26" ht="14.25" customHeigh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spans="1:26" ht="14.25" customHeigh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spans="1:26" ht="14.25" customHeigh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spans="1:26" ht="14.25" customHeigh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spans="1:26" ht="14.25" customHeigh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spans="1:26" ht="14.25" customHeigh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spans="1:26" ht="14.25" customHeigh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spans="1:26" ht="14.25" customHeigh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spans="1:26" ht="14.25" customHeigh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spans="1:26" ht="14.25" customHeigh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spans="1:26" ht="14.25" customHeigh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spans="1:26" ht="14.25" customHeigh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spans="1:26" ht="14.25" customHeigh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spans="1:26" ht="14.25" customHeigh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spans="1:26" ht="14.25" customHeigh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spans="1:26" ht="14.25" customHeigh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spans="1:26" ht="14.25" customHeigh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spans="1:26" ht="14.25" customHeigh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spans="1:26" ht="14.25" customHeigh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spans="1:26" ht="14.25" customHeigh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spans="1:26" ht="14.25" customHeigh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spans="1:26" ht="14.25" customHeigh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spans="1:26" ht="14.25" customHeigh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spans="1:26" ht="14.25" customHeigh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spans="1:26" ht="14.25" customHeigh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spans="1:26" ht="14.25" customHeigh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spans="1:26" ht="14.25" customHeigh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spans="1:26" ht="14.25" customHeigh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spans="1:26" ht="14.25" customHeigh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spans="1:26" ht="14.25" customHeigh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spans="1:26" ht="14.25" customHeigh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spans="1:26" ht="14.25" customHeigh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spans="1:26" ht="14.25" customHeigh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spans="1:26" ht="14.25" customHeigh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spans="1:26" ht="14.25" customHeigh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spans="1:26" ht="14.25" customHeigh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spans="1:26" ht="14.25" customHeigh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spans="1:26" ht="14.25" customHeigh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spans="1:26" ht="14.25" customHeigh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spans="1:26" ht="14.25" customHeigh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spans="1:26" ht="14.25" customHeigh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spans="1:26" ht="14.25" customHeigh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spans="1:26" ht="14.25" customHeigh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spans="1:26" ht="14.25" customHeigh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spans="1:26" ht="14.25" customHeigh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spans="1:26" ht="14.25" customHeigh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spans="1:26" ht="14.25" customHeigh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4.25" customHeigh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spans="1:26" ht="14.25" customHeigh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spans="1:26" ht="14.25" customHeigh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spans="1:26" ht="14.25" customHeigh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spans="1:26" ht="14.25" customHeigh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spans="1:26" ht="14.25" customHeigh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spans="1:26" ht="14.25" customHeigh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spans="1:26" ht="14.25" customHeigh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spans="1:26" ht="14.25" customHeigh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4.25" customHeigh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spans="1:26" ht="14.25" customHeigh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spans="1:26" ht="14.25" customHeigh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spans="1:26" ht="14.25" customHeigh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spans="1:26" ht="14.25" customHeigh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spans="1:26" ht="14.25" customHeigh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spans="1:26" ht="14.25" customHeigh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spans="1:26" ht="14.25" customHeigh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spans="1:26" ht="14.25" customHeigh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spans="1:26" ht="14.25" customHeigh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ht="14.25" customHeigh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ht="14.25" customHeigh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4.25" customHeigh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spans="1:26" ht="14.25" customHeigh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spans="1:26" ht="14.25" customHeigh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spans="1:26" ht="14.25" customHeigh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spans="1:26" ht="14.25" customHeigh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spans="1:26" ht="14.25" customHeigh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spans="1:26" ht="14.25" customHeigh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spans="1:26" ht="14.25" customHeigh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spans="1:26" ht="14.25" customHeigh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spans="1:26" ht="14.25" customHeigh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spans="1:26" ht="14.25" customHeigh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spans="1:26" ht="14.25" customHeigh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spans="1:26" ht="14.25" customHeigh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spans="1:26" ht="14.25" customHeigh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26" ht="14.25" customHeigh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spans="1:26" ht="14.25" customHeigh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spans="1:26" ht="14.25" customHeigh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spans="1:26" ht="14.25" customHeigh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spans="1:26" ht="14.25" customHeigh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spans="1:26" ht="14.25" customHeigh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spans="1:26" ht="14.25" customHeigh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spans="1:26" ht="14.25" customHeigh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spans="1:26" ht="14.25" customHeigh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spans="1:26" ht="14.25" customHeigh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spans="1:26" ht="14.25" customHeigh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spans="1:26" ht="14.25" customHeigh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spans="1:26" ht="14.25" customHeigh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spans="1:26" ht="14.25" customHeigh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spans="1:26" ht="14.25" customHeigh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spans="1:26" ht="14.25" customHeigh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spans="1:26" ht="14.25" customHeigh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spans="1:26" ht="14.25" customHeigh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spans="1:26" ht="14.25" customHeigh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spans="1:26" ht="14.25" customHeigh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spans="1:26" ht="14.25" customHeigh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spans="1:26" ht="14.25" customHeigh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spans="1:26" ht="14.25" customHeigh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spans="1:26" ht="14.25" customHeigh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spans="1:26" ht="14.25" customHeigh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spans="1:26" ht="14.25" customHeigh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spans="1:26" ht="14.25" customHeigh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4.25" customHeigh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spans="1:26" ht="14.25" customHeigh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spans="1:26" ht="14.25" customHeigh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ht="14.25" customHeigh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4.25" customHeigh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spans="1:26" ht="14.25" customHeigh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spans="1:26" ht="14.25" customHeigh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spans="1:26" ht="14.25" customHeigh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spans="1:26" ht="14.25" customHeigh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spans="1:26" ht="14.25" customHeigh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spans="1:26" ht="14.25" customHeigh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spans="1:26" ht="14.25" customHeigh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spans="1:26" ht="14.25" customHeigh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spans="1:26" ht="14.25" customHeigh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spans="1:26" ht="14.25" customHeigh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spans="1:26" ht="14.25" customHeigh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spans="1:26" ht="14.25" customHeigh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spans="1:26" ht="14.25" customHeigh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spans="1:26" ht="14.25" customHeigh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spans="1:26" ht="14.25" customHeigh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spans="1:26" ht="14.25" customHeigh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spans="1:26" ht="14.25" customHeigh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spans="1:26" ht="14.25" customHeigh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spans="1:26" ht="14.25" customHeigh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spans="1:26" ht="14.25" customHeigh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spans="1:26" ht="14.25" customHeigh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spans="1:26" ht="14.25" customHeigh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spans="1:26" ht="14.25" customHeigh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spans="1:26" ht="14.25" customHeigh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spans="1:26" ht="14.25" customHeigh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4.25" customHeigh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spans="1:26" ht="14.25" customHeigh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spans="1:26" ht="14.25" customHeigh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spans="1:26" ht="14.25" customHeigh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spans="1:26" ht="14.25" customHeigh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spans="1:26" ht="14.25" customHeigh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4.25" customHeigh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4.25" customHeigh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4.25" customHeigh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4.25" customHeigh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4.25" customHeigh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4.25" customHeigh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ht="14.25" customHeigh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ht="14.25" customHeigh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4.25" customHeigh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spans="1:26" ht="14.25" customHeigh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spans="1:26" ht="14.25" customHeigh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spans="1:26" ht="14.25" customHeigh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spans="1:26" ht="14.25" customHeigh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spans="1:26" ht="14.25" customHeigh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spans="1:26" ht="14.25" customHeigh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spans="1:26" ht="14.25" customHeigh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spans="1:26" ht="14.25" customHeigh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spans="1:26" ht="14.25" customHeigh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spans="1:26" ht="14.25" customHeigh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spans="1:26" ht="14.25" customHeigh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spans="1:26" ht="14.25" customHeigh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spans="1:26" ht="14.25" customHeigh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spans="1:26" ht="14.25" customHeigh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spans="1:26" ht="14.25" customHeigh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spans="1:26" ht="14.25" customHeigh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spans="1:26" ht="14.25" customHeigh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spans="1:26" ht="14.25" customHeigh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spans="1:26" ht="14.25" customHeigh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spans="1:26" ht="14.25" customHeigh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spans="1:26" ht="14.25" customHeigh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spans="1:26" ht="14.25" customHeigh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spans="1:26" ht="14.25" customHeigh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spans="1:26" ht="14.25" customHeigh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spans="1:26" ht="14.25" customHeigh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spans="1:26" ht="14.25" customHeigh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spans="1:26" ht="14.25" customHeigh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spans="1:26" ht="14.25" customHeigh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spans="1:26" ht="14.25" customHeigh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spans="1:26" ht="14.25" customHeigh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spans="1:26" ht="14.25" customHeigh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spans="1:26" ht="14.25" customHeigh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spans="1:26" ht="14.25" customHeigh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spans="1:26" ht="14.25" customHeigh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spans="1:26" ht="14.25" customHeigh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spans="1:26" ht="14.25" customHeigh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spans="1:26" ht="14.25" customHeigh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spans="1:26" ht="14.25" customHeigh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spans="1:26" ht="14.25" customHeigh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spans="1:26" ht="14.25" customHeigh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spans="1:26" ht="14.25" customHeigh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spans="1:26" ht="14.25" customHeigh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spans="1:26" ht="14.25" customHeigh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spans="1:26" ht="14.25" customHeigh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spans="1:26" ht="14.25" customHeigh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spans="1:26" ht="14.25" customHeigh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spans="1:26" ht="14.25" customHeigh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spans="1:26" ht="14.25" customHeigh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spans="1:26" ht="14.25" customHeigh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spans="1:26" ht="14.25" customHeigh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spans="1:26" ht="14.25" customHeigh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spans="1:26" ht="14.25" customHeigh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spans="1:26" ht="14.25" customHeigh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spans="1:26" ht="14.25" customHeigh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spans="1:26" ht="14.25" customHeigh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spans="1:26" ht="14.25" customHeigh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spans="1:26" ht="14.25" customHeigh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spans="1:26" ht="14.25" customHeigh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spans="1:26" ht="14.25" customHeigh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spans="1:26" ht="14.25" customHeigh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spans="1:26" ht="14.25" customHeigh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spans="1:26" ht="14.25" customHeigh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spans="1:26" ht="14.25" customHeigh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spans="1:26" ht="14.25" customHeigh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spans="1:26" ht="14.25" customHeigh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spans="1:26" ht="14.25" customHeigh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spans="1:26" ht="14.25" customHeigh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spans="1:26" ht="14.25" customHeigh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spans="1:26" ht="14.25" customHeigh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spans="1:26" ht="14.25" customHeigh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spans="1:26" ht="14.25" customHeigh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spans="1:26" ht="14.25" customHeigh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spans="1:26" ht="14.25" customHeigh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spans="1:26" ht="14.25" customHeigh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spans="1:26" ht="14.25" customHeigh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spans="1:26" ht="14.25" customHeigh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spans="1:26" ht="14.25" customHeigh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spans="1:26" ht="14.25" customHeigh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spans="1:26" ht="14.25" customHeigh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spans="1:26" ht="14.25" customHeigh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spans="1:26" ht="14.25" customHeigh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spans="1:26" ht="14.25" customHeigh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spans="1:26" ht="14.25" customHeigh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spans="1:26" ht="14.25" customHeigh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spans="1:26" ht="14.25" customHeigh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spans="1:26" ht="14.25" customHeigh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spans="1:26" ht="14.25" customHeigh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spans="1:26" ht="14.25" customHeigh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spans="1:26" ht="14.25" customHeigh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spans="1:26" ht="14.25" customHeigh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spans="1:26" ht="14.25" customHeigh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spans="1:26" ht="14.25" customHeigh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spans="1:26" ht="14.25" customHeigh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spans="1:26" ht="14.25" customHeigh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spans="1:26" ht="14.25" customHeigh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spans="1:26" ht="14.25" customHeigh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spans="1:26" ht="14.25" customHeigh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spans="1:26" ht="14.25" customHeigh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spans="1:26" ht="14.25" customHeigh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spans="1:26" ht="14.25" customHeigh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spans="1:26" ht="14.25" customHeigh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spans="1:26" ht="14.25" customHeigh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spans="1:26" ht="14.25" customHeigh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spans="1:26" ht="14.25" customHeigh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spans="1:26" ht="14.25" customHeigh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spans="1:26" ht="14.25" customHeigh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spans="1:26" ht="14.25" customHeigh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spans="1:26" ht="14.25" customHeigh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spans="1:26" ht="14.25" customHeigh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spans="1:26" ht="14.25" customHeigh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spans="1:26" ht="14.25" customHeigh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spans="1:26" ht="14.25" customHeigh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spans="1:26" ht="14.25" customHeigh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spans="1:26" ht="14.25" customHeigh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spans="1:26" ht="14.25" customHeigh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spans="1:26" ht="14.25" customHeigh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spans="1:26" ht="14.25" customHeigh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spans="1:26" ht="14.25" customHeigh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spans="1:26" ht="14.25" customHeigh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spans="1:26" ht="14.25" customHeigh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spans="1:26" ht="14.25" customHeigh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spans="1:26" ht="14.25" customHeigh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spans="1:26" ht="14.25" customHeigh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spans="1:26" ht="14.25" customHeigh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spans="1:26" ht="14.25" customHeigh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spans="1:26" ht="14.25" customHeigh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spans="1:26" ht="14.25" customHeigh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spans="1:26" ht="14.25" customHeigh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spans="1:26" ht="14.25" customHeigh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spans="1:26" ht="14.25" customHeigh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spans="1:26" ht="14.25" customHeigh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spans="1:26" ht="14.25" customHeigh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spans="1:26" ht="14.25" customHeigh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spans="1:26" ht="14.25" customHeigh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spans="1:26" ht="14.25" customHeigh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spans="1:26" ht="14.25" customHeigh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spans="1:26" ht="14.25" customHeigh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spans="1:26" ht="14.25" customHeigh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spans="1:26" ht="14.25" customHeigh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spans="1:26" ht="14.25" customHeigh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spans="1:26" ht="14.25" customHeigh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spans="1:26" ht="14.25" customHeigh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spans="1:26" ht="14.25" customHeigh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spans="1:26" ht="14.25" customHeigh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spans="1:26" ht="14.25" customHeigh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spans="1:26" ht="14.25" customHeigh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spans="1:26" ht="14.25" customHeigh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spans="1:26" ht="14.25" customHeigh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spans="1:26" ht="14.25" customHeigh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spans="1:26" ht="14.25" customHeigh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spans="1:26" ht="14.25" customHeigh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spans="1:26" ht="14.25" customHeigh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spans="1:26" ht="14.25" customHeigh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spans="1:26" ht="14.25" customHeigh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4.25" customHeigh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4.25" customHeigh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4.25" customHeigh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4.25" customHeigh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4.25" customHeigh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4.25" customHeigh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4.25" customHeigh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4.25" customHeigh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4.25" customHeigh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4.25" customHeigh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4.25" customHeigh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4.25" customHeigh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4.25" customHeigh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4.25" customHeigh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4.25" customHeigh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4.25" customHeigh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4.25" customHeigh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4.25" customHeigh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4.25" customHeigh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4.25" customHeigh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4.25" customHeigh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4.25" customHeigh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4.25" customHeigh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4.25" customHeigh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4.25" customHeigh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4.25" customHeigh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4.25" customHeigh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4.25" customHeigh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4.25" customHeigh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4.25" customHeigh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4.25" customHeigh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4.25" customHeigh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4.25" customHeigh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4.25" customHeigh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4.25" customHeigh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4.25" customHeigh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4.25" customHeigh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4.25" customHeigh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4.25" customHeigh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4.25" customHeigh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4.25" customHeigh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4.25" customHeigh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4.25" customHeigh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4.25" customHeigh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4.25" customHeigh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4.25" customHeigh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4.25" customHeigh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4.25" customHeigh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4.25" customHeigh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4.25" customHeigh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4.25" customHeigh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4.25" customHeigh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4.25" customHeigh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4.25" customHeigh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4.25" customHeigh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4.25" customHeigh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4.25" customHeigh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4.25" customHeigh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4.25" customHeigh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4.25" customHeigh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4.25" customHeigh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4.25" customHeigh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4.25" customHeigh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4.25" customHeigh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4.25" customHeigh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4.25" customHeigh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4.25" customHeigh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4.25" customHeigh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4.25" customHeigh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4.25" customHeigh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4.25" customHeigh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4.25" customHeigh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4.25" customHeigh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4.25" customHeigh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4.25" customHeigh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4.25" customHeigh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4.25" customHeigh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4.25" customHeigh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4.25" customHeigh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4.25" customHeigh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4.25" customHeigh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4.25" customHeigh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4.25" customHeigh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4.25" customHeigh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4.25" customHeigh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4.25" customHeigh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4.25" customHeigh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4.25" customHeigh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4.25" customHeigh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4.25" customHeigh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4.25" customHeigh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4.25" customHeigh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4.25" customHeigh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4.25" customHeigh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4.25" customHeigh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4.25" customHeigh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4.25" customHeigh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4.25" customHeigh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4.25" customHeigh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4.25" customHeigh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4.25" customHeigh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4.25" customHeigh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4.25" customHeigh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4.25" customHeigh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4.25" customHeigh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4.25" customHeigh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4.25" customHeigh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4.25" customHeigh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4.25" customHeigh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4.25" customHeigh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4.25" customHeigh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4.25" customHeigh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4.25" customHeigh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4.25" customHeigh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4.25" customHeigh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4.25" customHeigh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4.25" customHeigh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4.25" customHeigh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4.25" customHeigh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4.25" customHeigh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4.25" customHeigh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4.25" customHeigh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4.25" customHeigh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4.25" customHeigh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4.25" customHeigh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4.25" customHeigh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4.25" customHeigh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4.25" customHeigh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4.25" customHeigh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4.25" customHeigh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4.25" customHeigh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4.25" customHeigh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4.25" customHeigh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4.25" customHeigh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4.25" customHeigh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4.25" customHeigh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4.25" customHeigh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4.25" customHeigh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4.25" customHeigh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4.25" customHeigh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4.25" customHeigh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4.25" customHeigh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4.25" customHeigh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4.25" customHeigh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4.25" customHeigh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4.25" customHeigh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4.25" customHeigh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4.25" customHeigh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4.25" customHeigh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4.25" customHeigh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4.25" customHeigh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4.25" customHeigh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4.25" customHeigh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4.25" customHeigh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4.25" customHeigh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4.25" customHeigh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4.25" customHeigh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4.25" customHeigh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4.25" customHeigh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4.25" customHeigh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4.25" customHeigh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4.25" customHeigh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4.25" customHeigh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4.25" customHeigh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4.25" customHeigh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4.25" customHeigh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4.25" customHeigh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4.25" customHeigh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4.25" customHeigh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4.25" customHeigh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4.25" customHeigh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4.25" customHeigh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4.25" customHeigh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4.25" customHeigh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4.25" customHeigh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4.25" customHeigh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4.25" customHeigh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4.25" customHeigh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4.25" customHeigh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4.25" customHeigh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4.25" customHeigh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4.25" customHeigh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4.25" customHeigh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4.25" customHeigh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4.25" customHeigh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4.25" customHeigh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4.25" customHeigh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4.25" customHeigh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4.25" customHeigh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4.25" customHeigh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4.25" customHeigh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4.25" customHeigh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4.25" customHeigh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4.25" customHeigh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4.25" customHeigh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4.25" customHeigh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4.25" customHeigh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4.25" customHeigh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4.25" customHeigh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4.25" customHeigh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4.25" customHeigh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4.25" customHeigh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4.25" customHeigh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4.25" customHeigh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4.25" customHeigh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4.25" customHeigh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4.25" customHeigh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4.25" customHeigh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4.25" customHeigh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4.25" customHeigh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4.25" customHeigh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4.25" customHeigh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4.25" customHeigh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4.25" customHeigh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4.25" customHeigh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4.25" customHeigh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4.25" customHeigh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4.25" customHeigh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4.25" customHeigh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4.25" customHeigh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4.25" customHeigh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4.25" customHeigh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4.25" customHeigh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4.25" customHeigh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4.25" customHeigh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4.25" customHeigh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4.25" customHeigh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4.25" customHeigh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4.25" customHeigh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4.25" customHeigh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4.25" customHeigh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4.25" customHeigh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4.25" customHeigh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4.25" customHeigh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4.25" customHeigh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4.25" customHeigh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4.25" customHeigh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4.25" customHeigh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4.25" customHeigh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4.25" customHeigh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4.25" customHeigh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4.25" customHeigh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4.25" customHeigh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4.25" customHeigh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4.25" customHeigh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4.25" customHeigh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4.25" customHeigh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4.25" customHeigh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4.25" customHeigh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4.25" customHeigh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4.25" customHeigh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4.25" customHeigh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4.25" customHeigh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4.25" customHeigh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4.25" customHeigh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4.25" customHeigh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4.25" customHeigh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4.25" customHeigh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4.25" customHeigh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4.25" customHeigh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4.25" customHeigh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4.25" customHeigh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4.25" customHeigh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4.25" customHeigh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4.25" customHeigh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4.25" customHeigh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4.25" customHeigh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4.25" customHeigh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4.25" customHeigh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4.25" customHeigh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4.25" customHeigh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4.25" customHeigh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4.25" customHeigh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4.25" customHeigh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4.25" customHeight="1" x14ac:dyDescent="0.25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4.25" customHeight="1" x14ac:dyDescent="0.25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4.25" customHeight="1" x14ac:dyDescent="0.25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spans="1:26" ht="14.25" customHeight="1" x14ac:dyDescent="0.25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" customHeight="1" x14ac:dyDescent="0.25"/>
  <cols>
    <col min="1" max="1" width="52.140625" customWidth="1"/>
    <col min="2" max="2" width="12.28515625" customWidth="1"/>
    <col min="3" max="3" width="4.7109375" customWidth="1"/>
    <col min="4" max="4" width="7.28515625" customWidth="1"/>
    <col min="5" max="5" width="9.85546875" customWidth="1"/>
    <col min="6" max="6" width="10.42578125" customWidth="1"/>
    <col min="7" max="7" width="13" customWidth="1"/>
    <col min="8" max="8" width="1.7109375" customWidth="1"/>
    <col min="9" max="9" width="29.7109375" customWidth="1"/>
    <col min="10" max="10" width="11.42578125" hidden="1" customWidth="1"/>
    <col min="11" max="11" width="10" customWidth="1"/>
    <col min="12" max="22" width="8.7109375" customWidth="1"/>
  </cols>
  <sheetData>
    <row r="1" spans="1:26" ht="15" customHeight="1" x14ac:dyDescent="0.25">
      <c r="A1" s="397" t="s">
        <v>736</v>
      </c>
      <c r="B1" s="397"/>
      <c r="C1" s="397" t="s">
        <v>737</v>
      </c>
      <c r="D1" s="397" t="s">
        <v>738</v>
      </c>
      <c r="E1" s="397" t="s">
        <v>739</v>
      </c>
      <c r="F1" s="397" t="s">
        <v>740</v>
      </c>
      <c r="G1" s="397" t="s">
        <v>741</v>
      </c>
      <c r="H1" s="397"/>
      <c r="I1" s="398" t="s">
        <v>742</v>
      </c>
      <c r="J1" s="396" t="s">
        <v>743</v>
      </c>
      <c r="K1" s="399"/>
      <c r="L1" s="400">
        <v>1</v>
      </c>
      <c r="M1" s="400">
        <v>2</v>
      </c>
      <c r="N1" s="400">
        <v>3</v>
      </c>
      <c r="O1" s="400">
        <v>4</v>
      </c>
      <c r="P1" s="400">
        <v>5</v>
      </c>
      <c r="Q1" s="400">
        <v>6</v>
      </c>
      <c r="R1" s="400">
        <v>7</v>
      </c>
      <c r="S1" s="400">
        <v>8</v>
      </c>
      <c r="T1" s="400">
        <v>9</v>
      </c>
      <c r="U1" s="400">
        <v>10</v>
      </c>
      <c r="V1" s="400">
        <v>11</v>
      </c>
      <c r="W1" s="79"/>
      <c r="X1" s="79"/>
      <c r="Y1" s="79"/>
      <c r="Z1" s="79"/>
    </row>
    <row r="2" spans="1:26" ht="6" customHeight="1" x14ac:dyDescent="0.25">
      <c r="A2" s="397"/>
      <c r="B2" s="397"/>
      <c r="C2" s="397"/>
      <c r="D2" s="397"/>
      <c r="E2" s="397"/>
      <c r="F2" s="397"/>
      <c r="G2" s="397"/>
      <c r="H2" s="397"/>
      <c r="I2" s="398"/>
      <c r="J2" s="396"/>
      <c r="K2" s="399"/>
      <c r="L2" s="396"/>
      <c r="M2" s="396"/>
      <c r="N2" s="396"/>
      <c r="O2" s="396"/>
      <c r="P2" s="396"/>
      <c r="Q2" s="396"/>
      <c r="R2" s="396"/>
      <c r="S2" s="79"/>
      <c r="T2" s="79"/>
      <c r="U2" s="79"/>
      <c r="V2" s="79"/>
      <c r="W2" s="79"/>
      <c r="X2" s="79"/>
      <c r="Y2" s="79"/>
      <c r="Z2" s="79"/>
    </row>
    <row r="3" spans="1:26" ht="15" customHeight="1" x14ac:dyDescent="0.25">
      <c r="A3" s="401" t="s">
        <v>483</v>
      </c>
      <c r="B3" s="401"/>
      <c r="C3" s="402">
        <v>1</v>
      </c>
      <c r="D3" s="402">
        <v>1</v>
      </c>
      <c r="E3" s="402">
        <f t="shared" ref="E3:E7" si="0">C3-D3</f>
        <v>0</v>
      </c>
      <c r="F3" s="403"/>
      <c r="G3" s="404">
        <v>350000</v>
      </c>
      <c r="H3" s="404"/>
      <c r="I3" s="405" t="s">
        <v>744</v>
      </c>
      <c r="J3" s="396"/>
      <c r="K3" s="399">
        <f t="shared" ref="K3:K5" si="1">SUM(L3:S3)</f>
        <v>350000</v>
      </c>
      <c r="L3" s="406">
        <f t="shared" ref="L3:L7" si="2">G3</f>
        <v>350000</v>
      </c>
      <c r="M3" s="396"/>
      <c r="N3" s="396"/>
      <c r="O3" s="396"/>
      <c r="P3" s="396"/>
      <c r="Q3" s="396"/>
      <c r="R3" s="396"/>
      <c r="S3" s="79"/>
      <c r="T3" s="79"/>
      <c r="U3" s="79"/>
      <c r="V3" s="79"/>
      <c r="W3" s="79"/>
      <c r="X3" s="79"/>
      <c r="Y3" s="79"/>
      <c r="Z3" s="79"/>
    </row>
    <row r="4" spans="1:26" ht="15" customHeight="1" x14ac:dyDescent="0.25">
      <c r="A4" s="401" t="s">
        <v>474</v>
      </c>
      <c r="B4" s="401"/>
      <c r="C4" s="402">
        <v>1</v>
      </c>
      <c r="D4" s="402">
        <v>1</v>
      </c>
      <c r="E4" s="402">
        <f t="shared" si="0"/>
        <v>0</v>
      </c>
      <c r="F4" s="403"/>
      <c r="G4" s="404">
        <v>250000</v>
      </c>
      <c r="H4" s="404"/>
      <c r="I4" s="405" t="s">
        <v>744</v>
      </c>
      <c r="J4" s="396"/>
      <c r="K4" s="399">
        <f t="shared" si="1"/>
        <v>250000</v>
      </c>
      <c r="L4" s="406">
        <f t="shared" si="2"/>
        <v>250000</v>
      </c>
      <c r="M4" s="396"/>
      <c r="N4" s="396"/>
      <c r="O4" s="396"/>
      <c r="P4" s="396"/>
      <c r="Q4" s="396"/>
      <c r="R4" s="396"/>
      <c r="S4" s="79"/>
      <c r="T4" s="79"/>
      <c r="U4" s="79"/>
      <c r="V4" s="79"/>
      <c r="W4" s="79"/>
      <c r="X4" s="79"/>
      <c r="Y4" s="79"/>
      <c r="Z4" s="79"/>
    </row>
    <row r="5" spans="1:26" ht="15" customHeight="1" x14ac:dyDescent="0.25">
      <c r="A5" s="401" t="s">
        <v>477</v>
      </c>
      <c r="B5" s="401"/>
      <c r="C5" s="402">
        <v>1</v>
      </c>
      <c r="D5" s="402">
        <v>1</v>
      </c>
      <c r="E5" s="402">
        <f t="shared" si="0"/>
        <v>0</v>
      </c>
      <c r="F5" s="403"/>
      <c r="G5" s="404">
        <v>300000</v>
      </c>
      <c r="H5" s="404"/>
      <c r="I5" s="405" t="s">
        <v>744</v>
      </c>
      <c r="J5" s="396"/>
      <c r="K5" s="399">
        <f t="shared" si="1"/>
        <v>300000</v>
      </c>
      <c r="L5" s="406">
        <f t="shared" si="2"/>
        <v>300000</v>
      </c>
      <c r="M5" s="396"/>
      <c r="N5" s="396"/>
      <c r="O5" s="396"/>
      <c r="P5" s="396"/>
      <c r="Q5" s="396"/>
      <c r="R5" s="396"/>
      <c r="S5" s="79"/>
      <c r="T5" s="79"/>
      <c r="U5" s="79"/>
      <c r="V5" s="79"/>
      <c r="W5" s="79"/>
      <c r="X5" s="79"/>
      <c r="Y5" s="79"/>
      <c r="Z5" s="79"/>
    </row>
    <row r="6" spans="1:26" ht="15" customHeight="1" x14ac:dyDescent="0.25">
      <c r="A6" s="401" t="s">
        <v>482</v>
      </c>
      <c r="B6" s="401"/>
      <c r="C6" s="402">
        <v>1</v>
      </c>
      <c r="D6" s="402">
        <v>0</v>
      </c>
      <c r="E6" s="402">
        <f t="shared" si="0"/>
        <v>1</v>
      </c>
      <c r="F6" s="403"/>
      <c r="G6" s="404">
        <v>300000</v>
      </c>
      <c r="H6" s="404"/>
      <c r="I6" s="405" t="s">
        <v>744</v>
      </c>
      <c r="J6" s="396"/>
      <c r="K6" s="399">
        <v>250000</v>
      </c>
      <c r="L6" s="396">
        <f t="shared" si="2"/>
        <v>300000</v>
      </c>
      <c r="M6" s="396"/>
      <c r="N6" s="396"/>
      <c r="O6" s="396"/>
      <c r="P6" s="396"/>
      <c r="Q6" s="396"/>
      <c r="R6" s="396"/>
      <c r="S6" s="79"/>
      <c r="T6" s="79"/>
      <c r="U6" s="79"/>
      <c r="V6" s="79"/>
      <c r="W6" s="79"/>
      <c r="X6" s="79"/>
      <c r="Y6" s="79"/>
      <c r="Z6" s="79"/>
    </row>
    <row r="7" spans="1:26" ht="15" customHeight="1" x14ac:dyDescent="0.25">
      <c r="A7" s="401" t="s">
        <v>480</v>
      </c>
      <c r="B7" s="401"/>
      <c r="C7" s="407">
        <v>1</v>
      </c>
      <c r="D7" s="407">
        <v>1</v>
      </c>
      <c r="E7" s="407">
        <f t="shared" si="0"/>
        <v>0</v>
      </c>
      <c r="F7" s="408"/>
      <c r="G7" s="409">
        <v>250000</v>
      </c>
      <c r="H7" s="409"/>
      <c r="I7" s="405" t="s">
        <v>744</v>
      </c>
      <c r="J7" s="396"/>
      <c r="K7" s="410">
        <f>SUM(L7:S7)</f>
        <v>250000</v>
      </c>
      <c r="L7" s="406">
        <f t="shared" si="2"/>
        <v>250000</v>
      </c>
      <c r="M7" s="396"/>
      <c r="N7" s="396"/>
      <c r="O7" s="396"/>
      <c r="P7" s="396"/>
      <c r="Q7" s="396"/>
      <c r="R7" s="396"/>
      <c r="S7" s="79"/>
      <c r="T7" s="79"/>
      <c r="U7" s="79"/>
      <c r="V7" s="79"/>
      <c r="W7" s="79"/>
      <c r="X7" s="79"/>
      <c r="Y7" s="79"/>
      <c r="Z7" s="79"/>
    </row>
    <row r="8" spans="1:26" ht="15" customHeight="1" x14ac:dyDescent="0.25">
      <c r="A8" s="411"/>
      <c r="B8" s="411"/>
      <c r="C8" s="412">
        <f t="shared" ref="C8:E8" si="3">SUM(C3:C7)</f>
        <v>5</v>
      </c>
      <c r="D8" s="412">
        <f t="shared" si="3"/>
        <v>4</v>
      </c>
      <c r="E8" s="412">
        <f t="shared" si="3"/>
        <v>1</v>
      </c>
      <c r="F8" s="413"/>
      <c r="G8" s="414">
        <f>SUM(G3:G7)</f>
        <v>1450000</v>
      </c>
      <c r="H8" s="414"/>
      <c r="I8" s="415"/>
      <c r="J8" s="416"/>
      <c r="K8" s="416">
        <f>SUM(K3:K7)</f>
        <v>1400000</v>
      </c>
      <c r="L8" s="416"/>
      <c r="M8" s="416"/>
      <c r="N8" s="416"/>
      <c r="O8" s="416"/>
      <c r="P8" s="416"/>
      <c r="Q8" s="416"/>
      <c r="R8" s="416"/>
      <c r="S8" s="417"/>
      <c r="T8" s="417"/>
      <c r="U8" s="417"/>
      <c r="V8" s="417"/>
      <c r="W8" s="417"/>
      <c r="X8" s="417"/>
      <c r="Y8" s="417"/>
      <c r="Z8" s="417"/>
    </row>
    <row r="9" spans="1:26" ht="7.5" customHeight="1" x14ac:dyDescent="0.25">
      <c r="A9" s="79"/>
      <c r="B9" s="79"/>
      <c r="C9" s="400"/>
      <c r="D9" s="400"/>
      <c r="E9" s="400"/>
      <c r="F9" s="418"/>
      <c r="G9" s="79"/>
      <c r="H9" s="79"/>
      <c r="I9" s="79"/>
      <c r="J9" s="79"/>
      <c r="K9" s="399"/>
      <c r="L9" s="396"/>
      <c r="M9" s="396"/>
      <c r="N9" s="396"/>
      <c r="O9" s="396"/>
      <c r="P9" s="396"/>
      <c r="Q9" s="396"/>
      <c r="R9" s="396"/>
      <c r="S9" s="79"/>
      <c r="T9" s="79"/>
      <c r="U9" s="79"/>
      <c r="V9" s="79"/>
      <c r="W9" s="79"/>
      <c r="X9" s="79"/>
      <c r="Y9" s="79"/>
      <c r="Z9" s="79"/>
    </row>
    <row r="10" spans="1:26" ht="15" customHeight="1" x14ac:dyDescent="0.25">
      <c r="A10" s="401" t="s">
        <v>745</v>
      </c>
      <c r="B10" s="403"/>
      <c r="C10" s="402">
        <v>1</v>
      </c>
      <c r="D10" s="402"/>
      <c r="E10" s="402">
        <f t="shared" ref="E10:E16" si="4">C10-D10</f>
        <v>1</v>
      </c>
      <c r="F10" s="403"/>
      <c r="G10" s="404">
        <v>175000</v>
      </c>
      <c r="H10" s="404"/>
      <c r="I10" s="405" t="s">
        <v>746</v>
      </c>
      <c r="J10" s="396"/>
      <c r="K10" s="399">
        <f t="shared" ref="K10:K13" si="5">SUM(L10:S10)</f>
        <v>175000</v>
      </c>
      <c r="L10" s="396">
        <v>175000</v>
      </c>
      <c r="M10" s="396"/>
      <c r="N10" s="396"/>
      <c r="O10" s="396"/>
      <c r="P10" s="396"/>
      <c r="Q10" s="396"/>
      <c r="R10" s="396"/>
      <c r="S10" s="79"/>
      <c r="T10" s="79"/>
      <c r="U10" s="79"/>
      <c r="V10" s="79"/>
      <c r="W10" s="79"/>
      <c r="X10" s="79"/>
      <c r="Y10" s="79"/>
      <c r="Z10" s="79"/>
    </row>
    <row r="11" spans="1:26" ht="15" customHeight="1" x14ac:dyDescent="0.25">
      <c r="A11" s="401" t="s">
        <v>747</v>
      </c>
      <c r="B11" s="403"/>
      <c r="C11" s="402">
        <v>4</v>
      </c>
      <c r="D11" s="402"/>
      <c r="E11" s="402">
        <f t="shared" si="4"/>
        <v>4</v>
      </c>
      <c r="F11" s="403"/>
      <c r="G11" s="404">
        <v>500000</v>
      </c>
      <c r="H11" s="404"/>
      <c r="I11" s="405" t="s">
        <v>746</v>
      </c>
      <c r="J11" s="396"/>
      <c r="K11" s="399">
        <f t="shared" si="5"/>
        <v>500000</v>
      </c>
      <c r="L11" s="396">
        <v>125000</v>
      </c>
      <c r="M11" s="396">
        <v>125000</v>
      </c>
      <c r="N11" s="396">
        <v>125000</v>
      </c>
      <c r="O11" s="396">
        <v>125000</v>
      </c>
      <c r="P11" s="396"/>
      <c r="Q11" s="396"/>
      <c r="R11" s="396"/>
      <c r="S11" s="79"/>
      <c r="T11" s="79"/>
      <c r="U11" s="79"/>
      <c r="V11" s="79"/>
      <c r="W11" s="79"/>
      <c r="X11" s="79"/>
      <c r="Y11" s="79"/>
      <c r="Z11" s="79"/>
    </row>
    <row r="12" spans="1:26" ht="15" customHeight="1" x14ac:dyDescent="0.25">
      <c r="A12" s="401" t="s">
        <v>748</v>
      </c>
      <c r="B12" s="403"/>
      <c r="C12" s="402">
        <v>1</v>
      </c>
      <c r="D12" s="402"/>
      <c r="E12" s="402">
        <f t="shared" si="4"/>
        <v>1</v>
      </c>
      <c r="F12" s="403"/>
      <c r="G12" s="404">
        <v>150000</v>
      </c>
      <c r="H12" s="404"/>
      <c r="I12" s="405" t="s">
        <v>746</v>
      </c>
      <c r="J12" s="396"/>
      <c r="K12" s="399">
        <f t="shared" si="5"/>
        <v>150000</v>
      </c>
      <c r="L12" s="396">
        <v>150000</v>
      </c>
      <c r="M12" s="396"/>
      <c r="N12" s="396"/>
      <c r="O12" s="396"/>
      <c r="P12" s="396"/>
      <c r="Q12" s="396"/>
      <c r="R12" s="396"/>
      <c r="S12" s="79"/>
      <c r="T12" s="79"/>
      <c r="U12" s="79"/>
      <c r="V12" s="79"/>
      <c r="W12" s="79"/>
      <c r="X12" s="79"/>
      <c r="Y12" s="79"/>
      <c r="Z12" s="79"/>
    </row>
    <row r="13" spans="1:26" ht="15" customHeight="1" x14ac:dyDescent="0.25">
      <c r="A13" s="401" t="s">
        <v>749</v>
      </c>
      <c r="B13" s="403"/>
      <c r="C13" s="402">
        <v>1</v>
      </c>
      <c r="D13" s="402"/>
      <c r="E13" s="402">
        <f t="shared" si="4"/>
        <v>1</v>
      </c>
      <c r="F13" s="403"/>
      <c r="G13" s="404">
        <v>100000</v>
      </c>
      <c r="H13" s="404"/>
      <c r="I13" s="405" t="s">
        <v>746</v>
      </c>
      <c r="J13" s="396"/>
      <c r="K13" s="399">
        <f t="shared" si="5"/>
        <v>100000</v>
      </c>
      <c r="L13" s="396">
        <v>100000</v>
      </c>
      <c r="M13" s="396"/>
      <c r="N13" s="396"/>
      <c r="O13" s="396"/>
      <c r="P13" s="396"/>
      <c r="Q13" s="396"/>
      <c r="R13" s="396"/>
      <c r="S13" s="79"/>
      <c r="T13" s="79"/>
      <c r="U13" s="79"/>
      <c r="V13" s="79"/>
      <c r="W13" s="79"/>
      <c r="X13" s="79"/>
      <c r="Y13" s="79"/>
      <c r="Z13" s="79"/>
    </row>
    <row r="14" spans="1:26" ht="15" customHeight="1" x14ac:dyDescent="0.25">
      <c r="A14" s="401" t="s">
        <v>750</v>
      </c>
      <c r="B14" s="401"/>
      <c r="C14" s="402">
        <v>11</v>
      </c>
      <c r="D14" s="402"/>
      <c r="E14" s="402">
        <f t="shared" si="4"/>
        <v>11</v>
      </c>
      <c r="F14" s="403"/>
      <c r="G14" s="404">
        <v>1575000</v>
      </c>
      <c r="H14" s="404"/>
      <c r="I14" s="405" t="s">
        <v>746</v>
      </c>
      <c r="J14" s="396"/>
      <c r="K14" s="399">
        <f>SUM(L14:AA14)</f>
        <v>1575000</v>
      </c>
      <c r="L14" s="396">
        <v>200000</v>
      </c>
      <c r="M14" s="396">
        <v>200000</v>
      </c>
      <c r="N14" s="396">
        <v>150000</v>
      </c>
      <c r="O14" s="396">
        <v>150000</v>
      </c>
      <c r="P14" s="396">
        <v>150000</v>
      </c>
      <c r="Q14" s="396">
        <v>150000</v>
      </c>
      <c r="R14" s="396">
        <v>150000</v>
      </c>
      <c r="S14" s="396">
        <v>125000</v>
      </c>
      <c r="T14" s="396">
        <v>100000</v>
      </c>
      <c r="U14" s="396">
        <v>100000</v>
      </c>
      <c r="V14" s="396">
        <v>100000</v>
      </c>
      <c r="W14" s="79"/>
      <c r="X14" s="79"/>
      <c r="Y14" s="79"/>
      <c r="Z14" s="79"/>
    </row>
    <row r="15" spans="1:26" ht="15" customHeight="1" x14ac:dyDescent="0.25">
      <c r="A15" s="401" t="s">
        <v>751</v>
      </c>
      <c r="B15" s="403" t="s">
        <v>217</v>
      </c>
      <c r="C15" s="402">
        <v>7</v>
      </c>
      <c r="D15" s="402">
        <v>2</v>
      </c>
      <c r="E15" s="402">
        <f t="shared" si="4"/>
        <v>5</v>
      </c>
      <c r="F15" s="403"/>
      <c r="G15" s="404">
        <v>760000</v>
      </c>
      <c r="H15" s="404"/>
      <c r="I15" s="405" t="s">
        <v>746</v>
      </c>
      <c r="J15" s="396"/>
      <c r="K15" s="399">
        <f t="shared" ref="K15:K29" si="6">SUM(L15:S15)</f>
        <v>760000</v>
      </c>
      <c r="L15" s="396">
        <v>100000</v>
      </c>
      <c r="M15" s="396">
        <v>100000</v>
      </c>
      <c r="N15" s="396">
        <v>100000</v>
      </c>
      <c r="O15" s="396">
        <v>100000</v>
      </c>
      <c r="P15" s="396">
        <v>100000</v>
      </c>
      <c r="Q15" s="396">
        <v>125000</v>
      </c>
      <c r="R15" s="396">
        <v>135000</v>
      </c>
      <c r="S15" s="79"/>
      <c r="T15" s="79"/>
      <c r="U15" s="79"/>
      <c r="V15" s="79"/>
      <c r="W15" s="79"/>
      <c r="X15" s="79"/>
      <c r="Y15" s="79"/>
      <c r="Z15" s="79"/>
    </row>
    <row r="16" spans="1:26" ht="15" customHeight="1" x14ac:dyDescent="0.25">
      <c r="A16" s="401" t="s">
        <v>752</v>
      </c>
      <c r="B16" s="419" t="s">
        <v>753</v>
      </c>
      <c r="C16" s="402"/>
      <c r="D16" s="402"/>
      <c r="E16" s="402">
        <f t="shared" si="4"/>
        <v>0</v>
      </c>
      <c r="F16" s="403">
        <f t="shared" ref="F16:F29" si="7">G16</f>
        <v>300000</v>
      </c>
      <c r="G16" s="404">
        <v>300000</v>
      </c>
      <c r="H16" s="404"/>
      <c r="I16" s="405" t="s">
        <v>746</v>
      </c>
      <c r="J16" s="396">
        <v>5900000</v>
      </c>
      <c r="K16" s="399">
        <f t="shared" si="6"/>
        <v>0</v>
      </c>
      <c r="L16" s="396"/>
      <c r="M16" s="396"/>
      <c r="N16" s="396"/>
      <c r="O16" s="396"/>
      <c r="P16" s="396"/>
      <c r="Q16" s="396"/>
      <c r="R16" s="396"/>
      <c r="S16" s="79"/>
      <c r="T16" s="79"/>
      <c r="U16" s="79"/>
      <c r="V16" s="79"/>
      <c r="W16" s="79"/>
      <c r="X16" s="79"/>
      <c r="Y16" s="79"/>
      <c r="Z16" s="79"/>
    </row>
    <row r="17" spans="1:26" ht="15" customHeight="1" x14ac:dyDescent="0.25">
      <c r="A17" s="420" t="s">
        <v>754</v>
      </c>
      <c r="B17" s="421"/>
      <c r="C17" s="422"/>
      <c r="D17" s="422"/>
      <c r="E17" s="422"/>
      <c r="F17" s="421">
        <f t="shared" si="7"/>
        <v>300000</v>
      </c>
      <c r="G17" s="423">
        <v>300000</v>
      </c>
      <c r="H17" s="423"/>
      <c r="I17" s="424" t="s">
        <v>746</v>
      </c>
      <c r="J17" s="425"/>
      <c r="K17" s="426">
        <f t="shared" si="6"/>
        <v>0</v>
      </c>
      <c r="L17" s="425"/>
      <c r="M17" s="425"/>
      <c r="N17" s="425"/>
      <c r="O17" s="425"/>
      <c r="P17" s="425"/>
      <c r="Q17" s="425"/>
      <c r="R17" s="425"/>
      <c r="S17" s="427"/>
      <c r="T17" s="427"/>
      <c r="U17" s="427"/>
      <c r="V17" s="427"/>
      <c r="W17" s="427"/>
      <c r="X17" s="427"/>
      <c r="Y17" s="427"/>
      <c r="Z17" s="427"/>
    </row>
    <row r="18" spans="1:26" ht="15" customHeight="1" x14ac:dyDescent="0.25">
      <c r="A18" s="401" t="s">
        <v>170</v>
      </c>
      <c r="B18" s="403"/>
      <c r="C18" s="402"/>
      <c r="D18" s="402"/>
      <c r="E18" s="402"/>
      <c r="F18" s="403">
        <f t="shared" si="7"/>
        <v>320000</v>
      </c>
      <c r="G18" s="404">
        <v>320000</v>
      </c>
      <c r="H18" s="404"/>
      <c r="I18" s="405" t="s">
        <v>746</v>
      </c>
      <c r="J18" s="396"/>
      <c r="K18" s="399">
        <f t="shared" si="6"/>
        <v>0</v>
      </c>
      <c r="L18" s="396"/>
      <c r="M18" s="396"/>
      <c r="N18" s="396"/>
      <c r="O18" s="396"/>
      <c r="P18" s="396"/>
      <c r="Q18" s="396"/>
      <c r="R18" s="396"/>
      <c r="S18" s="79"/>
      <c r="T18" s="79"/>
      <c r="U18" s="79"/>
      <c r="V18" s="79"/>
      <c r="W18" s="79"/>
      <c r="X18" s="79"/>
      <c r="Y18" s="79"/>
      <c r="Z18" s="79"/>
    </row>
    <row r="19" spans="1:26" ht="15" customHeight="1" x14ac:dyDescent="0.25">
      <c r="A19" s="401" t="s">
        <v>171</v>
      </c>
      <c r="B19" s="403"/>
      <c r="C19" s="402"/>
      <c r="D19" s="402"/>
      <c r="E19" s="402"/>
      <c r="F19" s="403">
        <f t="shared" si="7"/>
        <v>200000</v>
      </c>
      <c r="G19" s="404">
        <v>200000</v>
      </c>
      <c r="H19" s="404"/>
      <c r="I19" s="405" t="s">
        <v>746</v>
      </c>
      <c r="J19" s="396"/>
      <c r="K19" s="399">
        <f t="shared" si="6"/>
        <v>0</v>
      </c>
      <c r="L19" s="396"/>
      <c r="M19" s="396"/>
      <c r="N19" s="396"/>
      <c r="O19" s="396"/>
      <c r="P19" s="396"/>
      <c r="Q19" s="396"/>
      <c r="R19" s="396"/>
      <c r="S19" s="79"/>
      <c r="T19" s="79"/>
      <c r="U19" s="79"/>
      <c r="V19" s="79"/>
      <c r="W19" s="79"/>
      <c r="X19" s="79"/>
      <c r="Y19" s="79"/>
      <c r="Z19" s="79"/>
    </row>
    <row r="20" spans="1:26" ht="15" customHeight="1" x14ac:dyDescent="0.25">
      <c r="A20" s="401" t="s">
        <v>167</v>
      </c>
      <c r="B20" s="403"/>
      <c r="C20" s="402"/>
      <c r="D20" s="402"/>
      <c r="E20" s="402"/>
      <c r="F20" s="403">
        <f t="shared" si="7"/>
        <v>180000</v>
      </c>
      <c r="G20" s="404">
        <v>180000</v>
      </c>
      <c r="H20" s="404"/>
      <c r="I20" s="405" t="s">
        <v>746</v>
      </c>
      <c r="J20" s="396"/>
      <c r="K20" s="399">
        <f t="shared" si="6"/>
        <v>0</v>
      </c>
      <c r="L20" s="396"/>
      <c r="M20" s="396"/>
      <c r="N20" s="396"/>
      <c r="O20" s="396"/>
      <c r="P20" s="396"/>
      <c r="Q20" s="396"/>
      <c r="R20" s="396"/>
      <c r="S20" s="79"/>
      <c r="T20" s="79"/>
      <c r="U20" s="79"/>
      <c r="V20" s="79"/>
      <c r="W20" s="79"/>
      <c r="X20" s="79"/>
      <c r="Y20" s="79"/>
      <c r="Z20" s="79"/>
    </row>
    <row r="21" spans="1:26" ht="15" customHeight="1" x14ac:dyDescent="0.25">
      <c r="A21" s="401" t="s">
        <v>172</v>
      </c>
      <c r="B21" s="403"/>
      <c r="C21" s="402"/>
      <c r="D21" s="402"/>
      <c r="E21" s="402"/>
      <c r="F21" s="403">
        <f t="shared" si="7"/>
        <v>200000</v>
      </c>
      <c r="G21" s="404">
        <v>200000</v>
      </c>
      <c r="H21" s="404"/>
      <c r="I21" s="405" t="s">
        <v>746</v>
      </c>
      <c r="J21" s="396"/>
      <c r="K21" s="399">
        <f t="shared" si="6"/>
        <v>0</v>
      </c>
      <c r="L21" s="396"/>
      <c r="M21" s="396"/>
      <c r="N21" s="396"/>
      <c r="O21" s="396"/>
      <c r="P21" s="396"/>
      <c r="Q21" s="396"/>
      <c r="R21" s="396"/>
      <c r="S21" s="79"/>
      <c r="T21" s="79"/>
      <c r="U21" s="79"/>
      <c r="V21" s="79"/>
      <c r="W21" s="79"/>
      <c r="X21" s="79"/>
      <c r="Y21" s="79"/>
      <c r="Z21" s="79"/>
    </row>
    <row r="22" spans="1:26" ht="15" customHeight="1" x14ac:dyDescent="0.25">
      <c r="A22" s="401" t="s">
        <v>755</v>
      </c>
      <c r="B22" s="403"/>
      <c r="C22" s="402"/>
      <c r="D22" s="402"/>
      <c r="E22" s="402"/>
      <c r="F22" s="403">
        <f t="shared" si="7"/>
        <v>400000</v>
      </c>
      <c r="G22" s="404">
        <v>400000</v>
      </c>
      <c r="H22" s="404"/>
      <c r="I22" s="405" t="s">
        <v>746</v>
      </c>
      <c r="J22" s="396"/>
      <c r="K22" s="399">
        <f t="shared" si="6"/>
        <v>0</v>
      </c>
      <c r="L22" s="396"/>
      <c r="M22" s="396"/>
      <c r="N22" s="396"/>
      <c r="O22" s="396"/>
      <c r="P22" s="396"/>
      <c r="Q22" s="396"/>
      <c r="R22" s="396"/>
      <c r="S22" s="79"/>
      <c r="T22" s="79"/>
      <c r="U22" s="79"/>
      <c r="V22" s="79"/>
      <c r="W22" s="79"/>
      <c r="X22" s="79"/>
      <c r="Y22" s="79"/>
      <c r="Z22" s="79"/>
    </row>
    <row r="23" spans="1:26" ht="15" customHeight="1" x14ac:dyDescent="0.25">
      <c r="A23" s="401" t="s">
        <v>174</v>
      </c>
      <c r="B23" s="403"/>
      <c r="C23" s="402"/>
      <c r="D23" s="402"/>
      <c r="E23" s="402"/>
      <c r="F23" s="403">
        <f t="shared" si="7"/>
        <v>200000</v>
      </c>
      <c r="G23" s="404">
        <v>200000</v>
      </c>
      <c r="H23" s="404"/>
      <c r="I23" s="405" t="s">
        <v>746</v>
      </c>
      <c r="J23" s="396"/>
      <c r="K23" s="399">
        <f t="shared" si="6"/>
        <v>0</v>
      </c>
      <c r="L23" s="396"/>
      <c r="M23" s="396"/>
      <c r="N23" s="396"/>
      <c r="O23" s="396"/>
      <c r="P23" s="396"/>
      <c r="Q23" s="396"/>
      <c r="R23" s="396"/>
      <c r="S23" s="79"/>
      <c r="T23" s="79"/>
      <c r="U23" s="79"/>
      <c r="V23" s="79"/>
      <c r="W23" s="79"/>
      <c r="X23" s="79"/>
      <c r="Y23" s="79"/>
      <c r="Z23" s="79"/>
    </row>
    <row r="24" spans="1:26" ht="15" customHeight="1" x14ac:dyDescent="0.25">
      <c r="A24" s="401" t="s">
        <v>756</v>
      </c>
      <c r="B24" s="403"/>
      <c r="C24" s="402"/>
      <c r="D24" s="402"/>
      <c r="E24" s="402"/>
      <c r="F24" s="403">
        <f t="shared" si="7"/>
        <v>150000</v>
      </c>
      <c r="G24" s="404">
        <v>150000</v>
      </c>
      <c r="H24" s="404"/>
      <c r="I24" s="405" t="s">
        <v>746</v>
      </c>
      <c r="J24" s="396"/>
      <c r="K24" s="399">
        <f t="shared" si="6"/>
        <v>0</v>
      </c>
      <c r="L24" s="396"/>
      <c r="M24" s="396"/>
      <c r="N24" s="396"/>
      <c r="O24" s="396"/>
      <c r="P24" s="396"/>
      <c r="Q24" s="396"/>
      <c r="R24" s="396"/>
      <c r="S24" s="79"/>
      <c r="T24" s="79"/>
      <c r="U24" s="79"/>
      <c r="V24" s="79"/>
      <c r="W24" s="79"/>
      <c r="X24" s="79"/>
      <c r="Y24" s="79"/>
      <c r="Z24" s="79"/>
    </row>
    <row r="25" spans="1:26" ht="15" customHeight="1" x14ac:dyDescent="0.25">
      <c r="A25" s="401" t="s">
        <v>177</v>
      </c>
      <c r="B25" s="403"/>
      <c r="C25" s="402"/>
      <c r="D25" s="402"/>
      <c r="E25" s="402"/>
      <c r="F25" s="403">
        <f t="shared" si="7"/>
        <v>300000</v>
      </c>
      <c r="G25" s="404">
        <v>300000</v>
      </c>
      <c r="H25" s="404"/>
      <c r="I25" s="405" t="s">
        <v>746</v>
      </c>
      <c r="J25" s="396"/>
      <c r="K25" s="399">
        <f t="shared" si="6"/>
        <v>0</v>
      </c>
      <c r="L25" s="396"/>
      <c r="M25" s="396"/>
      <c r="N25" s="396"/>
      <c r="O25" s="396"/>
      <c r="P25" s="396"/>
      <c r="Q25" s="396"/>
      <c r="R25" s="396"/>
      <c r="S25" s="79"/>
      <c r="T25" s="79"/>
      <c r="U25" s="79"/>
      <c r="V25" s="79"/>
      <c r="W25" s="79"/>
      <c r="X25" s="79"/>
      <c r="Y25" s="79"/>
      <c r="Z25" s="79"/>
    </row>
    <row r="26" spans="1:26" ht="15" customHeight="1" x14ac:dyDescent="0.25">
      <c r="A26" s="401" t="s">
        <v>179</v>
      </c>
      <c r="B26" s="403"/>
      <c r="C26" s="402"/>
      <c r="D26" s="402"/>
      <c r="E26" s="402"/>
      <c r="F26" s="403">
        <f t="shared" si="7"/>
        <v>320000</v>
      </c>
      <c r="G26" s="404">
        <v>320000</v>
      </c>
      <c r="H26" s="404"/>
      <c r="I26" s="405" t="s">
        <v>746</v>
      </c>
      <c r="J26" s="396"/>
      <c r="K26" s="399">
        <f t="shared" si="6"/>
        <v>0</v>
      </c>
      <c r="L26" s="396"/>
      <c r="M26" s="396"/>
      <c r="N26" s="396"/>
      <c r="O26" s="396"/>
      <c r="P26" s="396"/>
      <c r="Q26" s="396"/>
      <c r="R26" s="396"/>
      <c r="S26" s="79"/>
      <c r="T26" s="79"/>
      <c r="U26" s="79"/>
      <c r="V26" s="79"/>
      <c r="W26" s="79"/>
      <c r="X26" s="79"/>
      <c r="Y26" s="79"/>
      <c r="Z26" s="79"/>
    </row>
    <row r="27" spans="1:26" ht="15" customHeight="1" x14ac:dyDescent="0.25">
      <c r="A27" s="401" t="s">
        <v>166</v>
      </c>
      <c r="B27" s="419" t="s">
        <v>757</v>
      </c>
      <c r="C27" s="402"/>
      <c r="D27" s="402"/>
      <c r="E27" s="402"/>
      <c r="F27" s="403">
        <f t="shared" si="7"/>
        <v>140000</v>
      </c>
      <c r="G27" s="404">
        <v>140000</v>
      </c>
      <c r="H27" s="404"/>
      <c r="I27" s="405" t="s">
        <v>746</v>
      </c>
      <c r="J27" s="396"/>
      <c r="K27" s="399">
        <f t="shared" si="6"/>
        <v>0</v>
      </c>
      <c r="L27" s="396"/>
      <c r="M27" s="396"/>
      <c r="N27" s="396"/>
      <c r="O27" s="396"/>
      <c r="P27" s="396"/>
      <c r="Q27" s="396"/>
      <c r="R27" s="396"/>
      <c r="S27" s="79"/>
      <c r="T27" s="79"/>
      <c r="U27" s="79"/>
      <c r="V27" s="79"/>
      <c r="W27" s="79"/>
      <c r="X27" s="79"/>
      <c r="Y27" s="79"/>
      <c r="Z27" s="79"/>
    </row>
    <row r="28" spans="1:26" ht="15" customHeight="1" x14ac:dyDescent="0.25">
      <c r="A28" s="401" t="s">
        <v>180</v>
      </c>
      <c r="B28" s="403"/>
      <c r="C28" s="402"/>
      <c r="D28" s="402"/>
      <c r="E28" s="402"/>
      <c r="F28" s="403">
        <f t="shared" si="7"/>
        <v>75000</v>
      </c>
      <c r="G28" s="404">
        <v>75000</v>
      </c>
      <c r="H28" s="404"/>
      <c r="I28" s="405" t="s">
        <v>746</v>
      </c>
      <c r="J28" s="396"/>
      <c r="K28" s="399">
        <f t="shared" si="6"/>
        <v>0</v>
      </c>
      <c r="L28" s="396"/>
      <c r="M28" s="396"/>
      <c r="N28" s="396"/>
      <c r="O28" s="396"/>
      <c r="P28" s="396"/>
      <c r="Q28" s="396"/>
      <c r="R28" s="396"/>
      <c r="S28" s="79"/>
      <c r="T28" s="79"/>
      <c r="U28" s="79"/>
      <c r="V28" s="79"/>
      <c r="W28" s="79"/>
      <c r="X28" s="79"/>
      <c r="Y28" s="79"/>
      <c r="Z28" s="79"/>
    </row>
    <row r="29" spans="1:26" ht="15" customHeight="1" x14ac:dyDescent="0.25">
      <c r="A29" s="401" t="s">
        <v>169</v>
      </c>
      <c r="B29" s="403" t="s">
        <v>758</v>
      </c>
      <c r="C29" s="402"/>
      <c r="D29" s="402"/>
      <c r="E29" s="402"/>
      <c r="F29" s="408">
        <f t="shared" si="7"/>
        <v>20000</v>
      </c>
      <c r="G29" s="409">
        <v>20000</v>
      </c>
      <c r="H29" s="409"/>
      <c r="I29" s="428" t="s">
        <v>746</v>
      </c>
      <c r="J29" s="429"/>
      <c r="K29" s="410">
        <f t="shared" si="6"/>
        <v>0</v>
      </c>
      <c r="L29" s="396"/>
      <c r="M29" s="396"/>
      <c r="N29" s="396"/>
      <c r="O29" s="396"/>
      <c r="P29" s="396"/>
      <c r="Q29" s="396"/>
      <c r="R29" s="396"/>
      <c r="S29" s="79"/>
      <c r="T29" s="79"/>
      <c r="U29" s="79"/>
      <c r="V29" s="79"/>
      <c r="W29" s="79"/>
      <c r="X29" s="79"/>
      <c r="Y29" s="79"/>
      <c r="Z29" s="79"/>
    </row>
    <row r="30" spans="1:26" ht="15" customHeight="1" x14ac:dyDescent="0.25">
      <c r="A30" s="430"/>
      <c r="B30" s="431"/>
      <c r="C30" s="412">
        <f t="shared" ref="C30:G30" si="8">SUM(C10:C29)</f>
        <v>25</v>
      </c>
      <c r="D30" s="412">
        <f t="shared" si="8"/>
        <v>2</v>
      </c>
      <c r="E30" s="412">
        <f t="shared" si="8"/>
        <v>23</v>
      </c>
      <c r="F30" s="413">
        <f t="shared" si="8"/>
        <v>3105000</v>
      </c>
      <c r="G30" s="414">
        <f t="shared" si="8"/>
        <v>6365000</v>
      </c>
      <c r="H30" s="414"/>
      <c r="I30" s="432"/>
      <c r="J30" s="433"/>
      <c r="K30" s="434">
        <f>SUM(K10:K29)</f>
        <v>3260000</v>
      </c>
      <c r="L30" s="433"/>
      <c r="M30" s="433"/>
      <c r="N30" s="433"/>
      <c r="O30" s="433"/>
      <c r="P30" s="433"/>
      <c r="Q30" s="433"/>
      <c r="R30" s="433"/>
      <c r="S30" s="432"/>
      <c r="T30" s="432"/>
      <c r="U30" s="432"/>
      <c r="V30" s="432"/>
      <c r="W30" s="432"/>
      <c r="X30" s="432"/>
      <c r="Y30" s="432"/>
      <c r="Z30" s="432"/>
    </row>
    <row r="31" spans="1:26" ht="3.75" customHeight="1" x14ac:dyDescent="0.25">
      <c r="A31" s="401"/>
      <c r="B31" s="79"/>
      <c r="C31" s="400"/>
      <c r="D31" s="400"/>
      <c r="E31" s="400"/>
      <c r="F31" s="418"/>
      <c r="G31" s="79"/>
      <c r="H31" s="79"/>
      <c r="I31" s="79"/>
      <c r="J31" s="396"/>
      <c r="K31" s="399"/>
      <c r="L31" s="396"/>
      <c r="M31" s="396"/>
      <c r="N31" s="396"/>
      <c r="O31" s="396"/>
      <c r="P31" s="396"/>
      <c r="Q31" s="396"/>
      <c r="R31" s="396"/>
      <c r="S31" s="79"/>
      <c r="T31" s="79"/>
      <c r="U31" s="79"/>
      <c r="V31" s="79"/>
      <c r="W31" s="79"/>
      <c r="X31" s="79"/>
      <c r="Y31" s="79"/>
      <c r="Z31" s="79"/>
    </row>
    <row r="32" spans="1:26" ht="15" customHeight="1" x14ac:dyDescent="0.25">
      <c r="A32" s="401" t="s">
        <v>759</v>
      </c>
      <c r="B32" s="401"/>
      <c r="C32" s="402">
        <v>2</v>
      </c>
      <c r="D32" s="402"/>
      <c r="E32" s="402">
        <f>C32-D32</f>
        <v>2</v>
      </c>
      <c r="F32" s="435">
        <f t="shared" ref="F32:F36" si="9">G32</f>
        <v>625000</v>
      </c>
      <c r="G32" s="404">
        <v>625000</v>
      </c>
      <c r="H32" s="404"/>
      <c r="I32" s="405" t="s">
        <v>760</v>
      </c>
      <c r="J32" s="396"/>
      <c r="K32" s="399"/>
      <c r="L32" s="396"/>
      <c r="M32" s="396"/>
      <c r="N32" s="396"/>
      <c r="O32" s="396"/>
      <c r="P32" s="396"/>
      <c r="Q32" s="396"/>
      <c r="R32" s="396"/>
      <c r="S32" s="79"/>
      <c r="T32" s="79"/>
      <c r="U32" s="79"/>
      <c r="V32" s="79"/>
      <c r="W32" s="79"/>
      <c r="X32" s="79"/>
      <c r="Y32" s="79"/>
      <c r="Z32" s="79"/>
    </row>
    <row r="33" spans="1:26" ht="15" customHeight="1" x14ac:dyDescent="0.25">
      <c r="A33" s="401" t="s">
        <v>761</v>
      </c>
      <c r="B33" s="401"/>
      <c r="C33" s="402"/>
      <c r="D33" s="402"/>
      <c r="E33" s="402"/>
      <c r="F33" s="403">
        <f t="shared" si="9"/>
        <v>275000</v>
      </c>
      <c r="G33" s="404">
        <v>275000</v>
      </c>
      <c r="H33" s="404"/>
      <c r="I33" s="405" t="s">
        <v>760</v>
      </c>
      <c r="J33" s="396"/>
      <c r="K33" s="399"/>
      <c r="L33" s="396"/>
      <c r="M33" s="396"/>
      <c r="N33" s="396"/>
      <c r="O33" s="396"/>
      <c r="P33" s="396"/>
      <c r="Q33" s="396"/>
      <c r="R33" s="396"/>
      <c r="S33" s="79"/>
      <c r="T33" s="79"/>
      <c r="U33" s="79"/>
      <c r="V33" s="79"/>
      <c r="W33" s="79"/>
      <c r="X33" s="79"/>
      <c r="Y33" s="79"/>
      <c r="Z33" s="79"/>
    </row>
    <row r="34" spans="1:26" ht="15" customHeight="1" x14ac:dyDescent="0.25">
      <c r="A34" s="401" t="s">
        <v>186</v>
      </c>
      <c r="B34" s="401"/>
      <c r="C34" s="402"/>
      <c r="D34" s="402"/>
      <c r="E34" s="402"/>
      <c r="F34" s="403">
        <f t="shared" si="9"/>
        <v>175000</v>
      </c>
      <c r="G34" s="404">
        <v>175000</v>
      </c>
      <c r="H34" s="404"/>
      <c r="I34" s="405" t="s">
        <v>760</v>
      </c>
      <c r="J34" s="396"/>
      <c r="K34" s="399"/>
      <c r="L34" s="396"/>
      <c r="M34" s="396"/>
      <c r="N34" s="396"/>
      <c r="O34" s="396"/>
      <c r="P34" s="396"/>
      <c r="Q34" s="396"/>
      <c r="R34" s="396"/>
      <c r="S34" s="79"/>
      <c r="T34" s="79"/>
      <c r="U34" s="79"/>
      <c r="V34" s="79"/>
      <c r="W34" s="79"/>
      <c r="X34" s="79"/>
      <c r="Y34" s="79"/>
      <c r="Z34" s="79"/>
    </row>
    <row r="35" spans="1:26" ht="15" customHeight="1" x14ac:dyDescent="0.25">
      <c r="A35" s="401" t="s">
        <v>188</v>
      </c>
      <c r="B35" s="401"/>
      <c r="C35" s="402"/>
      <c r="D35" s="402"/>
      <c r="E35" s="402"/>
      <c r="F35" s="403">
        <f t="shared" si="9"/>
        <v>325000</v>
      </c>
      <c r="G35" s="404">
        <v>325000</v>
      </c>
      <c r="H35" s="404"/>
      <c r="I35" s="405" t="s">
        <v>760</v>
      </c>
      <c r="J35" s="396"/>
      <c r="K35" s="399"/>
      <c r="L35" s="396"/>
      <c r="M35" s="396"/>
      <c r="N35" s="396"/>
      <c r="O35" s="396"/>
      <c r="P35" s="396"/>
      <c r="Q35" s="396"/>
      <c r="R35" s="396"/>
      <c r="S35" s="79"/>
      <c r="T35" s="79"/>
      <c r="U35" s="79"/>
      <c r="V35" s="79"/>
      <c r="W35" s="79"/>
      <c r="X35" s="79"/>
      <c r="Y35" s="79"/>
      <c r="Z35" s="79"/>
    </row>
    <row r="36" spans="1:26" ht="15" customHeight="1" x14ac:dyDescent="0.25">
      <c r="A36" s="401" t="s">
        <v>190</v>
      </c>
      <c r="B36" s="401"/>
      <c r="C36" s="402"/>
      <c r="D36" s="402"/>
      <c r="E36" s="402"/>
      <c r="F36" s="403">
        <f t="shared" si="9"/>
        <v>80000</v>
      </c>
      <c r="G36" s="404">
        <v>80000</v>
      </c>
      <c r="H36" s="404"/>
      <c r="I36" s="405" t="s">
        <v>760</v>
      </c>
      <c r="J36" s="396"/>
      <c r="K36" s="399"/>
      <c r="L36" s="396"/>
      <c r="M36" s="396"/>
      <c r="N36" s="396"/>
      <c r="O36" s="396"/>
      <c r="P36" s="396"/>
      <c r="Q36" s="396"/>
      <c r="R36" s="396"/>
      <c r="S36" s="79"/>
      <c r="T36" s="79"/>
      <c r="U36" s="79"/>
      <c r="V36" s="79"/>
      <c r="W36" s="79"/>
      <c r="X36" s="79"/>
      <c r="Y36" s="79"/>
      <c r="Z36" s="79"/>
    </row>
    <row r="37" spans="1:26" ht="15" customHeight="1" x14ac:dyDescent="0.25">
      <c r="A37" s="401" t="s">
        <v>762</v>
      </c>
      <c r="B37" s="401"/>
      <c r="C37" s="402">
        <v>2</v>
      </c>
      <c r="D37" s="402"/>
      <c r="E37" s="402">
        <f t="shared" ref="E37:E42" si="10">C37-D37</f>
        <v>2</v>
      </c>
      <c r="F37" s="403"/>
      <c r="G37" s="404">
        <v>150000</v>
      </c>
      <c r="H37" s="404"/>
      <c r="I37" s="405" t="s">
        <v>760</v>
      </c>
      <c r="J37" s="396"/>
      <c r="K37" s="399">
        <f t="shared" ref="K37:K42" si="11">SUM(L37:S37)</f>
        <v>150000</v>
      </c>
      <c r="L37" s="396">
        <v>75000</v>
      </c>
      <c r="M37" s="396">
        <v>75000</v>
      </c>
      <c r="N37" s="396"/>
      <c r="O37" s="396"/>
      <c r="P37" s="396"/>
      <c r="Q37" s="396"/>
      <c r="R37" s="396"/>
      <c r="S37" s="79"/>
      <c r="T37" s="79"/>
      <c r="U37" s="79"/>
      <c r="V37" s="79"/>
      <c r="W37" s="79"/>
      <c r="X37" s="79"/>
      <c r="Y37" s="79"/>
      <c r="Z37" s="79"/>
    </row>
    <row r="38" spans="1:26" ht="15" customHeight="1" x14ac:dyDescent="0.25">
      <c r="A38" s="401" t="s">
        <v>763</v>
      </c>
      <c r="B38" s="401"/>
      <c r="C38" s="402">
        <v>5</v>
      </c>
      <c r="D38" s="402">
        <v>1</v>
      </c>
      <c r="E38" s="402">
        <f t="shared" si="10"/>
        <v>4</v>
      </c>
      <c r="F38" s="403"/>
      <c r="G38" s="404">
        <v>625000</v>
      </c>
      <c r="H38" s="404"/>
      <c r="I38" s="405" t="s">
        <v>760</v>
      </c>
      <c r="J38" s="396"/>
      <c r="K38" s="399">
        <f t="shared" si="11"/>
        <v>625000</v>
      </c>
      <c r="L38" s="406">
        <v>125000</v>
      </c>
      <c r="M38" s="396">
        <v>125000</v>
      </c>
      <c r="N38" s="396">
        <v>125000</v>
      </c>
      <c r="O38" s="396">
        <v>125000</v>
      </c>
      <c r="P38" s="396">
        <v>125000</v>
      </c>
      <c r="Q38" s="396"/>
      <c r="R38" s="396"/>
      <c r="S38" s="79"/>
      <c r="T38" s="79"/>
      <c r="U38" s="79"/>
      <c r="V38" s="79"/>
      <c r="W38" s="79"/>
      <c r="X38" s="79"/>
      <c r="Y38" s="79"/>
      <c r="Z38" s="79"/>
    </row>
    <row r="39" spans="1:26" ht="15" customHeight="1" x14ac:dyDescent="0.25">
      <c r="A39" s="401" t="s">
        <v>764</v>
      </c>
      <c r="B39" s="401"/>
      <c r="C39" s="402">
        <v>6</v>
      </c>
      <c r="D39" s="402">
        <v>2</v>
      </c>
      <c r="E39" s="402">
        <f t="shared" si="10"/>
        <v>4</v>
      </c>
      <c r="F39" s="403"/>
      <c r="G39" s="404">
        <v>560000</v>
      </c>
      <c r="H39" s="404"/>
      <c r="I39" s="405" t="s">
        <v>760</v>
      </c>
      <c r="J39" s="396"/>
      <c r="K39" s="399">
        <f t="shared" si="11"/>
        <v>540000</v>
      </c>
      <c r="L39" s="406">
        <v>90000</v>
      </c>
      <c r="M39" s="406">
        <v>90000</v>
      </c>
      <c r="N39" s="396">
        <v>90000</v>
      </c>
      <c r="O39" s="396">
        <v>90000</v>
      </c>
      <c r="P39" s="396">
        <v>90000</v>
      </c>
      <c r="Q39" s="396">
        <v>90000</v>
      </c>
      <c r="R39" s="396"/>
      <c r="S39" s="79"/>
      <c r="T39" s="79"/>
      <c r="U39" s="79"/>
      <c r="V39" s="79"/>
      <c r="W39" s="79"/>
      <c r="X39" s="79"/>
      <c r="Y39" s="79"/>
      <c r="Z39" s="79"/>
    </row>
    <row r="40" spans="1:26" ht="15" customHeight="1" x14ac:dyDescent="0.25">
      <c r="A40" s="401" t="s">
        <v>765</v>
      </c>
      <c r="B40" s="401"/>
      <c r="C40" s="402">
        <v>3</v>
      </c>
      <c r="D40" s="402">
        <v>2</v>
      </c>
      <c r="E40" s="402">
        <f t="shared" si="10"/>
        <v>1</v>
      </c>
      <c r="F40" s="403"/>
      <c r="G40" s="404">
        <v>525000</v>
      </c>
      <c r="H40" s="404"/>
      <c r="I40" s="405" t="s">
        <v>760</v>
      </c>
      <c r="J40" s="396"/>
      <c r="K40" s="399">
        <f t="shared" si="11"/>
        <v>525000</v>
      </c>
      <c r="L40" s="406">
        <v>175000</v>
      </c>
      <c r="M40" s="406">
        <v>175000</v>
      </c>
      <c r="N40" s="396">
        <v>175000</v>
      </c>
      <c r="O40" s="396"/>
      <c r="P40" s="396"/>
      <c r="Q40" s="396"/>
      <c r="R40" s="396"/>
      <c r="S40" s="79"/>
      <c r="T40" s="79"/>
      <c r="U40" s="79"/>
      <c r="V40" s="79"/>
      <c r="W40" s="79"/>
      <c r="X40" s="79"/>
      <c r="Y40" s="79"/>
      <c r="Z40" s="79"/>
    </row>
    <row r="41" spans="1:26" ht="15" customHeight="1" x14ac:dyDescent="0.25">
      <c r="A41" s="420" t="s">
        <v>766</v>
      </c>
      <c r="B41" s="420"/>
      <c r="C41" s="422">
        <v>4</v>
      </c>
      <c r="D41" s="422">
        <v>3</v>
      </c>
      <c r="E41" s="402">
        <f t="shared" si="10"/>
        <v>1</v>
      </c>
      <c r="F41" s="403"/>
      <c r="G41" s="423">
        <v>525000</v>
      </c>
      <c r="H41" s="423"/>
      <c r="I41" s="424" t="s">
        <v>760</v>
      </c>
      <c r="J41" s="425"/>
      <c r="K41" s="426">
        <f t="shared" si="11"/>
        <v>320000</v>
      </c>
      <c r="L41" s="406">
        <v>100000</v>
      </c>
      <c r="M41" s="406">
        <v>100000</v>
      </c>
      <c r="N41" s="406">
        <v>60000</v>
      </c>
      <c r="O41" s="425">
        <v>60000</v>
      </c>
      <c r="P41" s="425"/>
      <c r="Q41" s="425" t="s">
        <v>767</v>
      </c>
      <c r="R41" s="425"/>
      <c r="S41" s="427"/>
      <c r="T41" s="427"/>
      <c r="U41" s="427"/>
      <c r="V41" s="427"/>
      <c r="W41" s="427"/>
      <c r="X41" s="427"/>
      <c r="Y41" s="427"/>
      <c r="Z41" s="427"/>
    </row>
    <row r="42" spans="1:26" ht="15" customHeight="1" x14ac:dyDescent="0.25">
      <c r="A42" s="401" t="s">
        <v>768</v>
      </c>
      <c r="B42" s="401"/>
      <c r="C42" s="407">
        <v>3</v>
      </c>
      <c r="D42" s="407">
        <v>0</v>
      </c>
      <c r="E42" s="407">
        <f t="shared" si="10"/>
        <v>3</v>
      </c>
      <c r="F42" s="408"/>
      <c r="G42" s="409">
        <v>225000</v>
      </c>
      <c r="H42" s="409"/>
      <c r="I42" s="405" t="s">
        <v>760</v>
      </c>
      <c r="J42" s="396"/>
      <c r="K42" s="410">
        <f t="shared" si="11"/>
        <v>225000</v>
      </c>
      <c r="L42" s="396">
        <v>75000</v>
      </c>
      <c r="M42" s="396">
        <v>75000</v>
      </c>
      <c r="N42" s="396">
        <v>75000</v>
      </c>
      <c r="O42" s="396"/>
      <c r="P42" s="396"/>
      <c r="Q42" s="396"/>
      <c r="R42" s="396"/>
      <c r="S42" s="79"/>
      <c r="T42" s="79"/>
      <c r="U42" s="79"/>
      <c r="V42" s="79"/>
      <c r="W42" s="79"/>
      <c r="X42" s="79"/>
      <c r="Y42" s="79"/>
      <c r="Z42" s="79"/>
    </row>
    <row r="43" spans="1:26" ht="15" customHeight="1" x14ac:dyDescent="0.25">
      <c r="A43" s="432"/>
      <c r="B43" s="432"/>
      <c r="C43" s="412">
        <f t="shared" ref="C43:G43" si="12">SUM(C32:C42)</f>
        <v>25</v>
      </c>
      <c r="D43" s="412">
        <f t="shared" si="12"/>
        <v>8</v>
      </c>
      <c r="E43" s="412">
        <f t="shared" si="12"/>
        <v>17</v>
      </c>
      <c r="F43" s="414">
        <f t="shared" si="12"/>
        <v>1480000</v>
      </c>
      <c r="G43" s="414">
        <f t="shared" si="12"/>
        <v>4090000</v>
      </c>
      <c r="H43" s="414"/>
      <c r="I43" s="432"/>
      <c r="J43" s="433"/>
      <c r="K43" s="416">
        <f>SUM(K32:K42)</f>
        <v>2385000</v>
      </c>
      <c r="L43" s="433"/>
      <c r="M43" s="433"/>
      <c r="N43" s="433"/>
      <c r="O43" s="433"/>
      <c r="P43" s="433"/>
      <c r="Q43" s="433"/>
      <c r="R43" s="433"/>
      <c r="S43" s="432"/>
      <c r="T43" s="432"/>
      <c r="U43" s="432"/>
      <c r="V43" s="432"/>
      <c r="W43" s="432"/>
      <c r="X43" s="432"/>
      <c r="Y43" s="432"/>
      <c r="Z43" s="432"/>
    </row>
    <row r="44" spans="1:26" ht="6.75" customHeight="1" x14ac:dyDescent="0.25">
      <c r="A44" s="79"/>
      <c r="B44" s="79"/>
      <c r="C44" s="400"/>
      <c r="D44" s="400"/>
      <c r="E44" s="400"/>
      <c r="F44" s="418"/>
      <c r="G44" s="79"/>
      <c r="H44" s="79"/>
      <c r="I44" s="79"/>
      <c r="J44" s="396"/>
      <c r="K44" s="396"/>
      <c r="L44" s="396"/>
      <c r="M44" s="396"/>
      <c r="N44" s="396"/>
      <c r="O44" s="396"/>
      <c r="P44" s="396"/>
      <c r="Q44" s="396"/>
      <c r="R44" s="396"/>
      <c r="S44" s="79"/>
      <c r="T44" s="79"/>
      <c r="U44" s="79"/>
      <c r="V44" s="79"/>
      <c r="W44" s="79"/>
      <c r="X44" s="79"/>
      <c r="Y44" s="79"/>
      <c r="Z44" s="79"/>
    </row>
    <row r="45" spans="1:26" ht="15" customHeight="1" x14ac:dyDescent="0.25">
      <c r="A45" s="401" t="s">
        <v>156</v>
      </c>
      <c r="B45" s="401"/>
      <c r="C45" s="402">
        <v>3</v>
      </c>
      <c r="D45" s="402">
        <v>1</v>
      </c>
      <c r="E45" s="402">
        <f>C45-D45</f>
        <v>2</v>
      </c>
      <c r="F45" s="403">
        <v>75000</v>
      </c>
      <c r="G45" s="404">
        <v>575000</v>
      </c>
      <c r="H45" s="404"/>
      <c r="I45" s="405" t="s">
        <v>769</v>
      </c>
      <c r="J45" s="396">
        <v>100000</v>
      </c>
      <c r="K45" s="399">
        <f t="shared" ref="K45:K49" si="13">SUM(L45:S45)</f>
        <v>500000</v>
      </c>
      <c r="L45" s="406">
        <v>125000</v>
      </c>
      <c r="M45" s="396">
        <v>125000</v>
      </c>
      <c r="N45" s="396">
        <v>125000</v>
      </c>
      <c r="O45" s="396">
        <v>125000</v>
      </c>
      <c r="P45" s="396"/>
      <c r="Q45" s="396"/>
      <c r="R45" s="396"/>
      <c r="S45" s="79"/>
      <c r="T45" s="79"/>
      <c r="U45" s="79"/>
      <c r="V45" s="79"/>
      <c r="W45" s="79"/>
      <c r="X45" s="79"/>
      <c r="Y45" s="79"/>
      <c r="Z45" s="79"/>
    </row>
    <row r="46" spans="1:26" ht="15" customHeight="1" x14ac:dyDescent="0.25">
      <c r="A46" s="401" t="s">
        <v>158</v>
      </c>
      <c r="B46" s="401"/>
      <c r="C46" s="402"/>
      <c r="D46" s="402"/>
      <c r="E46" s="402"/>
      <c r="F46" s="403">
        <v>100000</v>
      </c>
      <c r="G46" s="404">
        <v>100000</v>
      </c>
      <c r="H46" s="404"/>
      <c r="I46" s="405" t="s">
        <v>769</v>
      </c>
      <c r="J46" s="396"/>
      <c r="K46" s="399">
        <f t="shared" si="13"/>
        <v>0</v>
      </c>
      <c r="L46" s="396"/>
      <c r="M46" s="406"/>
      <c r="N46" s="396"/>
      <c r="O46" s="396"/>
      <c r="P46" s="396"/>
      <c r="Q46" s="396"/>
      <c r="R46" s="396"/>
      <c r="S46" s="79"/>
      <c r="T46" s="79"/>
      <c r="U46" s="79"/>
      <c r="V46" s="79"/>
      <c r="W46" s="79"/>
      <c r="X46" s="79"/>
      <c r="Y46" s="79"/>
      <c r="Z46" s="79"/>
    </row>
    <row r="47" spans="1:26" ht="15" customHeight="1" x14ac:dyDescent="0.25">
      <c r="A47" s="401" t="s">
        <v>770</v>
      </c>
      <c r="B47" s="401"/>
      <c r="C47" s="402">
        <v>5</v>
      </c>
      <c r="D47" s="402">
        <v>0</v>
      </c>
      <c r="E47" s="402">
        <f t="shared" ref="E47:E49" si="14">C47-D47</f>
        <v>5</v>
      </c>
      <c r="F47" s="403"/>
      <c r="G47" s="404">
        <v>425000</v>
      </c>
      <c r="H47" s="404"/>
      <c r="I47" s="405" t="s">
        <v>769</v>
      </c>
      <c r="J47" s="396"/>
      <c r="K47" s="399">
        <f t="shared" si="13"/>
        <v>425000</v>
      </c>
      <c r="L47" s="396">
        <v>125000</v>
      </c>
      <c r="M47" s="396">
        <v>75000</v>
      </c>
      <c r="N47" s="396">
        <v>75000</v>
      </c>
      <c r="O47" s="396">
        <v>75000</v>
      </c>
      <c r="P47" s="396">
        <v>75000</v>
      </c>
      <c r="Q47" s="396"/>
      <c r="R47" s="396"/>
      <c r="S47" s="79"/>
      <c r="T47" s="79"/>
      <c r="U47" s="79"/>
      <c r="V47" s="79"/>
      <c r="W47" s="79"/>
      <c r="X47" s="79"/>
      <c r="Y47" s="79"/>
      <c r="Z47" s="79"/>
    </row>
    <row r="48" spans="1:26" ht="15" customHeight="1" x14ac:dyDescent="0.25">
      <c r="A48" s="401" t="s">
        <v>771</v>
      </c>
      <c r="B48" s="401"/>
      <c r="C48" s="402">
        <v>1</v>
      </c>
      <c r="D48" s="402">
        <v>0</v>
      </c>
      <c r="E48" s="402">
        <f t="shared" si="14"/>
        <v>1</v>
      </c>
      <c r="F48" s="79"/>
      <c r="G48" s="404">
        <v>150000</v>
      </c>
      <c r="H48" s="404"/>
      <c r="I48" s="405" t="s">
        <v>769</v>
      </c>
      <c r="J48" s="396"/>
      <c r="K48" s="399">
        <f t="shared" si="13"/>
        <v>150000</v>
      </c>
      <c r="L48" s="396">
        <v>150000</v>
      </c>
      <c r="M48" s="396"/>
      <c r="N48" s="396"/>
      <c r="O48" s="396"/>
      <c r="P48" s="396"/>
      <c r="Q48" s="396"/>
      <c r="R48" s="396"/>
      <c r="S48" s="79"/>
      <c r="T48" s="79"/>
      <c r="U48" s="79"/>
      <c r="V48" s="79"/>
      <c r="W48" s="79"/>
      <c r="X48" s="79"/>
      <c r="Y48" s="79"/>
      <c r="Z48" s="79"/>
    </row>
    <row r="49" spans="1:26" ht="15" customHeight="1" x14ac:dyDescent="0.25">
      <c r="A49" s="401" t="s">
        <v>772</v>
      </c>
      <c r="B49" s="401"/>
      <c r="C49" s="407">
        <v>2</v>
      </c>
      <c r="D49" s="407">
        <v>0</v>
      </c>
      <c r="E49" s="407">
        <f t="shared" si="14"/>
        <v>2</v>
      </c>
      <c r="F49" s="403">
        <v>150000</v>
      </c>
      <c r="G49" s="409">
        <v>250000</v>
      </c>
      <c r="H49" s="409"/>
      <c r="I49" s="405" t="s">
        <v>769</v>
      </c>
      <c r="J49" s="396"/>
      <c r="K49" s="410">
        <f t="shared" si="13"/>
        <v>100000</v>
      </c>
      <c r="L49" s="396">
        <v>100000</v>
      </c>
      <c r="M49" s="396"/>
      <c r="N49" s="396"/>
      <c r="O49" s="396"/>
      <c r="P49" s="396"/>
      <c r="Q49" s="396"/>
      <c r="R49" s="396"/>
      <c r="S49" s="79"/>
      <c r="T49" s="79"/>
      <c r="U49" s="79"/>
      <c r="V49" s="79"/>
      <c r="W49" s="79"/>
      <c r="X49" s="79"/>
      <c r="Y49" s="79"/>
      <c r="Z49" s="79"/>
    </row>
    <row r="50" spans="1:26" ht="15" customHeight="1" x14ac:dyDescent="0.25">
      <c r="A50" s="432"/>
      <c r="B50" s="432"/>
      <c r="C50" s="412">
        <f t="shared" ref="C50:E50" si="15">SUM(C45:C49)</f>
        <v>11</v>
      </c>
      <c r="D50" s="412">
        <f t="shared" si="15"/>
        <v>1</v>
      </c>
      <c r="E50" s="412">
        <f t="shared" si="15"/>
        <v>10</v>
      </c>
      <c r="F50" s="413"/>
      <c r="G50" s="414">
        <f>SUM(G45:G49)</f>
        <v>1500000</v>
      </c>
      <c r="H50" s="414"/>
      <c r="I50" s="432"/>
      <c r="J50" s="433"/>
      <c r="K50" s="416">
        <f>SUM(K45:K49)</f>
        <v>1175000</v>
      </c>
      <c r="L50" s="433"/>
      <c r="M50" s="433"/>
      <c r="N50" s="433"/>
      <c r="O50" s="433"/>
      <c r="P50" s="433"/>
      <c r="Q50" s="433"/>
      <c r="R50" s="433"/>
      <c r="S50" s="432"/>
      <c r="T50" s="432"/>
      <c r="U50" s="432"/>
      <c r="V50" s="432"/>
      <c r="W50" s="432"/>
      <c r="X50" s="432"/>
      <c r="Y50" s="432"/>
      <c r="Z50" s="432"/>
    </row>
    <row r="51" spans="1:26" ht="15" customHeight="1" x14ac:dyDescent="0.25">
      <c r="A51" s="401" t="s">
        <v>773</v>
      </c>
      <c r="B51" s="401"/>
      <c r="C51" s="402"/>
      <c r="D51" s="402"/>
      <c r="E51" s="402"/>
      <c r="F51" s="403">
        <v>250000</v>
      </c>
      <c r="G51" s="404">
        <v>250000</v>
      </c>
      <c r="H51" s="404"/>
      <c r="I51" s="405" t="s">
        <v>774</v>
      </c>
      <c r="J51" s="396"/>
      <c r="K51" s="399">
        <f t="shared" ref="K51:K53" si="16">SUM(L51:S51)</f>
        <v>0</v>
      </c>
      <c r="L51" s="396"/>
      <c r="M51" s="396"/>
      <c r="N51" s="396"/>
      <c r="O51" s="396"/>
      <c r="P51" s="396"/>
      <c r="Q51" s="396"/>
      <c r="R51" s="396"/>
      <c r="S51" s="79"/>
      <c r="T51" s="79"/>
      <c r="U51" s="79"/>
      <c r="V51" s="79"/>
      <c r="W51" s="79"/>
      <c r="X51" s="79"/>
      <c r="Y51" s="79"/>
      <c r="Z51" s="79"/>
    </row>
    <row r="52" spans="1:26" ht="15" customHeight="1" x14ac:dyDescent="0.25">
      <c r="A52" s="401" t="s">
        <v>775</v>
      </c>
      <c r="B52" s="401"/>
      <c r="C52" s="402"/>
      <c r="D52" s="402"/>
      <c r="E52" s="402"/>
      <c r="F52" s="403">
        <v>950000</v>
      </c>
      <c r="G52" s="404">
        <v>950000</v>
      </c>
      <c r="H52" s="404"/>
      <c r="I52" s="405" t="s">
        <v>774</v>
      </c>
      <c r="J52" s="396">
        <v>950000</v>
      </c>
      <c r="K52" s="399">
        <f t="shared" si="16"/>
        <v>0</v>
      </c>
      <c r="L52" s="396"/>
      <c r="M52" s="396"/>
      <c r="N52" s="396"/>
      <c r="O52" s="396"/>
      <c r="P52" s="396"/>
      <c r="Q52" s="396"/>
      <c r="R52" s="396"/>
      <c r="S52" s="79"/>
      <c r="T52" s="79"/>
      <c r="U52" s="79"/>
      <c r="V52" s="79"/>
      <c r="W52" s="79"/>
      <c r="X52" s="79"/>
      <c r="Y52" s="79"/>
      <c r="Z52" s="79"/>
    </row>
    <row r="53" spans="1:26" ht="15" customHeight="1" x14ac:dyDescent="0.25">
      <c r="A53" s="401" t="s">
        <v>776</v>
      </c>
      <c r="B53" s="401"/>
      <c r="C53" s="407">
        <v>4</v>
      </c>
      <c r="D53" s="407">
        <v>1</v>
      </c>
      <c r="E53" s="407">
        <f>C53-D53</f>
        <v>3</v>
      </c>
      <c r="F53" s="408"/>
      <c r="G53" s="409">
        <v>325000</v>
      </c>
      <c r="H53" s="409"/>
      <c r="I53" s="405" t="s">
        <v>774</v>
      </c>
      <c r="J53" s="396"/>
      <c r="K53" s="410">
        <f t="shared" si="16"/>
        <v>325000</v>
      </c>
      <c r="L53" s="406">
        <v>125000</v>
      </c>
      <c r="M53" s="396">
        <v>75000</v>
      </c>
      <c r="N53" s="396">
        <v>75000</v>
      </c>
      <c r="O53" s="396">
        <v>50000</v>
      </c>
      <c r="P53" s="396"/>
      <c r="Q53" s="396"/>
      <c r="R53" s="396"/>
      <c r="S53" s="79"/>
      <c r="T53" s="79"/>
      <c r="U53" s="79"/>
      <c r="V53" s="79"/>
      <c r="W53" s="79"/>
      <c r="X53" s="79"/>
      <c r="Y53" s="79"/>
      <c r="Z53" s="79"/>
    </row>
    <row r="54" spans="1:26" ht="15" customHeight="1" x14ac:dyDescent="0.25">
      <c r="A54" s="432"/>
      <c r="B54" s="432"/>
      <c r="C54" s="412">
        <f t="shared" ref="C54:E54" si="17">SUM(C52:C53)</f>
        <v>4</v>
      </c>
      <c r="D54" s="412">
        <f t="shared" si="17"/>
        <v>1</v>
      </c>
      <c r="E54" s="412">
        <f t="shared" si="17"/>
        <v>3</v>
      </c>
      <c r="F54" s="413"/>
      <c r="G54" s="414">
        <f>SUM(G52:G53)</f>
        <v>1275000</v>
      </c>
      <c r="H54" s="414"/>
      <c r="I54" s="432"/>
      <c r="J54" s="433"/>
      <c r="K54" s="416">
        <f>SUM(K52:K53)</f>
        <v>325000</v>
      </c>
      <c r="L54" s="433"/>
      <c r="M54" s="433"/>
      <c r="N54" s="433"/>
      <c r="O54" s="433"/>
      <c r="P54" s="433"/>
      <c r="Q54" s="433"/>
      <c r="R54" s="433"/>
      <c r="S54" s="432"/>
      <c r="T54" s="432"/>
      <c r="U54" s="432"/>
      <c r="V54" s="432"/>
      <c r="W54" s="432"/>
      <c r="X54" s="432"/>
      <c r="Y54" s="432"/>
      <c r="Z54" s="432"/>
    </row>
    <row r="55" spans="1:26" ht="6.75" customHeight="1" x14ac:dyDescent="0.25">
      <c r="A55" s="79"/>
      <c r="B55" s="79"/>
      <c r="C55" s="400"/>
      <c r="D55" s="400"/>
      <c r="E55" s="400"/>
      <c r="F55" s="418"/>
      <c r="G55" s="79"/>
      <c r="H55" s="79"/>
      <c r="I55" s="79"/>
      <c r="J55" s="396"/>
      <c r="K55" s="399">
        <f t="shared" ref="K55:K59" si="18">SUM(L55:S55)</f>
        <v>0</v>
      </c>
      <c r="L55" s="396"/>
      <c r="M55" s="396"/>
      <c r="N55" s="396"/>
      <c r="O55" s="396"/>
      <c r="P55" s="396"/>
      <c r="Q55" s="396"/>
      <c r="R55" s="396"/>
      <c r="S55" s="79"/>
      <c r="T55" s="79"/>
      <c r="U55" s="79"/>
      <c r="V55" s="79"/>
      <c r="W55" s="79"/>
      <c r="X55" s="79"/>
      <c r="Y55" s="79"/>
      <c r="Z55" s="79"/>
    </row>
    <row r="56" spans="1:26" ht="15" customHeight="1" x14ac:dyDescent="0.25">
      <c r="A56" s="401" t="s">
        <v>777</v>
      </c>
      <c r="B56" s="401"/>
      <c r="C56" s="402">
        <v>1</v>
      </c>
      <c r="D56" s="402"/>
      <c r="E56" s="402">
        <f t="shared" ref="E56:E59" si="19">C56-D56</f>
        <v>1</v>
      </c>
      <c r="F56" s="403"/>
      <c r="G56" s="404">
        <v>150000</v>
      </c>
      <c r="H56" s="404"/>
      <c r="I56" s="405" t="s">
        <v>778</v>
      </c>
      <c r="J56" s="396"/>
      <c r="K56" s="399">
        <f t="shared" si="18"/>
        <v>150000</v>
      </c>
      <c r="L56" s="396">
        <v>150000</v>
      </c>
      <c r="M56" s="396"/>
      <c r="N56" s="396"/>
      <c r="O56" s="396"/>
      <c r="P56" s="396"/>
      <c r="Q56" s="396"/>
      <c r="R56" s="396"/>
      <c r="S56" s="79"/>
      <c r="T56" s="79"/>
      <c r="U56" s="79"/>
      <c r="V56" s="79"/>
      <c r="W56" s="79"/>
      <c r="X56" s="79"/>
      <c r="Y56" s="79"/>
      <c r="Z56" s="79"/>
    </row>
    <row r="57" spans="1:26" ht="15" customHeight="1" x14ac:dyDescent="0.25">
      <c r="A57" s="401" t="s">
        <v>779</v>
      </c>
      <c r="B57" s="401"/>
      <c r="C57" s="402">
        <v>1</v>
      </c>
      <c r="D57" s="402"/>
      <c r="E57" s="402">
        <f t="shared" si="19"/>
        <v>1</v>
      </c>
      <c r="F57" s="403"/>
      <c r="G57" s="404">
        <v>50000</v>
      </c>
      <c r="H57" s="404"/>
      <c r="I57" s="405" t="s">
        <v>778</v>
      </c>
      <c r="J57" s="396"/>
      <c r="K57" s="399">
        <f t="shared" si="18"/>
        <v>50000</v>
      </c>
      <c r="L57" s="396">
        <v>50000</v>
      </c>
      <c r="M57" s="396"/>
      <c r="N57" s="396"/>
      <c r="O57" s="396"/>
      <c r="P57" s="396"/>
      <c r="Q57" s="396"/>
      <c r="R57" s="396"/>
      <c r="S57" s="79"/>
      <c r="T57" s="79"/>
      <c r="U57" s="79"/>
      <c r="V57" s="79"/>
      <c r="W57" s="79"/>
      <c r="X57" s="79"/>
      <c r="Y57" s="79"/>
      <c r="Z57" s="79"/>
    </row>
    <row r="58" spans="1:26" ht="15" customHeight="1" x14ac:dyDescent="0.25">
      <c r="A58" s="401" t="s">
        <v>780</v>
      </c>
      <c r="B58" s="401"/>
      <c r="C58" s="402">
        <v>4</v>
      </c>
      <c r="D58" s="402">
        <v>1</v>
      </c>
      <c r="E58" s="402">
        <f t="shared" si="19"/>
        <v>3</v>
      </c>
      <c r="F58" s="403"/>
      <c r="G58" s="404">
        <v>350000</v>
      </c>
      <c r="H58" s="404"/>
      <c r="I58" s="405" t="s">
        <v>778</v>
      </c>
      <c r="J58" s="396"/>
      <c r="K58" s="399">
        <f t="shared" si="18"/>
        <v>375000</v>
      </c>
      <c r="L58" s="396">
        <v>150000</v>
      </c>
      <c r="M58" s="406">
        <v>75000</v>
      </c>
      <c r="N58" s="396">
        <v>75000</v>
      </c>
      <c r="O58" s="396">
        <v>75000</v>
      </c>
      <c r="P58" s="396"/>
      <c r="Q58" s="396"/>
      <c r="R58" s="396"/>
      <c r="S58" s="79"/>
      <c r="T58" s="79"/>
      <c r="U58" s="79"/>
      <c r="V58" s="79"/>
      <c r="W58" s="79"/>
      <c r="X58" s="79"/>
      <c r="Y58" s="79"/>
      <c r="Z58" s="79"/>
    </row>
    <row r="59" spans="1:26" ht="15" customHeight="1" x14ac:dyDescent="0.25">
      <c r="A59" s="401" t="s">
        <v>781</v>
      </c>
      <c r="B59" s="401"/>
      <c r="C59" s="407">
        <v>1</v>
      </c>
      <c r="D59" s="407">
        <v>1</v>
      </c>
      <c r="E59" s="407">
        <f t="shared" si="19"/>
        <v>0</v>
      </c>
      <c r="F59" s="436">
        <v>300000</v>
      </c>
      <c r="G59" s="409">
        <v>392000</v>
      </c>
      <c r="H59" s="409"/>
      <c r="I59" s="405" t="s">
        <v>778</v>
      </c>
      <c r="J59" s="396">
        <v>300000</v>
      </c>
      <c r="K59" s="410">
        <f t="shared" si="18"/>
        <v>92000</v>
      </c>
      <c r="L59" s="406">
        <v>92000</v>
      </c>
      <c r="M59" s="396"/>
      <c r="N59" s="396"/>
      <c r="O59" s="396"/>
      <c r="P59" s="396"/>
      <c r="Q59" s="396"/>
      <c r="R59" s="396"/>
      <c r="S59" s="79"/>
      <c r="T59" s="79"/>
      <c r="U59" s="79"/>
      <c r="V59" s="79"/>
      <c r="W59" s="79"/>
      <c r="X59" s="79"/>
      <c r="Y59" s="79"/>
      <c r="Z59" s="79"/>
    </row>
    <row r="60" spans="1:26" ht="15" customHeight="1" x14ac:dyDescent="0.25">
      <c r="A60" s="430"/>
      <c r="B60" s="430"/>
      <c r="C60" s="412">
        <f t="shared" ref="C60:E60" si="20">SUM(C56:C59)</f>
        <v>7</v>
      </c>
      <c r="D60" s="412">
        <f t="shared" si="20"/>
        <v>2</v>
      </c>
      <c r="E60" s="412">
        <f t="shared" si="20"/>
        <v>5</v>
      </c>
      <c r="F60" s="413"/>
      <c r="G60" s="414">
        <f>SUM(G56:G59)</f>
        <v>942000</v>
      </c>
      <c r="H60" s="414"/>
      <c r="I60" s="432"/>
      <c r="J60" s="433"/>
      <c r="K60" s="416">
        <f>SUM(K56:K59)</f>
        <v>667000</v>
      </c>
      <c r="L60" s="433"/>
      <c r="M60" s="433"/>
      <c r="N60" s="433"/>
      <c r="O60" s="433"/>
      <c r="P60" s="433"/>
      <c r="Q60" s="433"/>
      <c r="R60" s="433"/>
      <c r="S60" s="432"/>
      <c r="T60" s="432"/>
      <c r="U60" s="432"/>
      <c r="V60" s="432"/>
      <c r="W60" s="432"/>
      <c r="X60" s="432"/>
      <c r="Y60" s="432"/>
      <c r="Z60" s="432"/>
    </row>
    <row r="61" spans="1:26" ht="6" customHeight="1" x14ac:dyDescent="0.25">
      <c r="A61" s="401"/>
      <c r="B61" s="401"/>
      <c r="C61" s="402"/>
      <c r="D61" s="402"/>
      <c r="E61" s="402"/>
      <c r="F61" s="403"/>
      <c r="G61" s="79"/>
      <c r="H61" s="79"/>
      <c r="I61" s="79"/>
      <c r="J61" s="396"/>
      <c r="K61" s="399"/>
      <c r="L61" s="396"/>
      <c r="M61" s="396"/>
      <c r="N61" s="396"/>
      <c r="O61" s="396"/>
      <c r="P61" s="396"/>
      <c r="Q61" s="396"/>
      <c r="R61" s="396"/>
      <c r="S61" s="79"/>
      <c r="T61" s="79"/>
      <c r="U61" s="79"/>
      <c r="V61" s="79"/>
      <c r="W61" s="79"/>
      <c r="X61" s="79"/>
      <c r="Y61" s="79"/>
      <c r="Z61" s="79"/>
    </row>
    <row r="62" spans="1:26" ht="15" customHeight="1" x14ac:dyDescent="0.25">
      <c r="A62" s="437"/>
      <c r="B62" s="437"/>
      <c r="C62" s="438">
        <f t="shared" ref="C62:E62" si="21">SUM(C3:C60)/2</f>
        <v>77</v>
      </c>
      <c r="D62" s="438">
        <f t="shared" si="21"/>
        <v>18</v>
      </c>
      <c r="E62" s="438">
        <f t="shared" si="21"/>
        <v>59</v>
      </c>
      <c r="F62" s="439"/>
      <c r="G62" s="440">
        <f>SUM(G3:G60)/2</f>
        <v>15747000</v>
      </c>
      <c r="H62" s="440"/>
      <c r="I62" s="441"/>
      <c r="J62" s="442">
        <f>SUM(J3:J60)</f>
        <v>7250000</v>
      </c>
      <c r="K62" s="443">
        <f>SUM(K3:K60)/2</f>
        <v>9212000</v>
      </c>
      <c r="L62" s="442"/>
      <c r="M62" s="442"/>
      <c r="N62" s="442"/>
      <c r="O62" s="442"/>
      <c r="P62" s="442"/>
      <c r="Q62" s="442"/>
      <c r="R62" s="442"/>
      <c r="S62" s="441"/>
      <c r="T62" s="441"/>
      <c r="U62" s="441"/>
      <c r="V62" s="441"/>
      <c r="W62" s="441"/>
      <c r="X62" s="441"/>
      <c r="Y62" s="441"/>
      <c r="Z62" s="441"/>
    </row>
    <row r="63" spans="1:26" ht="15" customHeight="1" x14ac:dyDescent="0.25">
      <c r="A63" s="401"/>
      <c r="B63" s="401"/>
      <c r="C63" s="402"/>
      <c r="D63" s="402"/>
      <c r="E63" s="402"/>
      <c r="F63" s="402"/>
      <c r="G63" s="444"/>
      <c r="H63" s="444"/>
      <c r="I63" s="79"/>
      <c r="J63" s="445">
        <f>J62/$G62</f>
        <v>0.46040515653775321</v>
      </c>
      <c r="K63" s="445"/>
      <c r="L63" s="396"/>
      <c r="M63" s="396"/>
      <c r="N63" s="396"/>
      <c r="O63" s="396"/>
      <c r="P63" s="396"/>
      <c r="Q63" s="396"/>
      <c r="R63" s="396"/>
      <c r="S63" s="79"/>
      <c r="T63" s="79"/>
      <c r="U63" s="79"/>
      <c r="V63" s="79"/>
      <c r="W63" s="79"/>
      <c r="X63" s="79"/>
      <c r="Y63" s="79"/>
      <c r="Z63" s="79"/>
    </row>
    <row r="64" spans="1:26" ht="15.75" customHeight="1" x14ac:dyDescent="0.25">
      <c r="A64" s="79"/>
      <c r="B64" s="79"/>
      <c r="C64" s="400"/>
      <c r="D64" s="400"/>
      <c r="E64" s="400"/>
      <c r="F64" s="400"/>
      <c r="G64" s="79"/>
      <c r="H64" s="79"/>
      <c r="I64" s="79"/>
      <c r="J64" s="396"/>
      <c r="K64" s="399"/>
      <c r="L64" s="396"/>
      <c r="M64" s="396"/>
      <c r="N64" s="396"/>
      <c r="O64" s="396"/>
      <c r="P64" s="396"/>
      <c r="Q64" s="396"/>
      <c r="R64" s="396"/>
      <c r="S64" s="79"/>
      <c r="T64" s="79"/>
      <c r="U64" s="79"/>
      <c r="V64" s="79"/>
      <c r="W64" s="79"/>
      <c r="X64" s="79"/>
      <c r="Y64" s="79"/>
      <c r="Z64" s="79"/>
    </row>
    <row r="65" spans="1:26" ht="15.75" customHeight="1" x14ac:dyDescent="0.25">
      <c r="A65" s="79"/>
      <c r="B65" s="79"/>
      <c r="C65" s="400"/>
      <c r="D65" s="400"/>
      <c r="E65" s="400"/>
      <c r="F65" s="400"/>
      <c r="G65" s="79"/>
      <c r="H65" s="79"/>
      <c r="I65" s="79"/>
      <c r="J65" s="396"/>
      <c r="K65" s="399"/>
      <c r="L65" s="396"/>
      <c r="M65" s="396"/>
      <c r="N65" s="396"/>
      <c r="O65" s="396"/>
      <c r="P65" s="396"/>
      <c r="Q65" s="396"/>
      <c r="R65" s="396"/>
      <c r="S65" s="79"/>
      <c r="T65" s="79"/>
      <c r="U65" s="79"/>
      <c r="V65" s="79"/>
      <c r="W65" s="79"/>
      <c r="X65" s="79"/>
      <c r="Y65" s="79"/>
      <c r="Z65" s="79"/>
    </row>
    <row r="66" spans="1:26" ht="15.75" customHeight="1" x14ac:dyDescent="0.25">
      <c r="A66" s="79"/>
      <c r="B66" s="79"/>
      <c r="C66" s="400"/>
      <c r="D66" s="400"/>
      <c r="E66" s="400"/>
      <c r="F66" s="400"/>
      <c r="G66" s="79"/>
      <c r="H66" s="79"/>
      <c r="I66" s="79"/>
      <c r="J66" s="396"/>
      <c r="K66" s="399"/>
      <c r="L66" s="396"/>
      <c r="M66" s="396"/>
      <c r="N66" s="396"/>
      <c r="O66" s="396"/>
      <c r="P66" s="396"/>
      <c r="Q66" s="396"/>
      <c r="R66" s="396"/>
      <c r="S66" s="79"/>
      <c r="T66" s="79"/>
      <c r="U66" s="79"/>
      <c r="V66" s="79"/>
      <c r="W66" s="79"/>
      <c r="X66" s="79"/>
      <c r="Y66" s="79"/>
      <c r="Z66" s="79"/>
    </row>
    <row r="67" spans="1:26" ht="15.75" customHeight="1" x14ac:dyDescent="0.25">
      <c r="A67" s="79"/>
      <c r="B67" s="79"/>
      <c r="C67" s="400"/>
      <c r="D67" s="400"/>
      <c r="E67" s="400"/>
      <c r="F67" s="400"/>
      <c r="G67" s="79"/>
      <c r="H67" s="79"/>
      <c r="I67" s="79"/>
      <c r="J67" s="396"/>
      <c r="K67" s="399"/>
      <c r="L67" s="396"/>
      <c r="M67" s="396"/>
      <c r="N67" s="396"/>
      <c r="O67" s="396"/>
      <c r="P67" s="396"/>
      <c r="Q67" s="396"/>
      <c r="R67" s="396"/>
      <c r="S67" s="79"/>
      <c r="T67" s="79"/>
      <c r="U67" s="79"/>
      <c r="V67" s="79"/>
      <c r="W67" s="79"/>
      <c r="X67" s="79"/>
      <c r="Y67" s="79"/>
      <c r="Z67" s="79"/>
    </row>
    <row r="68" spans="1:26" ht="15.75" customHeight="1" x14ac:dyDescent="0.25">
      <c r="A68" s="79"/>
      <c r="B68" s="79"/>
      <c r="C68" s="400"/>
      <c r="D68" s="400"/>
      <c r="E68" s="400"/>
      <c r="F68" s="400"/>
      <c r="G68" s="79"/>
      <c r="H68" s="79"/>
      <c r="I68" s="79"/>
      <c r="J68" s="396"/>
      <c r="K68" s="399"/>
      <c r="L68" s="396"/>
      <c r="M68" s="396"/>
      <c r="N68" s="396"/>
      <c r="O68" s="396"/>
      <c r="P68" s="396"/>
      <c r="Q68" s="396"/>
      <c r="R68" s="396"/>
      <c r="S68" s="79"/>
      <c r="T68" s="79"/>
      <c r="U68" s="79"/>
      <c r="V68" s="79"/>
      <c r="W68" s="79"/>
      <c r="X68" s="79"/>
      <c r="Y68" s="79"/>
      <c r="Z68" s="79"/>
    </row>
    <row r="69" spans="1:26" ht="15.75" customHeight="1" x14ac:dyDescent="0.25">
      <c r="A69" s="79"/>
      <c r="B69" s="79"/>
      <c r="C69" s="400"/>
      <c r="D69" s="400"/>
      <c r="E69" s="400"/>
      <c r="F69" s="400"/>
      <c r="G69" s="79"/>
      <c r="H69" s="79"/>
      <c r="I69" s="79"/>
      <c r="J69" s="396"/>
      <c r="K69" s="399"/>
      <c r="L69" s="396"/>
      <c r="M69" s="396"/>
      <c r="N69" s="396"/>
      <c r="O69" s="396"/>
      <c r="P69" s="396"/>
      <c r="Q69" s="396"/>
      <c r="R69" s="396"/>
      <c r="S69" s="79"/>
      <c r="T69" s="79"/>
      <c r="U69" s="79"/>
      <c r="V69" s="79"/>
      <c r="W69" s="79"/>
      <c r="X69" s="79"/>
      <c r="Y69" s="79"/>
      <c r="Z69" s="79"/>
    </row>
    <row r="70" spans="1:26" ht="15.75" customHeight="1" x14ac:dyDescent="0.25">
      <c r="A70" s="79"/>
      <c r="B70" s="79"/>
      <c r="C70" s="400"/>
      <c r="D70" s="400"/>
      <c r="E70" s="400"/>
      <c r="F70" s="400"/>
      <c r="G70" s="79"/>
      <c r="H70" s="79"/>
      <c r="I70" s="79"/>
      <c r="J70" s="396"/>
      <c r="K70" s="399"/>
      <c r="L70" s="396"/>
      <c r="M70" s="396"/>
      <c r="N70" s="396"/>
      <c r="O70" s="396"/>
      <c r="P70" s="396"/>
      <c r="Q70" s="396"/>
      <c r="R70" s="396"/>
      <c r="S70" s="79"/>
      <c r="T70" s="79"/>
      <c r="U70" s="79"/>
      <c r="V70" s="79"/>
      <c r="W70" s="79"/>
      <c r="X70" s="79"/>
      <c r="Y70" s="79"/>
      <c r="Z70" s="79"/>
    </row>
    <row r="71" spans="1:26" ht="15.75" customHeight="1" x14ac:dyDescent="0.25">
      <c r="A71" s="79"/>
      <c r="B71" s="79"/>
      <c r="C71" s="400"/>
      <c r="D71" s="400"/>
      <c r="E71" s="400"/>
      <c r="F71" s="400"/>
      <c r="G71" s="79"/>
      <c r="H71" s="79"/>
      <c r="I71" s="79"/>
      <c r="J71" s="396"/>
      <c r="K71" s="399"/>
      <c r="L71" s="396"/>
      <c r="M71" s="396"/>
      <c r="N71" s="396"/>
      <c r="O71" s="396"/>
      <c r="P71" s="396"/>
      <c r="Q71" s="396"/>
      <c r="R71" s="396"/>
      <c r="S71" s="79"/>
      <c r="T71" s="79"/>
      <c r="U71" s="79"/>
      <c r="V71" s="79"/>
      <c r="W71" s="79"/>
      <c r="X71" s="79"/>
      <c r="Y71" s="79"/>
      <c r="Z71" s="79"/>
    </row>
    <row r="72" spans="1:26" ht="15.75" customHeight="1" x14ac:dyDescent="0.25">
      <c r="A72" s="79"/>
      <c r="B72" s="79"/>
      <c r="C72" s="400"/>
      <c r="D72" s="400"/>
      <c r="E72" s="400"/>
      <c r="F72" s="400"/>
      <c r="G72" s="79"/>
      <c r="H72" s="79"/>
      <c r="I72" s="79"/>
      <c r="J72" s="396"/>
      <c r="K72" s="399"/>
      <c r="L72" s="396"/>
      <c r="M72" s="396"/>
      <c r="N72" s="396"/>
      <c r="O72" s="396"/>
      <c r="P72" s="396"/>
      <c r="Q72" s="396"/>
      <c r="R72" s="396"/>
      <c r="S72" s="79"/>
      <c r="T72" s="79"/>
      <c r="U72" s="79"/>
      <c r="V72" s="79"/>
      <c r="W72" s="79"/>
      <c r="X72" s="79"/>
      <c r="Y72" s="79"/>
      <c r="Z72" s="79"/>
    </row>
    <row r="73" spans="1:26" ht="15.75" customHeight="1" x14ac:dyDescent="0.25">
      <c r="A73" s="79"/>
      <c r="B73" s="79"/>
      <c r="C73" s="400"/>
      <c r="D73" s="400"/>
      <c r="E73" s="400"/>
      <c r="F73" s="400"/>
      <c r="G73" s="79"/>
      <c r="H73" s="79"/>
      <c r="I73" s="79"/>
      <c r="J73" s="396"/>
      <c r="K73" s="399"/>
      <c r="L73" s="396"/>
      <c r="M73" s="396"/>
      <c r="N73" s="396"/>
      <c r="O73" s="396"/>
      <c r="P73" s="396"/>
      <c r="Q73" s="396"/>
      <c r="R73" s="396"/>
      <c r="S73" s="79"/>
      <c r="T73" s="79"/>
      <c r="U73" s="79"/>
      <c r="V73" s="79"/>
      <c r="W73" s="79"/>
      <c r="X73" s="79"/>
      <c r="Y73" s="79"/>
      <c r="Z73" s="79"/>
    </row>
    <row r="74" spans="1:26" ht="15.75" customHeight="1" x14ac:dyDescent="0.25">
      <c r="A74" s="79"/>
      <c r="B74" s="79"/>
      <c r="C74" s="400"/>
      <c r="D74" s="400"/>
      <c r="E74" s="400"/>
      <c r="F74" s="400"/>
      <c r="G74" s="79"/>
      <c r="H74" s="79"/>
      <c r="I74" s="79"/>
      <c r="J74" s="396"/>
      <c r="K74" s="399"/>
      <c r="L74" s="396"/>
      <c r="M74" s="396"/>
      <c r="N74" s="396"/>
      <c r="O74" s="396"/>
      <c r="P74" s="396"/>
      <c r="Q74" s="396"/>
      <c r="R74" s="396"/>
      <c r="S74" s="79"/>
      <c r="T74" s="79"/>
      <c r="U74" s="79"/>
      <c r="V74" s="79"/>
      <c r="W74" s="79"/>
      <c r="X74" s="79"/>
      <c r="Y74" s="79"/>
      <c r="Z74" s="79"/>
    </row>
    <row r="75" spans="1:26" ht="15.75" customHeight="1" x14ac:dyDescent="0.25">
      <c r="A75" s="79"/>
      <c r="B75" s="79"/>
      <c r="C75" s="400"/>
      <c r="D75" s="400"/>
      <c r="E75" s="400"/>
      <c r="F75" s="400"/>
      <c r="G75" s="79"/>
      <c r="H75" s="79"/>
      <c r="I75" s="79"/>
      <c r="J75" s="396"/>
      <c r="K75" s="399"/>
      <c r="L75" s="396"/>
      <c r="M75" s="396"/>
      <c r="N75" s="396"/>
      <c r="O75" s="396"/>
      <c r="P75" s="396"/>
      <c r="Q75" s="396"/>
      <c r="R75" s="396"/>
      <c r="S75" s="79"/>
      <c r="T75" s="79"/>
      <c r="U75" s="79"/>
      <c r="V75" s="79"/>
      <c r="W75" s="79"/>
      <c r="X75" s="79"/>
      <c r="Y75" s="79"/>
      <c r="Z75" s="79"/>
    </row>
    <row r="76" spans="1:26" ht="15.75" customHeight="1" x14ac:dyDescent="0.25">
      <c r="A76" s="79"/>
      <c r="B76" s="79"/>
      <c r="C76" s="400"/>
      <c r="D76" s="400"/>
      <c r="E76" s="400"/>
      <c r="F76" s="400"/>
      <c r="G76" s="79"/>
      <c r="H76" s="79"/>
      <c r="I76" s="79"/>
      <c r="J76" s="396"/>
      <c r="K76" s="399"/>
      <c r="L76" s="396"/>
      <c r="M76" s="396"/>
      <c r="N76" s="396"/>
      <c r="O76" s="396"/>
      <c r="P76" s="396"/>
      <c r="Q76" s="396"/>
      <c r="R76" s="396"/>
      <c r="S76" s="79"/>
      <c r="T76" s="79"/>
      <c r="U76" s="79"/>
      <c r="V76" s="79"/>
      <c r="W76" s="79"/>
      <c r="X76" s="79"/>
      <c r="Y76" s="79"/>
      <c r="Z76" s="79"/>
    </row>
    <row r="77" spans="1:26" ht="15.75" customHeight="1" x14ac:dyDescent="0.25">
      <c r="A77" s="79"/>
      <c r="B77" s="79"/>
      <c r="C77" s="400"/>
      <c r="D77" s="400"/>
      <c r="E77" s="400"/>
      <c r="F77" s="400"/>
      <c r="G77" s="79"/>
      <c r="H77" s="79"/>
      <c r="I77" s="79"/>
      <c r="J77" s="396"/>
      <c r="K77" s="399"/>
      <c r="L77" s="396"/>
      <c r="M77" s="396"/>
      <c r="N77" s="396"/>
      <c r="O77" s="396"/>
      <c r="P77" s="396"/>
      <c r="Q77" s="396"/>
      <c r="R77" s="396"/>
      <c r="S77" s="79"/>
      <c r="T77" s="79"/>
      <c r="U77" s="79"/>
      <c r="V77" s="79"/>
      <c r="W77" s="79"/>
      <c r="X77" s="79"/>
      <c r="Y77" s="79"/>
      <c r="Z77" s="79"/>
    </row>
    <row r="78" spans="1:26" ht="15.75" customHeight="1" x14ac:dyDescent="0.25">
      <c r="A78" s="79"/>
      <c r="B78" s="79"/>
      <c r="C78" s="400"/>
      <c r="D78" s="400"/>
      <c r="E78" s="400"/>
      <c r="F78" s="400"/>
      <c r="G78" s="79"/>
      <c r="H78" s="79"/>
      <c r="I78" s="79"/>
      <c r="J78" s="396"/>
      <c r="K78" s="399"/>
      <c r="L78" s="396"/>
      <c r="M78" s="396"/>
      <c r="N78" s="396"/>
      <c r="O78" s="396"/>
      <c r="P78" s="396"/>
      <c r="Q78" s="396"/>
      <c r="R78" s="396"/>
      <c r="S78" s="79"/>
      <c r="T78" s="79"/>
      <c r="U78" s="79"/>
      <c r="V78" s="79"/>
      <c r="W78" s="79"/>
      <c r="X78" s="79"/>
      <c r="Y78" s="79"/>
      <c r="Z78" s="79"/>
    </row>
    <row r="79" spans="1:26" ht="15.75" customHeight="1" x14ac:dyDescent="0.25">
      <c r="A79" s="79"/>
      <c r="B79" s="79"/>
      <c r="C79" s="400"/>
      <c r="D79" s="400"/>
      <c r="E79" s="400"/>
      <c r="F79" s="400"/>
      <c r="G79" s="79"/>
      <c r="H79" s="79"/>
      <c r="I79" s="79"/>
      <c r="J79" s="396"/>
      <c r="K79" s="399"/>
      <c r="L79" s="396"/>
      <c r="M79" s="396"/>
      <c r="N79" s="396"/>
      <c r="O79" s="396"/>
      <c r="P79" s="396"/>
      <c r="Q79" s="396"/>
      <c r="R79" s="396"/>
      <c r="S79" s="79"/>
      <c r="T79" s="79"/>
      <c r="U79" s="79"/>
      <c r="V79" s="79"/>
      <c r="W79" s="79"/>
      <c r="X79" s="79"/>
      <c r="Y79" s="79"/>
      <c r="Z79" s="79"/>
    </row>
    <row r="80" spans="1:26" ht="15.75" customHeight="1" x14ac:dyDescent="0.25">
      <c r="A80" s="79"/>
      <c r="B80" s="79"/>
      <c r="C80" s="400"/>
      <c r="D80" s="400"/>
      <c r="E80" s="400"/>
      <c r="F80" s="400"/>
      <c r="G80" s="79"/>
      <c r="H80" s="79"/>
      <c r="I80" s="79"/>
      <c r="J80" s="396"/>
      <c r="K80" s="399"/>
      <c r="L80" s="396"/>
      <c r="M80" s="396"/>
      <c r="N80" s="396"/>
      <c r="O80" s="396"/>
      <c r="P80" s="396"/>
      <c r="Q80" s="396"/>
      <c r="R80" s="396"/>
      <c r="S80" s="79"/>
      <c r="T80" s="79"/>
      <c r="U80" s="79"/>
      <c r="V80" s="79"/>
      <c r="W80" s="79"/>
      <c r="X80" s="79"/>
      <c r="Y80" s="79"/>
      <c r="Z80" s="79"/>
    </row>
    <row r="81" spans="1:26" ht="15.75" customHeight="1" x14ac:dyDescent="0.25">
      <c r="A81" s="79"/>
      <c r="B81" s="79"/>
      <c r="C81" s="400"/>
      <c r="D81" s="400"/>
      <c r="E81" s="400"/>
      <c r="F81" s="400"/>
      <c r="G81" s="79"/>
      <c r="H81" s="79"/>
      <c r="I81" s="79"/>
      <c r="J81" s="396"/>
      <c r="K81" s="399"/>
      <c r="L81" s="396"/>
      <c r="M81" s="396"/>
      <c r="N81" s="396"/>
      <c r="O81" s="396"/>
      <c r="P81" s="396"/>
      <c r="Q81" s="396"/>
      <c r="R81" s="396"/>
      <c r="S81" s="79"/>
      <c r="T81" s="79"/>
      <c r="U81" s="79"/>
      <c r="V81" s="79"/>
      <c r="W81" s="79"/>
      <c r="X81" s="79"/>
      <c r="Y81" s="79"/>
      <c r="Z81" s="79"/>
    </row>
    <row r="82" spans="1:26" ht="15.75" customHeight="1" x14ac:dyDescent="0.25">
      <c r="A82" s="79"/>
      <c r="B82" s="79"/>
      <c r="C82" s="400"/>
      <c r="D82" s="400"/>
      <c r="E82" s="400"/>
      <c r="F82" s="400"/>
      <c r="G82" s="79"/>
      <c r="H82" s="79"/>
      <c r="I82" s="79"/>
      <c r="J82" s="396"/>
      <c r="K82" s="399"/>
      <c r="L82" s="396"/>
      <c r="M82" s="396"/>
      <c r="N82" s="396"/>
      <c r="O82" s="396"/>
      <c r="P82" s="396"/>
      <c r="Q82" s="396"/>
      <c r="R82" s="396"/>
      <c r="S82" s="79"/>
      <c r="T82" s="79"/>
      <c r="U82" s="79"/>
      <c r="V82" s="79"/>
      <c r="W82" s="79"/>
      <c r="X82" s="79"/>
      <c r="Y82" s="79"/>
      <c r="Z82" s="79"/>
    </row>
    <row r="83" spans="1:26" ht="15.75" customHeight="1" x14ac:dyDescent="0.25">
      <c r="A83" s="79"/>
      <c r="B83" s="79"/>
      <c r="C83" s="400"/>
      <c r="D83" s="400"/>
      <c r="E83" s="400"/>
      <c r="F83" s="400"/>
      <c r="G83" s="79"/>
      <c r="H83" s="79"/>
      <c r="I83" s="79"/>
      <c r="J83" s="396"/>
      <c r="K83" s="399"/>
      <c r="L83" s="396"/>
      <c r="M83" s="396"/>
      <c r="N83" s="396"/>
      <c r="O83" s="396"/>
      <c r="P83" s="396"/>
      <c r="Q83" s="396"/>
      <c r="R83" s="396"/>
      <c r="S83" s="79"/>
      <c r="T83" s="79"/>
      <c r="U83" s="79"/>
      <c r="V83" s="79"/>
      <c r="W83" s="79"/>
      <c r="X83" s="79"/>
      <c r="Y83" s="79"/>
      <c r="Z83" s="79"/>
    </row>
    <row r="84" spans="1:26" ht="15.75" customHeight="1" x14ac:dyDescent="0.25">
      <c r="A84" s="79"/>
      <c r="B84" s="79"/>
      <c r="C84" s="400"/>
      <c r="D84" s="400"/>
      <c r="E84" s="400"/>
      <c r="F84" s="400"/>
      <c r="G84" s="79"/>
      <c r="H84" s="79"/>
      <c r="I84" s="79"/>
      <c r="J84" s="396"/>
      <c r="K84" s="399"/>
      <c r="L84" s="396"/>
      <c r="M84" s="396"/>
      <c r="N84" s="396"/>
      <c r="O84" s="396"/>
      <c r="P84" s="396"/>
      <c r="Q84" s="396"/>
      <c r="R84" s="396"/>
      <c r="S84" s="79"/>
      <c r="T84" s="79"/>
      <c r="U84" s="79"/>
      <c r="V84" s="79"/>
      <c r="W84" s="79"/>
      <c r="X84" s="79"/>
      <c r="Y84" s="79"/>
      <c r="Z84" s="79"/>
    </row>
    <row r="85" spans="1:26" ht="15.75" customHeight="1" x14ac:dyDescent="0.25">
      <c r="A85" s="79"/>
      <c r="B85" s="79"/>
      <c r="C85" s="400"/>
      <c r="D85" s="400"/>
      <c r="E85" s="400"/>
      <c r="F85" s="400"/>
      <c r="G85" s="79"/>
      <c r="H85" s="79"/>
      <c r="I85" s="79"/>
      <c r="J85" s="396"/>
      <c r="K85" s="399"/>
      <c r="L85" s="396"/>
      <c r="M85" s="396"/>
      <c r="N85" s="396"/>
      <c r="O85" s="396"/>
      <c r="P85" s="396"/>
      <c r="Q85" s="396"/>
      <c r="R85" s="396"/>
      <c r="S85" s="79"/>
      <c r="T85" s="79"/>
      <c r="U85" s="79"/>
      <c r="V85" s="79"/>
      <c r="W85" s="79"/>
      <c r="X85" s="79"/>
      <c r="Y85" s="79"/>
      <c r="Z85" s="79"/>
    </row>
    <row r="86" spans="1:26" ht="15.75" customHeight="1" x14ac:dyDescent="0.25">
      <c r="A86" s="79"/>
      <c r="B86" s="79"/>
      <c r="C86" s="400"/>
      <c r="D86" s="400"/>
      <c r="E86" s="400"/>
      <c r="F86" s="400"/>
      <c r="G86" s="79"/>
      <c r="H86" s="79"/>
      <c r="I86" s="79"/>
      <c r="J86" s="396"/>
      <c r="K86" s="399"/>
      <c r="L86" s="396"/>
      <c r="M86" s="396"/>
      <c r="N86" s="396"/>
      <c r="O86" s="396"/>
      <c r="P86" s="396"/>
      <c r="Q86" s="396"/>
      <c r="R86" s="396"/>
      <c r="S86" s="79"/>
      <c r="T86" s="79"/>
      <c r="U86" s="79"/>
      <c r="V86" s="79"/>
      <c r="W86" s="79"/>
      <c r="X86" s="79"/>
      <c r="Y86" s="79"/>
      <c r="Z86" s="79"/>
    </row>
    <row r="87" spans="1:26" ht="15.75" customHeight="1" x14ac:dyDescent="0.25">
      <c r="A87" s="79"/>
      <c r="B87" s="79"/>
      <c r="C87" s="400"/>
      <c r="D87" s="400"/>
      <c r="E87" s="400"/>
      <c r="F87" s="400"/>
      <c r="G87" s="79"/>
      <c r="H87" s="79"/>
      <c r="I87" s="79"/>
      <c r="J87" s="396"/>
      <c r="K87" s="399"/>
      <c r="L87" s="396"/>
      <c r="M87" s="396"/>
      <c r="N87" s="396"/>
      <c r="O87" s="396"/>
      <c r="P87" s="396"/>
      <c r="Q87" s="396"/>
      <c r="R87" s="396"/>
      <c r="S87" s="79"/>
      <c r="T87" s="79"/>
      <c r="U87" s="79"/>
      <c r="V87" s="79"/>
      <c r="W87" s="79"/>
      <c r="X87" s="79"/>
      <c r="Y87" s="79"/>
      <c r="Z87" s="79"/>
    </row>
    <row r="88" spans="1:26" ht="15.75" customHeight="1" x14ac:dyDescent="0.25">
      <c r="A88" s="79"/>
      <c r="B88" s="79"/>
      <c r="C88" s="400"/>
      <c r="D88" s="400"/>
      <c r="E88" s="400"/>
      <c r="F88" s="400"/>
      <c r="G88" s="79"/>
      <c r="H88" s="79"/>
      <c r="I88" s="79"/>
      <c r="J88" s="396"/>
      <c r="K88" s="399"/>
      <c r="L88" s="396"/>
      <c r="M88" s="396"/>
      <c r="N88" s="396"/>
      <c r="O88" s="396"/>
      <c r="P88" s="396"/>
      <c r="Q88" s="396"/>
      <c r="R88" s="396"/>
      <c r="S88" s="79"/>
      <c r="T88" s="79"/>
      <c r="U88" s="79"/>
      <c r="V88" s="79"/>
      <c r="W88" s="79"/>
      <c r="X88" s="79"/>
      <c r="Y88" s="79"/>
      <c r="Z88" s="79"/>
    </row>
    <row r="89" spans="1:26" ht="15.75" customHeight="1" x14ac:dyDescent="0.25">
      <c r="A89" s="79"/>
      <c r="B89" s="79"/>
      <c r="C89" s="400"/>
      <c r="D89" s="400"/>
      <c r="E89" s="400"/>
      <c r="F89" s="400"/>
      <c r="G89" s="79"/>
      <c r="H89" s="79"/>
      <c r="I89" s="79"/>
      <c r="J89" s="396"/>
      <c r="K89" s="399"/>
      <c r="L89" s="396"/>
      <c r="M89" s="396"/>
      <c r="N89" s="396"/>
      <c r="O89" s="396"/>
      <c r="P89" s="396"/>
      <c r="Q89" s="396"/>
      <c r="R89" s="396"/>
      <c r="S89" s="79"/>
      <c r="T89" s="79"/>
      <c r="U89" s="79"/>
      <c r="V89" s="79"/>
      <c r="W89" s="79"/>
      <c r="X89" s="79"/>
      <c r="Y89" s="79"/>
      <c r="Z89" s="79"/>
    </row>
    <row r="90" spans="1:26" ht="15.75" customHeight="1" x14ac:dyDescent="0.25">
      <c r="A90" s="79"/>
      <c r="B90" s="79"/>
      <c r="C90" s="400"/>
      <c r="D90" s="400"/>
      <c r="E90" s="400"/>
      <c r="F90" s="400"/>
      <c r="G90" s="79"/>
      <c r="H90" s="79"/>
      <c r="I90" s="79"/>
      <c r="J90" s="396"/>
      <c r="K90" s="399"/>
      <c r="L90" s="396"/>
      <c r="M90" s="396"/>
      <c r="N90" s="396"/>
      <c r="O90" s="396"/>
      <c r="P90" s="396"/>
      <c r="Q90" s="396"/>
      <c r="R90" s="396"/>
      <c r="S90" s="79"/>
      <c r="T90" s="79"/>
      <c r="U90" s="79"/>
      <c r="V90" s="79"/>
      <c r="W90" s="79"/>
      <c r="X90" s="79"/>
      <c r="Y90" s="79"/>
      <c r="Z90" s="79"/>
    </row>
    <row r="91" spans="1:26" ht="15.75" customHeight="1" x14ac:dyDescent="0.25">
      <c r="A91" s="79"/>
      <c r="B91" s="79"/>
      <c r="C91" s="400"/>
      <c r="D91" s="400"/>
      <c r="E91" s="400"/>
      <c r="F91" s="400"/>
      <c r="G91" s="79"/>
      <c r="H91" s="79"/>
      <c r="I91" s="79"/>
      <c r="J91" s="396"/>
      <c r="K91" s="399"/>
      <c r="L91" s="396"/>
      <c r="M91" s="396"/>
      <c r="N91" s="396"/>
      <c r="O91" s="396"/>
      <c r="P91" s="396"/>
      <c r="Q91" s="396"/>
      <c r="R91" s="396"/>
      <c r="S91" s="79"/>
      <c r="T91" s="79"/>
      <c r="U91" s="79"/>
      <c r="V91" s="79"/>
      <c r="W91" s="79"/>
      <c r="X91" s="79"/>
      <c r="Y91" s="79"/>
      <c r="Z91" s="79"/>
    </row>
    <row r="92" spans="1:26" ht="15.75" customHeight="1" x14ac:dyDescent="0.25">
      <c r="A92" s="79"/>
      <c r="B92" s="79"/>
      <c r="C92" s="400"/>
      <c r="D92" s="400"/>
      <c r="E92" s="400"/>
      <c r="F92" s="400"/>
      <c r="G92" s="79"/>
      <c r="H92" s="79"/>
      <c r="I92" s="79"/>
      <c r="J92" s="396"/>
      <c r="K92" s="399"/>
      <c r="L92" s="396"/>
      <c r="M92" s="396"/>
      <c r="N92" s="396"/>
      <c r="O92" s="396"/>
      <c r="P92" s="396"/>
      <c r="Q92" s="396"/>
      <c r="R92" s="396"/>
      <c r="S92" s="79"/>
      <c r="T92" s="79"/>
      <c r="U92" s="79"/>
      <c r="V92" s="79"/>
      <c r="W92" s="79"/>
      <c r="X92" s="79"/>
      <c r="Y92" s="79"/>
      <c r="Z92" s="79"/>
    </row>
    <row r="93" spans="1:26" ht="15.75" customHeight="1" x14ac:dyDescent="0.25">
      <c r="A93" s="79"/>
      <c r="B93" s="79"/>
      <c r="C93" s="400"/>
      <c r="D93" s="400"/>
      <c r="E93" s="400"/>
      <c r="F93" s="400"/>
      <c r="G93" s="79"/>
      <c r="H93" s="79"/>
      <c r="I93" s="79"/>
      <c r="J93" s="396"/>
      <c r="K93" s="399"/>
      <c r="L93" s="396"/>
      <c r="M93" s="396"/>
      <c r="N93" s="396"/>
      <c r="O93" s="396"/>
      <c r="P93" s="396"/>
      <c r="Q93" s="396"/>
      <c r="R93" s="396"/>
      <c r="S93" s="79"/>
      <c r="T93" s="79"/>
      <c r="U93" s="79"/>
      <c r="V93" s="79"/>
      <c r="W93" s="79"/>
      <c r="X93" s="79"/>
      <c r="Y93" s="79"/>
      <c r="Z93" s="79"/>
    </row>
    <row r="94" spans="1:26" ht="15.75" customHeight="1" x14ac:dyDescent="0.25">
      <c r="A94" s="79"/>
      <c r="B94" s="79"/>
      <c r="C94" s="400"/>
      <c r="D94" s="400"/>
      <c r="E94" s="400"/>
      <c r="F94" s="400"/>
      <c r="G94" s="79"/>
      <c r="H94" s="79"/>
      <c r="I94" s="79"/>
      <c r="J94" s="396"/>
      <c r="K94" s="399"/>
      <c r="L94" s="396"/>
      <c r="M94" s="396"/>
      <c r="N94" s="396"/>
      <c r="O94" s="396"/>
      <c r="P94" s="396"/>
      <c r="Q94" s="396"/>
      <c r="R94" s="396"/>
      <c r="S94" s="79"/>
      <c r="T94" s="79"/>
      <c r="U94" s="79"/>
      <c r="V94" s="79"/>
      <c r="W94" s="79"/>
      <c r="X94" s="79"/>
      <c r="Y94" s="79"/>
      <c r="Z94" s="79"/>
    </row>
    <row r="95" spans="1:26" ht="15.75" customHeight="1" x14ac:dyDescent="0.25">
      <c r="A95" s="79"/>
      <c r="B95" s="79"/>
      <c r="C95" s="400"/>
      <c r="D95" s="400"/>
      <c r="E95" s="400"/>
      <c r="F95" s="400"/>
      <c r="G95" s="79"/>
      <c r="H95" s="79"/>
      <c r="I95" s="79"/>
      <c r="J95" s="396"/>
      <c r="K95" s="399"/>
      <c r="L95" s="396"/>
      <c r="M95" s="396"/>
      <c r="N95" s="396"/>
      <c r="O95" s="396"/>
      <c r="P95" s="396"/>
      <c r="Q95" s="396"/>
      <c r="R95" s="396"/>
      <c r="S95" s="79"/>
      <c r="T95" s="79"/>
      <c r="U95" s="79"/>
      <c r="V95" s="79"/>
      <c r="W95" s="79"/>
      <c r="X95" s="79"/>
      <c r="Y95" s="79"/>
      <c r="Z95" s="79"/>
    </row>
    <row r="96" spans="1:26" ht="15.75" customHeight="1" x14ac:dyDescent="0.25">
      <c r="A96" s="79"/>
      <c r="B96" s="79"/>
      <c r="C96" s="400"/>
      <c r="D96" s="400"/>
      <c r="E96" s="400"/>
      <c r="F96" s="400"/>
      <c r="G96" s="79"/>
      <c r="H96" s="79"/>
      <c r="I96" s="79"/>
      <c r="J96" s="396"/>
      <c r="K96" s="399"/>
      <c r="L96" s="396"/>
      <c r="M96" s="396"/>
      <c r="N96" s="396"/>
      <c r="O96" s="396"/>
      <c r="P96" s="396"/>
      <c r="Q96" s="396"/>
      <c r="R96" s="396"/>
      <c r="S96" s="79"/>
      <c r="T96" s="79"/>
      <c r="U96" s="79"/>
      <c r="V96" s="79"/>
      <c r="W96" s="79"/>
      <c r="X96" s="79"/>
      <c r="Y96" s="79"/>
      <c r="Z96" s="79"/>
    </row>
    <row r="97" spans="1:26" ht="15.75" customHeight="1" x14ac:dyDescent="0.25">
      <c r="A97" s="79"/>
      <c r="B97" s="79"/>
      <c r="C97" s="400"/>
      <c r="D97" s="400"/>
      <c r="E97" s="400"/>
      <c r="F97" s="400"/>
      <c r="G97" s="79"/>
      <c r="H97" s="79"/>
      <c r="I97" s="79"/>
      <c r="J97" s="396"/>
      <c r="K97" s="399"/>
      <c r="L97" s="396"/>
      <c r="M97" s="396"/>
      <c r="N97" s="396"/>
      <c r="O97" s="396"/>
      <c r="P97" s="396"/>
      <c r="Q97" s="396"/>
      <c r="R97" s="396"/>
      <c r="S97" s="79"/>
      <c r="T97" s="79"/>
      <c r="U97" s="79"/>
      <c r="V97" s="79"/>
      <c r="W97" s="79"/>
      <c r="X97" s="79"/>
      <c r="Y97" s="79"/>
      <c r="Z97" s="79"/>
    </row>
    <row r="98" spans="1:26" ht="15.75" customHeight="1" x14ac:dyDescent="0.25">
      <c r="A98" s="79"/>
      <c r="B98" s="79"/>
      <c r="C98" s="400"/>
      <c r="D98" s="400"/>
      <c r="E98" s="400"/>
      <c r="F98" s="400"/>
      <c r="G98" s="79"/>
      <c r="H98" s="79"/>
      <c r="I98" s="79"/>
      <c r="J98" s="396"/>
      <c r="K98" s="399"/>
      <c r="L98" s="396"/>
      <c r="M98" s="396"/>
      <c r="N98" s="396"/>
      <c r="O98" s="396"/>
      <c r="P98" s="396"/>
      <c r="Q98" s="396"/>
      <c r="R98" s="396"/>
      <c r="S98" s="79"/>
      <c r="T98" s="79"/>
      <c r="U98" s="79"/>
      <c r="V98" s="79"/>
      <c r="W98" s="79"/>
      <c r="X98" s="79"/>
      <c r="Y98" s="79"/>
      <c r="Z98" s="79"/>
    </row>
    <row r="99" spans="1:26" ht="15.75" customHeight="1" x14ac:dyDescent="0.25">
      <c r="A99" s="79"/>
      <c r="B99" s="79"/>
      <c r="C99" s="400"/>
      <c r="D99" s="400"/>
      <c r="E99" s="400"/>
      <c r="F99" s="400"/>
      <c r="G99" s="79"/>
      <c r="H99" s="79"/>
      <c r="I99" s="79"/>
      <c r="J99" s="396"/>
      <c r="K99" s="399"/>
      <c r="L99" s="396"/>
      <c r="M99" s="396"/>
      <c r="N99" s="396"/>
      <c r="O99" s="396"/>
      <c r="P99" s="396"/>
      <c r="Q99" s="396"/>
      <c r="R99" s="396"/>
      <c r="S99" s="79"/>
      <c r="T99" s="79"/>
      <c r="U99" s="79"/>
      <c r="V99" s="79"/>
      <c r="W99" s="79"/>
      <c r="X99" s="79"/>
      <c r="Y99" s="79"/>
      <c r="Z99" s="79"/>
    </row>
    <row r="100" spans="1:26" ht="15.75" customHeight="1" x14ac:dyDescent="0.25">
      <c r="A100" s="79"/>
      <c r="B100" s="79"/>
      <c r="C100" s="400"/>
      <c r="D100" s="400"/>
      <c r="E100" s="400"/>
      <c r="F100" s="400"/>
      <c r="G100" s="79"/>
      <c r="H100" s="79"/>
      <c r="I100" s="79"/>
      <c r="J100" s="396"/>
      <c r="K100" s="399"/>
      <c r="L100" s="396"/>
      <c r="M100" s="396"/>
      <c r="N100" s="396"/>
      <c r="O100" s="396"/>
      <c r="P100" s="396"/>
      <c r="Q100" s="396"/>
      <c r="R100" s="396"/>
      <c r="S100" s="79"/>
      <c r="T100" s="79"/>
      <c r="U100" s="79"/>
      <c r="V100" s="79"/>
      <c r="W100" s="79"/>
      <c r="X100" s="79"/>
      <c r="Y100" s="79"/>
      <c r="Z100" s="79"/>
    </row>
    <row r="101" spans="1:26" ht="15.75" customHeight="1" x14ac:dyDescent="0.25">
      <c r="A101" s="79"/>
      <c r="B101" s="79"/>
      <c r="C101" s="400"/>
      <c r="D101" s="400"/>
      <c r="E101" s="400"/>
      <c r="F101" s="400"/>
      <c r="G101" s="79"/>
      <c r="H101" s="79"/>
      <c r="I101" s="79"/>
      <c r="J101" s="396"/>
      <c r="K101" s="399"/>
      <c r="L101" s="396"/>
      <c r="M101" s="396"/>
      <c r="N101" s="396"/>
      <c r="O101" s="396"/>
      <c r="P101" s="396"/>
      <c r="Q101" s="396"/>
      <c r="R101" s="396"/>
      <c r="S101" s="79"/>
      <c r="T101" s="79"/>
      <c r="U101" s="79"/>
      <c r="V101" s="79"/>
      <c r="W101" s="79"/>
      <c r="X101" s="79"/>
      <c r="Y101" s="79"/>
      <c r="Z101" s="79"/>
    </row>
    <row r="102" spans="1:26" ht="15.75" customHeight="1" x14ac:dyDescent="0.25">
      <c r="A102" s="79"/>
      <c r="B102" s="79"/>
      <c r="C102" s="400"/>
      <c r="D102" s="400"/>
      <c r="E102" s="400"/>
      <c r="F102" s="400"/>
      <c r="G102" s="79"/>
      <c r="H102" s="79"/>
      <c r="I102" s="79"/>
      <c r="J102" s="396"/>
      <c r="K102" s="399"/>
      <c r="L102" s="396"/>
      <c r="M102" s="396"/>
      <c r="N102" s="396"/>
      <c r="O102" s="396"/>
      <c r="P102" s="396"/>
      <c r="Q102" s="396"/>
      <c r="R102" s="396"/>
      <c r="S102" s="79"/>
      <c r="T102" s="79"/>
      <c r="U102" s="79"/>
      <c r="V102" s="79"/>
      <c r="W102" s="79"/>
      <c r="X102" s="79"/>
      <c r="Y102" s="79"/>
      <c r="Z102" s="79"/>
    </row>
    <row r="103" spans="1:26" ht="15.75" customHeight="1" x14ac:dyDescent="0.25">
      <c r="A103" s="79"/>
      <c r="B103" s="79"/>
      <c r="C103" s="400"/>
      <c r="D103" s="400"/>
      <c r="E103" s="400"/>
      <c r="F103" s="400"/>
      <c r="G103" s="79"/>
      <c r="H103" s="79"/>
      <c r="I103" s="79"/>
      <c r="J103" s="396"/>
      <c r="K103" s="399"/>
      <c r="L103" s="396"/>
      <c r="M103" s="396"/>
      <c r="N103" s="396"/>
      <c r="O103" s="396"/>
      <c r="P103" s="396"/>
      <c r="Q103" s="396"/>
      <c r="R103" s="396"/>
      <c r="S103" s="79"/>
      <c r="T103" s="79"/>
      <c r="U103" s="79"/>
      <c r="V103" s="79"/>
      <c r="W103" s="79"/>
      <c r="X103" s="79"/>
      <c r="Y103" s="79"/>
      <c r="Z103" s="79"/>
    </row>
    <row r="104" spans="1:26" ht="15.75" customHeight="1" x14ac:dyDescent="0.25">
      <c r="A104" s="79"/>
      <c r="B104" s="79"/>
      <c r="C104" s="400"/>
      <c r="D104" s="400"/>
      <c r="E104" s="400"/>
      <c r="F104" s="400"/>
      <c r="G104" s="79"/>
      <c r="H104" s="79"/>
      <c r="I104" s="79"/>
      <c r="J104" s="396"/>
      <c r="K104" s="399"/>
      <c r="L104" s="396"/>
      <c r="M104" s="396"/>
      <c r="N104" s="396"/>
      <c r="O104" s="396"/>
      <c r="P104" s="396"/>
      <c r="Q104" s="396"/>
      <c r="R104" s="396"/>
      <c r="S104" s="79"/>
      <c r="T104" s="79"/>
      <c r="U104" s="79"/>
      <c r="V104" s="79"/>
      <c r="W104" s="79"/>
      <c r="X104" s="79"/>
      <c r="Y104" s="79"/>
      <c r="Z104" s="79"/>
    </row>
    <row r="105" spans="1:26" ht="15.75" customHeight="1" x14ac:dyDescent="0.25">
      <c r="A105" s="79"/>
      <c r="B105" s="79"/>
      <c r="C105" s="400"/>
      <c r="D105" s="400"/>
      <c r="E105" s="400"/>
      <c r="F105" s="400"/>
      <c r="G105" s="79"/>
      <c r="H105" s="79"/>
      <c r="I105" s="79"/>
      <c r="J105" s="396"/>
      <c r="K105" s="399"/>
      <c r="L105" s="396"/>
      <c r="M105" s="396"/>
      <c r="N105" s="396"/>
      <c r="O105" s="396"/>
      <c r="P105" s="396"/>
      <c r="Q105" s="396"/>
      <c r="R105" s="396"/>
      <c r="S105" s="79"/>
      <c r="T105" s="79"/>
      <c r="U105" s="79"/>
      <c r="V105" s="79"/>
      <c r="W105" s="79"/>
      <c r="X105" s="79"/>
      <c r="Y105" s="79"/>
      <c r="Z105" s="79"/>
    </row>
    <row r="106" spans="1:26" ht="15.75" customHeight="1" x14ac:dyDescent="0.25">
      <c r="A106" s="79"/>
      <c r="B106" s="79"/>
      <c r="C106" s="400"/>
      <c r="D106" s="400"/>
      <c r="E106" s="400"/>
      <c r="F106" s="400"/>
      <c r="G106" s="79"/>
      <c r="H106" s="79"/>
      <c r="I106" s="79"/>
      <c r="J106" s="396"/>
      <c r="K106" s="399"/>
      <c r="L106" s="396"/>
      <c r="M106" s="396"/>
      <c r="N106" s="396"/>
      <c r="O106" s="396"/>
      <c r="P106" s="396"/>
      <c r="Q106" s="396"/>
      <c r="R106" s="396"/>
      <c r="S106" s="79"/>
      <c r="T106" s="79"/>
      <c r="U106" s="79"/>
      <c r="V106" s="79"/>
      <c r="W106" s="79"/>
      <c r="X106" s="79"/>
      <c r="Y106" s="79"/>
      <c r="Z106" s="79"/>
    </row>
    <row r="107" spans="1:26" ht="15.75" customHeight="1" x14ac:dyDescent="0.25">
      <c r="A107" s="79"/>
      <c r="B107" s="79"/>
      <c r="C107" s="400"/>
      <c r="D107" s="400"/>
      <c r="E107" s="400"/>
      <c r="F107" s="400"/>
      <c r="G107" s="79"/>
      <c r="H107" s="79"/>
      <c r="I107" s="79"/>
      <c r="J107" s="396"/>
      <c r="K107" s="399"/>
      <c r="L107" s="396"/>
      <c r="M107" s="396"/>
      <c r="N107" s="396"/>
      <c r="O107" s="396"/>
      <c r="P107" s="396"/>
      <c r="Q107" s="396"/>
      <c r="R107" s="396"/>
      <c r="S107" s="79"/>
      <c r="T107" s="79"/>
      <c r="U107" s="79"/>
      <c r="V107" s="79"/>
      <c r="W107" s="79"/>
      <c r="X107" s="79"/>
      <c r="Y107" s="79"/>
      <c r="Z107" s="79"/>
    </row>
    <row r="108" spans="1:26" ht="15.75" customHeight="1" x14ac:dyDescent="0.25">
      <c r="A108" s="79"/>
      <c r="B108" s="79"/>
      <c r="C108" s="400"/>
      <c r="D108" s="400"/>
      <c r="E108" s="400"/>
      <c r="F108" s="400"/>
      <c r="G108" s="79"/>
      <c r="H108" s="79"/>
      <c r="I108" s="79"/>
      <c r="J108" s="396"/>
      <c r="K108" s="399"/>
      <c r="L108" s="396"/>
      <c r="M108" s="396"/>
      <c r="N108" s="396"/>
      <c r="O108" s="396"/>
      <c r="P108" s="396"/>
      <c r="Q108" s="396"/>
      <c r="R108" s="396"/>
      <c r="S108" s="79"/>
      <c r="T108" s="79"/>
      <c r="U108" s="79"/>
      <c r="V108" s="79"/>
      <c r="W108" s="79"/>
      <c r="X108" s="79"/>
      <c r="Y108" s="79"/>
      <c r="Z108" s="79"/>
    </row>
    <row r="109" spans="1:26" ht="15.75" customHeight="1" x14ac:dyDescent="0.25">
      <c r="A109" s="79"/>
      <c r="B109" s="79"/>
      <c r="C109" s="400"/>
      <c r="D109" s="400"/>
      <c r="E109" s="400"/>
      <c r="F109" s="400"/>
      <c r="G109" s="79"/>
      <c r="H109" s="79"/>
      <c r="I109" s="79"/>
      <c r="J109" s="396"/>
      <c r="K109" s="399"/>
      <c r="L109" s="396"/>
      <c r="M109" s="396"/>
      <c r="N109" s="396"/>
      <c r="O109" s="396"/>
      <c r="P109" s="396"/>
      <c r="Q109" s="396"/>
      <c r="R109" s="396"/>
      <c r="S109" s="79"/>
      <c r="T109" s="79"/>
      <c r="U109" s="79"/>
      <c r="V109" s="79"/>
      <c r="W109" s="79"/>
      <c r="X109" s="79"/>
      <c r="Y109" s="79"/>
      <c r="Z109" s="79"/>
    </row>
    <row r="110" spans="1:26" ht="15.75" customHeight="1" x14ac:dyDescent="0.25">
      <c r="A110" s="79"/>
      <c r="B110" s="79"/>
      <c r="C110" s="400"/>
      <c r="D110" s="400"/>
      <c r="E110" s="400"/>
      <c r="F110" s="400"/>
      <c r="G110" s="79"/>
      <c r="H110" s="79"/>
      <c r="I110" s="79"/>
      <c r="J110" s="396"/>
      <c r="K110" s="399"/>
      <c r="L110" s="396"/>
      <c r="M110" s="396"/>
      <c r="N110" s="396"/>
      <c r="O110" s="396"/>
      <c r="P110" s="396"/>
      <c r="Q110" s="396"/>
      <c r="R110" s="396"/>
      <c r="S110" s="79"/>
      <c r="T110" s="79"/>
      <c r="U110" s="79"/>
      <c r="V110" s="79"/>
      <c r="W110" s="79"/>
      <c r="X110" s="79"/>
      <c r="Y110" s="79"/>
      <c r="Z110" s="79"/>
    </row>
    <row r="111" spans="1:26" ht="15.75" customHeight="1" x14ac:dyDescent="0.25">
      <c r="A111" s="79"/>
      <c r="B111" s="79"/>
      <c r="C111" s="400"/>
      <c r="D111" s="400"/>
      <c r="E111" s="400"/>
      <c r="F111" s="400"/>
      <c r="G111" s="79"/>
      <c r="H111" s="79"/>
      <c r="I111" s="79"/>
      <c r="J111" s="396"/>
      <c r="K111" s="399"/>
      <c r="L111" s="396"/>
      <c r="M111" s="396"/>
      <c r="N111" s="396"/>
      <c r="O111" s="396"/>
      <c r="P111" s="396"/>
      <c r="Q111" s="396"/>
      <c r="R111" s="396"/>
      <c r="S111" s="79"/>
      <c r="T111" s="79"/>
      <c r="U111" s="79"/>
      <c r="V111" s="79"/>
      <c r="W111" s="79"/>
      <c r="X111" s="79"/>
      <c r="Y111" s="79"/>
      <c r="Z111" s="79"/>
    </row>
    <row r="112" spans="1:26" ht="15.75" customHeight="1" x14ac:dyDescent="0.25">
      <c r="A112" s="79"/>
      <c r="B112" s="79"/>
      <c r="C112" s="400"/>
      <c r="D112" s="400"/>
      <c r="E112" s="400"/>
      <c r="F112" s="400"/>
      <c r="G112" s="79"/>
      <c r="H112" s="79"/>
      <c r="I112" s="79"/>
      <c r="J112" s="396"/>
      <c r="K112" s="399"/>
      <c r="L112" s="396"/>
      <c r="M112" s="396"/>
      <c r="N112" s="396"/>
      <c r="O112" s="396"/>
      <c r="P112" s="396"/>
      <c r="Q112" s="396"/>
      <c r="R112" s="396"/>
      <c r="S112" s="79"/>
      <c r="T112" s="79"/>
      <c r="U112" s="79"/>
      <c r="V112" s="79"/>
      <c r="W112" s="79"/>
      <c r="X112" s="79"/>
      <c r="Y112" s="79"/>
      <c r="Z112" s="79"/>
    </row>
    <row r="113" spans="1:26" ht="15.75" customHeight="1" x14ac:dyDescent="0.25">
      <c r="A113" s="79"/>
      <c r="B113" s="79"/>
      <c r="C113" s="400"/>
      <c r="D113" s="400"/>
      <c r="E113" s="400"/>
      <c r="F113" s="400"/>
      <c r="G113" s="79"/>
      <c r="H113" s="79"/>
      <c r="I113" s="79"/>
      <c r="J113" s="396"/>
      <c r="K113" s="399"/>
      <c r="L113" s="396"/>
      <c r="M113" s="396"/>
      <c r="N113" s="396"/>
      <c r="O113" s="396"/>
      <c r="P113" s="396"/>
      <c r="Q113" s="396"/>
      <c r="R113" s="396"/>
      <c r="S113" s="79"/>
      <c r="T113" s="79"/>
      <c r="U113" s="79"/>
      <c r="V113" s="79"/>
      <c r="W113" s="79"/>
      <c r="X113" s="79"/>
      <c r="Y113" s="79"/>
      <c r="Z113" s="79"/>
    </row>
    <row r="114" spans="1:26" ht="15.75" customHeight="1" x14ac:dyDescent="0.25">
      <c r="A114" s="79"/>
      <c r="B114" s="79"/>
      <c r="C114" s="400"/>
      <c r="D114" s="400"/>
      <c r="E114" s="400"/>
      <c r="F114" s="400"/>
      <c r="G114" s="79"/>
      <c r="H114" s="79"/>
      <c r="I114" s="79"/>
      <c r="J114" s="396"/>
      <c r="K114" s="399"/>
      <c r="L114" s="396"/>
      <c r="M114" s="396"/>
      <c r="N114" s="396"/>
      <c r="O114" s="396"/>
      <c r="P114" s="396"/>
      <c r="Q114" s="396"/>
      <c r="R114" s="396"/>
      <c r="S114" s="79"/>
      <c r="T114" s="79"/>
      <c r="U114" s="79"/>
      <c r="V114" s="79"/>
      <c r="W114" s="79"/>
      <c r="X114" s="79"/>
      <c r="Y114" s="79"/>
      <c r="Z114" s="79"/>
    </row>
    <row r="115" spans="1:26" ht="15.75" customHeight="1" x14ac:dyDescent="0.25">
      <c r="A115" s="79"/>
      <c r="B115" s="79"/>
      <c r="C115" s="400"/>
      <c r="D115" s="400"/>
      <c r="E115" s="400"/>
      <c r="F115" s="400"/>
      <c r="G115" s="79"/>
      <c r="H115" s="79"/>
      <c r="I115" s="79"/>
      <c r="J115" s="396"/>
      <c r="K115" s="399"/>
      <c r="L115" s="396"/>
      <c r="M115" s="396"/>
      <c r="N115" s="396"/>
      <c r="O115" s="396"/>
      <c r="P115" s="396"/>
      <c r="Q115" s="396"/>
      <c r="R115" s="396"/>
      <c r="S115" s="79"/>
      <c r="T115" s="79"/>
      <c r="U115" s="79"/>
      <c r="V115" s="79"/>
      <c r="W115" s="79"/>
      <c r="X115" s="79"/>
      <c r="Y115" s="79"/>
      <c r="Z115" s="79"/>
    </row>
    <row r="116" spans="1:26" ht="15.75" customHeight="1" x14ac:dyDescent="0.25">
      <c r="A116" s="79"/>
      <c r="B116" s="79"/>
      <c r="C116" s="400"/>
      <c r="D116" s="400"/>
      <c r="E116" s="400"/>
      <c r="F116" s="400"/>
      <c r="G116" s="79"/>
      <c r="H116" s="79"/>
      <c r="I116" s="79"/>
      <c r="J116" s="396"/>
      <c r="K116" s="399"/>
      <c r="L116" s="396"/>
      <c r="M116" s="396"/>
      <c r="N116" s="396"/>
      <c r="O116" s="396"/>
      <c r="P116" s="396"/>
      <c r="Q116" s="396"/>
      <c r="R116" s="396"/>
      <c r="S116" s="79"/>
      <c r="T116" s="79"/>
      <c r="U116" s="79"/>
      <c r="V116" s="79"/>
      <c r="W116" s="79"/>
      <c r="X116" s="79"/>
      <c r="Y116" s="79"/>
      <c r="Z116" s="79"/>
    </row>
    <row r="117" spans="1:26" ht="15.75" customHeight="1" x14ac:dyDescent="0.25">
      <c r="A117" s="79"/>
      <c r="B117" s="79"/>
      <c r="C117" s="400"/>
      <c r="D117" s="400"/>
      <c r="E117" s="400"/>
      <c r="F117" s="400"/>
      <c r="G117" s="79"/>
      <c r="H117" s="79"/>
      <c r="I117" s="79"/>
      <c r="J117" s="396"/>
      <c r="K117" s="399"/>
      <c r="L117" s="396"/>
      <c r="M117" s="396"/>
      <c r="N117" s="396"/>
      <c r="O117" s="396"/>
      <c r="P117" s="396"/>
      <c r="Q117" s="396"/>
      <c r="R117" s="396"/>
      <c r="S117" s="79"/>
      <c r="T117" s="79"/>
      <c r="U117" s="79"/>
      <c r="V117" s="79"/>
      <c r="W117" s="79"/>
      <c r="X117" s="79"/>
      <c r="Y117" s="79"/>
      <c r="Z117" s="79"/>
    </row>
    <row r="118" spans="1:26" ht="15.75" customHeight="1" x14ac:dyDescent="0.25">
      <c r="A118" s="79"/>
      <c r="B118" s="79"/>
      <c r="C118" s="400"/>
      <c r="D118" s="400"/>
      <c r="E118" s="400"/>
      <c r="F118" s="400"/>
      <c r="G118" s="79"/>
      <c r="H118" s="79"/>
      <c r="I118" s="79"/>
      <c r="J118" s="396"/>
      <c r="K118" s="399"/>
      <c r="L118" s="396"/>
      <c r="M118" s="396"/>
      <c r="N118" s="396"/>
      <c r="O118" s="396"/>
      <c r="P118" s="396"/>
      <c r="Q118" s="396"/>
      <c r="R118" s="396"/>
      <c r="S118" s="79"/>
      <c r="T118" s="79"/>
      <c r="U118" s="79"/>
      <c r="V118" s="79"/>
      <c r="W118" s="79"/>
      <c r="X118" s="79"/>
      <c r="Y118" s="79"/>
      <c r="Z118" s="79"/>
    </row>
    <row r="119" spans="1:26" ht="15.75" customHeight="1" x14ac:dyDescent="0.25">
      <c r="A119" s="79"/>
      <c r="B119" s="79"/>
      <c r="C119" s="400"/>
      <c r="D119" s="400"/>
      <c r="E119" s="400"/>
      <c r="F119" s="400"/>
      <c r="G119" s="79"/>
      <c r="H119" s="79"/>
      <c r="I119" s="79"/>
      <c r="J119" s="396"/>
      <c r="K119" s="399"/>
      <c r="L119" s="396"/>
      <c r="M119" s="396"/>
      <c r="N119" s="396"/>
      <c r="O119" s="396"/>
      <c r="P119" s="396"/>
      <c r="Q119" s="396"/>
      <c r="R119" s="396"/>
      <c r="S119" s="79"/>
      <c r="T119" s="79"/>
      <c r="U119" s="79"/>
      <c r="V119" s="79"/>
      <c r="W119" s="79"/>
      <c r="X119" s="79"/>
      <c r="Y119" s="79"/>
      <c r="Z119" s="79"/>
    </row>
    <row r="120" spans="1:26" ht="15.75" customHeight="1" x14ac:dyDescent="0.25">
      <c r="A120" s="79"/>
      <c r="B120" s="79"/>
      <c r="C120" s="400"/>
      <c r="D120" s="400"/>
      <c r="E120" s="400"/>
      <c r="F120" s="400"/>
      <c r="G120" s="79"/>
      <c r="H120" s="79"/>
      <c r="I120" s="79"/>
      <c r="J120" s="396"/>
      <c r="K120" s="399"/>
      <c r="L120" s="396"/>
      <c r="M120" s="396"/>
      <c r="N120" s="396"/>
      <c r="O120" s="396"/>
      <c r="P120" s="396"/>
      <c r="Q120" s="396"/>
      <c r="R120" s="396"/>
      <c r="S120" s="79"/>
      <c r="T120" s="79"/>
      <c r="U120" s="79"/>
      <c r="V120" s="79"/>
      <c r="W120" s="79"/>
      <c r="X120" s="79"/>
      <c r="Y120" s="79"/>
      <c r="Z120" s="79"/>
    </row>
    <row r="121" spans="1:26" ht="15.75" customHeight="1" x14ac:dyDescent="0.25">
      <c r="A121" s="79"/>
      <c r="B121" s="79"/>
      <c r="C121" s="400"/>
      <c r="D121" s="400"/>
      <c r="E121" s="400"/>
      <c r="F121" s="400"/>
      <c r="G121" s="79"/>
      <c r="H121" s="79"/>
      <c r="I121" s="79"/>
      <c r="J121" s="396"/>
      <c r="K121" s="399"/>
      <c r="L121" s="396"/>
      <c r="M121" s="396"/>
      <c r="N121" s="396"/>
      <c r="O121" s="396"/>
      <c r="P121" s="396"/>
      <c r="Q121" s="396"/>
      <c r="R121" s="396"/>
      <c r="S121" s="79"/>
      <c r="T121" s="79"/>
      <c r="U121" s="79"/>
      <c r="V121" s="79"/>
      <c r="W121" s="79"/>
      <c r="X121" s="79"/>
      <c r="Y121" s="79"/>
      <c r="Z121" s="79"/>
    </row>
    <row r="122" spans="1:26" ht="15.75" customHeight="1" x14ac:dyDescent="0.25">
      <c r="A122" s="79"/>
      <c r="B122" s="79"/>
      <c r="C122" s="400"/>
      <c r="D122" s="400"/>
      <c r="E122" s="400"/>
      <c r="F122" s="400"/>
      <c r="G122" s="79"/>
      <c r="H122" s="79"/>
      <c r="I122" s="79"/>
      <c r="J122" s="396"/>
      <c r="K122" s="399"/>
      <c r="L122" s="396"/>
      <c r="M122" s="396"/>
      <c r="N122" s="396"/>
      <c r="O122" s="396"/>
      <c r="P122" s="396"/>
      <c r="Q122" s="396"/>
      <c r="R122" s="396"/>
      <c r="S122" s="79"/>
      <c r="T122" s="79"/>
      <c r="U122" s="79"/>
      <c r="V122" s="79"/>
      <c r="W122" s="79"/>
      <c r="X122" s="79"/>
      <c r="Y122" s="79"/>
      <c r="Z122" s="79"/>
    </row>
    <row r="123" spans="1:26" ht="15.75" customHeight="1" x14ac:dyDescent="0.25">
      <c r="A123" s="79"/>
      <c r="B123" s="79"/>
      <c r="C123" s="400"/>
      <c r="D123" s="400"/>
      <c r="E123" s="400"/>
      <c r="F123" s="400"/>
      <c r="G123" s="79"/>
      <c r="H123" s="79"/>
      <c r="I123" s="79"/>
      <c r="J123" s="396"/>
      <c r="K123" s="399"/>
      <c r="L123" s="396"/>
      <c r="M123" s="396"/>
      <c r="N123" s="396"/>
      <c r="O123" s="396"/>
      <c r="P123" s="396"/>
      <c r="Q123" s="396"/>
      <c r="R123" s="396"/>
      <c r="S123" s="79"/>
      <c r="T123" s="79"/>
      <c r="U123" s="79"/>
      <c r="V123" s="79"/>
      <c r="W123" s="79"/>
      <c r="X123" s="79"/>
      <c r="Y123" s="79"/>
      <c r="Z123" s="79"/>
    </row>
    <row r="124" spans="1:26" ht="15.75" customHeight="1" x14ac:dyDescent="0.25">
      <c r="A124" s="79"/>
      <c r="B124" s="79"/>
      <c r="C124" s="400"/>
      <c r="D124" s="400"/>
      <c r="E124" s="400"/>
      <c r="F124" s="400"/>
      <c r="G124" s="79"/>
      <c r="H124" s="79"/>
      <c r="I124" s="79"/>
      <c r="J124" s="396"/>
      <c r="K124" s="399"/>
      <c r="L124" s="396"/>
      <c r="M124" s="396"/>
      <c r="N124" s="396"/>
      <c r="O124" s="396"/>
      <c r="P124" s="396"/>
      <c r="Q124" s="396"/>
      <c r="R124" s="396"/>
      <c r="S124" s="79"/>
      <c r="T124" s="79"/>
      <c r="U124" s="79"/>
      <c r="V124" s="79"/>
      <c r="W124" s="79"/>
      <c r="X124" s="79"/>
      <c r="Y124" s="79"/>
      <c r="Z124" s="79"/>
    </row>
    <row r="125" spans="1:26" ht="15.75" customHeight="1" x14ac:dyDescent="0.25">
      <c r="A125" s="79"/>
      <c r="B125" s="79"/>
      <c r="C125" s="400"/>
      <c r="D125" s="400"/>
      <c r="E125" s="400"/>
      <c r="F125" s="400"/>
      <c r="G125" s="79"/>
      <c r="H125" s="79"/>
      <c r="I125" s="79"/>
      <c r="J125" s="396"/>
      <c r="K125" s="399"/>
      <c r="L125" s="396"/>
      <c r="M125" s="396"/>
      <c r="N125" s="396"/>
      <c r="O125" s="396"/>
      <c r="P125" s="396"/>
      <c r="Q125" s="396"/>
      <c r="R125" s="396"/>
      <c r="S125" s="79"/>
      <c r="T125" s="79"/>
      <c r="U125" s="79"/>
      <c r="V125" s="79"/>
      <c r="W125" s="79"/>
      <c r="X125" s="79"/>
      <c r="Y125" s="79"/>
      <c r="Z125" s="79"/>
    </row>
    <row r="126" spans="1:26" ht="15.75" customHeight="1" x14ac:dyDescent="0.25">
      <c r="A126" s="79"/>
      <c r="B126" s="79"/>
      <c r="C126" s="400"/>
      <c r="D126" s="400"/>
      <c r="E126" s="400"/>
      <c r="F126" s="400"/>
      <c r="G126" s="79"/>
      <c r="H126" s="79"/>
      <c r="I126" s="79"/>
      <c r="J126" s="396"/>
      <c r="K126" s="399"/>
      <c r="L126" s="396"/>
      <c r="M126" s="396"/>
      <c r="N126" s="396"/>
      <c r="O126" s="396"/>
      <c r="P126" s="396"/>
      <c r="Q126" s="396"/>
      <c r="R126" s="396"/>
      <c r="S126" s="79"/>
      <c r="T126" s="79"/>
      <c r="U126" s="79"/>
      <c r="V126" s="79"/>
      <c r="W126" s="79"/>
      <c r="X126" s="79"/>
      <c r="Y126" s="79"/>
      <c r="Z126" s="79"/>
    </row>
    <row r="127" spans="1:26" ht="15.75" customHeight="1" x14ac:dyDescent="0.25">
      <c r="A127" s="79"/>
      <c r="B127" s="79"/>
      <c r="C127" s="400"/>
      <c r="D127" s="400"/>
      <c r="E127" s="400"/>
      <c r="F127" s="400"/>
      <c r="G127" s="79"/>
      <c r="H127" s="79"/>
      <c r="I127" s="79"/>
      <c r="J127" s="396"/>
      <c r="K127" s="399"/>
      <c r="L127" s="396"/>
      <c r="M127" s="396"/>
      <c r="N127" s="396"/>
      <c r="O127" s="396"/>
      <c r="P127" s="396"/>
      <c r="Q127" s="396"/>
      <c r="R127" s="396"/>
      <c r="S127" s="79"/>
      <c r="T127" s="79"/>
      <c r="U127" s="79"/>
      <c r="V127" s="79"/>
      <c r="W127" s="79"/>
      <c r="X127" s="79"/>
      <c r="Y127" s="79"/>
      <c r="Z127" s="79"/>
    </row>
    <row r="128" spans="1:26" ht="15.75" customHeight="1" x14ac:dyDescent="0.25">
      <c r="A128" s="79"/>
      <c r="B128" s="79"/>
      <c r="C128" s="400"/>
      <c r="D128" s="400"/>
      <c r="E128" s="400"/>
      <c r="F128" s="400"/>
      <c r="G128" s="79"/>
      <c r="H128" s="79"/>
      <c r="I128" s="79"/>
      <c r="J128" s="396"/>
      <c r="K128" s="399"/>
      <c r="L128" s="396"/>
      <c r="M128" s="396"/>
      <c r="N128" s="396"/>
      <c r="O128" s="396"/>
      <c r="P128" s="396"/>
      <c r="Q128" s="396"/>
      <c r="R128" s="396"/>
      <c r="S128" s="79"/>
      <c r="T128" s="79"/>
      <c r="U128" s="79"/>
      <c r="V128" s="79"/>
      <c r="W128" s="79"/>
      <c r="X128" s="79"/>
      <c r="Y128" s="79"/>
      <c r="Z128" s="79"/>
    </row>
    <row r="129" spans="1:26" ht="15.75" customHeight="1" x14ac:dyDescent="0.25">
      <c r="A129" s="79"/>
      <c r="B129" s="79"/>
      <c r="C129" s="400"/>
      <c r="D129" s="400"/>
      <c r="E129" s="400"/>
      <c r="F129" s="400"/>
      <c r="G129" s="79"/>
      <c r="H129" s="79"/>
      <c r="I129" s="79"/>
      <c r="J129" s="396"/>
      <c r="K129" s="399"/>
      <c r="L129" s="396"/>
      <c r="M129" s="396"/>
      <c r="N129" s="396"/>
      <c r="O129" s="396"/>
      <c r="P129" s="396"/>
      <c r="Q129" s="396"/>
      <c r="R129" s="396"/>
      <c r="S129" s="79"/>
      <c r="T129" s="79"/>
      <c r="U129" s="79"/>
      <c r="V129" s="79"/>
      <c r="W129" s="79"/>
      <c r="X129" s="79"/>
      <c r="Y129" s="79"/>
      <c r="Z129" s="79"/>
    </row>
    <row r="130" spans="1:26" ht="15.75" customHeight="1" x14ac:dyDescent="0.25">
      <c r="A130" s="79"/>
      <c r="B130" s="79"/>
      <c r="C130" s="400"/>
      <c r="D130" s="400"/>
      <c r="E130" s="400"/>
      <c r="F130" s="400"/>
      <c r="G130" s="79"/>
      <c r="H130" s="79"/>
      <c r="I130" s="79"/>
      <c r="J130" s="396"/>
      <c r="K130" s="399"/>
      <c r="L130" s="396"/>
      <c r="M130" s="396"/>
      <c r="N130" s="396"/>
      <c r="O130" s="396"/>
      <c r="P130" s="396"/>
      <c r="Q130" s="396"/>
      <c r="R130" s="396"/>
      <c r="S130" s="79"/>
      <c r="T130" s="79"/>
      <c r="U130" s="79"/>
      <c r="V130" s="79"/>
      <c r="W130" s="79"/>
      <c r="X130" s="79"/>
      <c r="Y130" s="79"/>
      <c r="Z130" s="79"/>
    </row>
    <row r="131" spans="1:26" ht="15.75" customHeight="1" x14ac:dyDescent="0.25">
      <c r="A131" s="79"/>
      <c r="B131" s="79"/>
      <c r="C131" s="400"/>
      <c r="D131" s="400"/>
      <c r="E131" s="400"/>
      <c r="F131" s="400"/>
      <c r="G131" s="79"/>
      <c r="H131" s="79"/>
      <c r="I131" s="79"/>
      <c r="J131" s="396"/>
      <c r="K131" s="399"/>
      <c r="L131" s="396"/>
      <c r="M131" s="396"/>
      <c r="N131" s="396"/>
      <c r="O131" s="396"/>
      <c r="P131" s="396"/>
      <c r="Q131" s="396"/>
      <c r="R131" s="396"/>
      <c r="S131" s="79"/>
      <c r="T131" s="79"/>
      <c r="U131" s="79"/>
      <c r="V131" s="79"/>
      <c r="W131" s="79"/>
      <c r="X131" s="79"/>
      <c r="Y131" s="79"/>
      <c r="Z131" s="79"/>
    </row>
    <row r="132" spans="1:26" ht="15.75" customHeight="1" x14ac:dyDescent="0.25">
      <c r="A132" s="79"/>
      <c r="B132" s="79"/>
      <c r="C132" s="400"/>
      <c r="D132" s="400"/>
      <c r="E132" s="400"/>
      <c r="F132" s="400"/>
      <c r="G132" s="79"/>
      <c r="H132" s="79"/>
      <c r="I132" s="79"/>
      <c r="J132" s="396"/>
      <c r="K132" s="399"/>
      <c r="L132" s="396"/>
      <c r="M132" s="396"/>
      <c r="N132" s="396"/>
      <c r="O132" s="396"/>
      <c r="P132" s="396"/>
      <c r="Q132" s="396"/>
      <c r="R132" s="396"/>
      <c r="S132" s="79"/>
      <c r="T132" s="79"/>
      <c r="U132" s="79"/>
      <c r="V132" s="79"/>
      <c r="W132" s="79"/>
      <c r="X132" s="79"/>
      <c r="Y132" s="79"/>
      <c r="Z132" s="79"/>
    </row>
    <row r="133" spans="1:26" ht="15.75" customHeight="1" x14ac:dyDescent="0.25">
      <c r="A133" s="79"/>
      <c r="B133" s="79"/>
      <c r="C133" s="400"/>
      <c r="D133" s="400"/>
      <c r="E133" s="400"/>
      <c r="F133" s="400"/>
      <c r="G133" s="79"/>
      <c r="H133" s="79"/>
      <c r="I133" s="79"/>
      <c r="J133" s="396"/>
      <c r="K133" s="399"/>
      <c r="L133" s="396"/>
      <c r="M133" s="396"/>
      <c r="N133" s="396"/>
      <c r="O133" s="396"/>
      <c r="P133" s="396"/>
      <c r="Q133" s="396"/>
      <c r="R133" s="396"/>
      <c r="S133" s="79"/>
      <c r="T133" s="79"/>
      <c r="U133" s="79"/>
      <c r="V133" s="79"/>
      <c r="W133" s="79"/>
      <c r="X133" s="79"/>
      <c r="Y133" s="79"/>
      <c r="Z133" s="79"/>
    </row>
    <row r="134" spans="1:26" ht="15.75" customHeight="1" x14ac:dyDescent="0.25">
      <c r="A134" s="79"/>
      <c r="B134" s="79"/>
      <c r="C134" s="400"/>
      <c r="D134" s="400"/>
      <c r="E134" s="400"/>
      <c r="F134" s="400"/>
      <c r="G134" s="79"/>
      <c r="H134" s="79"/>
      <c r="I134" s="79"/>
      <c r="J134" s="396"/>
      <c r="K134" s="399"/>
      <c r="L134" s="396"/>
      <c r="M134" s="396"/>
      <c r="N134" s="396"/>
      <c r="O134" s="396"/>
      <c r="P134" s="396"/>
      <c r="Q134" s="396"/>
      <c r="R134" s="396"/>
      <c r="S134" s="79"/>
      <c r="T134" s="79"/>
      <c r="U134" s="79"/>
      <c r="V134" s="79"/>
      <c r="W134" s="79"/>
      <c r="X134" s="79"/>
      <c r="Y134" s="79"/>
      <c r="Z134" s="79"/>
    </row>
    <row r="135" spans="1:26" ht="15.75" customHeight="1" x14ac:dyDescent="0.25">
      <c r="A135" s="79"/>
      <c r="B135" s="79"/>
      <c r="C135" s="400"/>
      <c r="D135" s="400"/>
      <c r="E135" s="400"/>
      <c r="F135" s="400"/>
      <c r="G135" s="79"/>
      <c r="H135" s="79"/>
      <c r="I135" s="79"/>
      <c r="J135" s="396"/>
      <c r="K135" s="399"/>
      <c r="L135" s="396"/>
      <c r="M135" s="396"/>
      <c r="N135" s="396"/>
      <c r="O135" s="396"/>
      <c r="P135" s="396"/>
      <c r="Q135" s="396"/>
      <c r="R135" s="396"/>
      <c r="S135" s="79"/>
      <c r="T135" s="79"/>
      <c r="U135" s="79"/>
      <c r="V135" s="79"/>
      <c r="W135" s="79"/>
      <c r="X135" s="79"/>
      <c r="Y135" s="79"/>
      <c r="Z135" s="79"/>
    </row>
    <row r="136" spans="1:26" ht="15.75" customHeight="1" x14ac:dyDescent="0.25">
      <c r="A136" s="79"/>
      <c r="B136" s="79"/>
      <c r="C136" s="400"/>
      <c r="D136" s="400"/>
      <c r="E136" s="400"/>
      <c r="F136" s="400"/>
      <c r="G136" s="79"/>
      <c r="H136" s="79"/>
      <c r="I136" s="79"/>
      <c r="J136" s="396"/>
      <c r="K136" s="399"/>
      <c r="L136" s="396"/>
      <c r="M136" s="396"/>
      <c r="N136" s="396"/>
      <c r="O136" s="396"/>
      <c r="P136" s="396"/>
      <c r="Q136" s="396"/>
      <c r="R136" s="396"/>
      <c r="S136" s="79"/>
      <c r="T136" s="79"/>
      <c r="U136" s="79"/>
      <c r="V136" s="79"/>
      <c r="W136" s="79"/>
      <c r="X136" s="79"/>
      <c r="Y136" s="79"/>
      <c r="Z136" s="79"/>
    </row>
    <row r="137" spans="1:26" ht="15.75" customHeight="1" x14ac:dyDescent="0.25">
      <c r="A137" s="79"/>
      <c r="B137" s="79"/>
      <c r="C137" s="400"/>
      <c r="D137" s="400"/>
      <c r="E137" s="400"/>
      <c r="F137" s="400"/>
      <c r="G137" s="79"/>
      <c r="H137" s="79"/>
      <c r="I137" s="79"/>
      <c r="J137" s="396"/>
      <c r="K137" s="399"/>
      <c r="L137" s="396"/>
      <c r="M137" s="396"/>
      <c r="N137" s="396"/>
      <c r="O137" s="396"/>
      <c r="P137" s="396"/>
      <c r="Q137" s="396"/>
      <c r="R137" s="396"/>
      <c r="S137" s="79"/>
      <c r="T137" s="79"/>
      <c r="U137" s="79"/>
      <c r="V137" s="79"/>
      <c r="W137" s="79"/>
      <c r="X137" s="79"/>
      <c r="Y137" s="79"/>
      <c r="Z137" s="79"/>
    </row>
    <row r="138" spans="1:26" ht="15.75" customHeight="1" x14ac:dyDescent="0.25">
      <c r="A138" s="79"/>
      <c r="B138" s="79"/>
      <c r="C138" s="400"/>
      <c r="D138" s="400"/>
      <c r="E138" s="400"/>
      <c r="F138" s="400"/>
      <c r="G138" s="79"/>
      <c r="H138" s="79"/>
      <c r="I138" s="79"/>
      <c r="J138" s="396"/>
      <c r="K138" s="399"/>
      <c r="L138" s="396"/>
      <c r="M138" s="396"/>
      <c r="N138" s="396"/>
      <c r="O138" s="396"/>
      <c r="P138" s="396"/>
      <c r="Q138" s="396"/>
      <c r="R138" s="396"/>
      <c r="S138" s="79"/>
      <c r="T138" s="79"/>
      <c r="U138" s="79"/>
      <c r="V138" s="79"/>
      <c r="W138" s="79"/>
      <c r="X138" s="79"/>
      <c r="Y138" s="79"/>
      <c r="Z138" s="79"/>
    </row>
    <row r="139" spans="1:26" ht="15.75" customHeight="1" x14ac:dyDescent="0.25">
      <c r="A139" s="79"/>
      <c r="B139" s="79"/>
      <c r="C139" s="400"/>
      <c r="D139" s="400"/>
      <c r="E139" s="400"/>
      <c r="F139" s="400"/>
      <c r="G139" s="79"/>
      <c r="H139" s="79"/>
      <c r="I139" s="79"/>
      <c r="J139" s="396"/>
      <c r="K139" s="399"/>
      <c r="L139" s="396"/>
      <c r="M139" s="396"/>
      <c r="N139" s="396"/>
      <c r="O139" s="396"/>
      <c r="P139" s="396"/>
      <c r="Q139" s="396"/>
      <c r="R139" s="396"/>
      <c r="S139" s="79"/>
      <c r="T139" s="79"/>
      <c r="U139" s="79"/>
      <c r="V139" s="79"/>
      <c r="W139" s="79"/>
      <c r="X139" s="79"/>
      <c r="Y139" s="79"/>
      <c r="Z139" s="79"/>
    </row>
    <row r="140" spans="1:26" ht="15.75" customHeight="1" x14ac:dyDescent="0.25">
      <c r="A140" s="79"/>
      <c r="B140" s="79"/>
      <c r="C140" s="400"/>
      <c r="D140" s="400"/>
      <c r="E140" s="400"/>
      <c r="F140" s="400"/>
      <c r="G140" s="79"/>
      <c r="H140" s="79"/>
      <c r="I140" s="79"/>
      <c r="J140" s="396"/>
      <c r="K140" s="399"/>
      <c r="L140" s="396"/>
      <c r="M140" s="396"/>
      <c r="N140" s="396"/>
      <c r="O140" s="396"/>
      <c r="P140" s="396"/>
      <c r="Q140" s="396"/>
      <c r="R140" s="396"/>
      <c r="S140" s="79"/>
      <c r="T140" s="79"/>
      <c r="U140" s="79"/>
      <c r="V140" s="79"/>
      <c r="W140" s="79"/>
      <c r="X140" s="79"/>
      <c r="Y140" s="79"/>
      <c r="Z140" s="79"/>
    </row>
    <row r="141" spans="1:26" ht="15.75" customHeight="1" x14ac:dyDescent="0.25">
      <c r="A141" s="79"/>
      <c r="B141" s="79"/>
      <c r="C141" s="400"/>
      <c r="D141" s="400"/>
      <c r="E141" s="400"/>
      <c r="F141" s="400"/>
      <c r="G141" s="79"/>
      <c r="H141" s="79"/>
      <c r="I141" s="79"/>
      <c r="J141" s="396"/>
      <c r="K141" s="399"/>
      <c r="L141" s="396"/>
      <c r="M141" s="396"/>
      <c r="N141" s="396"/>
      <c r="O141" s="396"/>
      <c r="P141" s="396"/>
      <c r="Q141" s="396"/>
      <c r="R141" s="396"/>
      <c r="S141" s="79"/>
      <c r="T141" s="79"/>
      <c r="U141" s="79"/>
      <c r="V141" s="79"/>
      <c r="W141" s="79"/>
      <c r="X141" s="79"/>
      <c r="Y141" s="79"/>
      <c r="Z141" s="79"/>
    </row>
    <row r="142" spans="1:26" ht="15.75" customHeight="1" x14ac:dyDescent="0.25">
      <c r="A142" s="79"/>
      <c r="B142" s="79"/>
      <c r="C142" s="400"/>
      <c r="D142" s="400"/>
      <c r="E142" s="400"/>
      <c r="F142" s="400"/>
      <c r="G142" s="79"/>
      <c r="H142" s="79"/>
      <c r="I142" s="79"/>
      <c r="J142" s="396"/>
      <c r="K142" s="399"/>
      <c r="L142" s="396"/>
      <c r="M142" s="396"/>
      <c r="N142" s="396"/>
      <c r="O142" s="396"/>
      <c r="P142" s="396"/>
      <c r="Q142" s="396"/>
      <c r="R142" s="396"/>
      <c r="S142" s="79"/>
      <c r="T142" s="79"/>
      <c r="U142" s="79"/>
      <c r="V142" s="79"/>
      <c r="W142" s="79"/>
      <c r="X142" s="79"/>
      <c r="Y142" s="79"/>
      <c r="Z142" s="79"/>
    </row>
    <row r="143" spans="1:26" ht="15.75" customHeight="1" x14ac:dyDescent="0.25">
      <c r="A143" s="79"/>
      <c r="B143" s="79"/>
      <c r="C143" s="400"/>
      <c r="D143" s="400"/>
      <c r="E143" s="400"/>
      <c r="F143" s="400"/>
      <c r="G143" s="79"/>
      <c r="H143" s="79"/>
      <c r="I143" s="79"/>
      <c r="J143" s="396"/>
      <c r="K143" s="399"/>
      <c r="L143" s="396"/>
      <c r="M143" s="396"/>
      <c r="N143" s="396"/>
      <c r="O143" s="396"/>
      <c r="P143" s="396"/>
      <c r="Q143" s="396"/>
      <c r="R143" s="396"/>
      <c r="S143" s="79"/>
      <c r="T143" s="79"/>
      <c r="U143" s="79"/>
      <c r="V143" s="79"/>
      <c r="W143" s="79"/>
      <c r="X143" s="79"/>
      <c r="Y143" s="79"/>
      <c r="Z143" s="79"/>
    </row>
    <row r="144" spans="1:26" ht="15.75" customHeight="1" x14ac:dyDescent="0.25">
      <c r="A144" s="79"/>
      <c r="B144" s="79"/>
      <c r="C144" s="400"/>
      <c r="D144" s="400"/>
      <c r="E144" s="400"/>
      <c r="F144" s="400"/>
      <c r="G144" s="79"/>
      <c r="H144" s="79"/>
      <c r="I144" s="79"/>
      <c r="J144" s="396"/>
      <c r="K144" s="399"/>
      <c r="L144" s="396"/>
      <c r="M144" s="396"/>
      <c r="N144" s="396"/>
      <c r="O144" s="396"/>
      <c r="P144" s="396"/>
      <c r="Q144" s="396"/>
      <c r="R144" s="396"/>
      <c r="S144" s="79"/>
      <c r="T144" s="79"/>
      <c r="U144" s="79"/>
      <c r="V144" s="79"/>
      <c r="W144" s="79"/>
      <c r="X144" s="79"/>
      <c r="Y144" s="79"/>
      <c r="Z144" s="79"/>
    </row>
    <row r="145" spans="1:26" ht="15.75" customHeight="1" x14ac:dyDescent="0.25">
      <c r="A145" s="79"/>
      <c r="B145" s="79"/>
      <c r="C145" s="400"/>
      <c r="D145" s="400"/>
      <c r="E145" s="400"/>
      <c r="F145" s="400"/>
      <c r="G145" s="79"/>
      <c r="H145" s="79"/>
      <c r="I145" s="79"/>
      <c r="J145" s="396"/>
      <c r="K145" s="399"/>
      <c r="L145" s="396"/>
      <c r="M145" s="396"/>
      <c r="N145" s="396"/>
      <c r="O145" s="396"/>
      <c r="P145" s="396"/>
      <c r="Q145" s="396"/>
      <c r="R145" s="396"/>
      <c r="S145" s="79"/>
      <c r="T145" s="79"/>
      <c r="U145" s="79"/>
      <c r="V145" s="79"/>
      <c r="W145" s="79"/>
      <c r="X145" s="79"/>
      <c r="Y145" s="79"/>
      <c r="Z145" s="79"/>
    </row>
    <row r="146" spans="1:26" ht="15.75" customHeight="1" x14ac:dyDescent="0.25">
      <c r="A146" s="79"/>
      <c r="B146" s="79"/>
      <c r="C146" s="400"/>
      <c r="D146" s="400"/>
      <c r="E146" s="400"/>
      <c r="F146" s="400"/>
      <c r="G146" s="79"/>
      <c r="H146" s="79"/>
      <c r="I146" s="79"/>
      <c r="J146" s="396"/>
      <c r="K146" s="399"/>
      <c r="L146" s="396"/>
      <c r="M146" s="396"/>
      <c r="N146" s="396"/>
      <c r="O146" s="396"/>
      <c r="P146" s="396"/>
      <c r="Q146" s="396"/>
      <c r="R146" s="396"/>
      <c r="S146" s="79"/>
      <c r="T146" s="79"/>
      <c r="U146" s="79"/>
      <c r="V146" s="79"/>
      <c r="W146" s="79"/>
      <c r="X146" s="79"/>
      <c r="Y146" s="79"/>
      <c r="Z146" s="79"/>
    </row>
    <row r="147" spans="1:26" ht="15.75" customHeight="1" x14ac:dyDescent="0.25">
      <c r="A147" s="79"/>
      <c r="B147" s="79"/>
      <c r="C147" s="400"/>
      <c r="D147" s="400"/>
      <c r="E147" s="400"/>
      <c r="F147" s="400"/>
      <c r="G147" s="79"/>
      <c r="H147" s="79"/>
      <c r="I147" s="79"/>
      <c r="J147" s="396"/>
      <c r="K147" s="399"/>
      <c r="L147" s="396"/>
      <c r="M147" s="396"/>
      <c r="N147" s="396"/>
      <c r="O147" s="396"/>
      <c r="P147" s="396"/>
      <c r="Q147" s="396"/>
      <c r="R147" s="396"/>
      <c r="S147" s="79"/>
      <c r="T147" s="79"/>
      <c r="U147" s="79"/>
      <c r="V147" s="79"/>
      <c r="W147" s="79"/>
      <c r="X147" s="79"/>
      <c r="Y147" s="79"/>
      <c r="Z147" s="79"/>
    </row>
    <row r="148" spans="1:26" ht="15.75" customHeight="1" x14ac:dyDescent="0.25">
      <c r="A148" s="79"/>
      <c r="B148" s="79"/>
      <c r="C148" s="400"/>
      <c r="D148" s="400"/>
      <c r="E148" s="400"/>
      <c r="F148" s="400"/>
      <c r="G148" s="79"/>
      <c r="H148" s="79"/>
      <c r="I148" s="79"/>
      <c r="J148" s="396"/>
      <c r="K148" s="399"/>
      <c r="L148" s="396"/>
      <c r="M148" s="396"/>
      <c r="N148" s="396"/>
      <c r="O148" s="396"/>
      <c r="P148" s="396"/>
      <c r="Q148" s="396"/>
      <c r="R148" s="396"/>
      <c r="S148" s="79"/>
      <c r="T148" s="79"/>
      <c r="U148" s="79"/>
      <c r="V148" s="79"/>
      <c r="W148" s="79"/>
      <c r="X148" s="79"/>
      <c r="Y148" s="79"/>
      <c r="Z148" s="79"/>
    </row>
    <row r="149" spans="1:26" ht="15.75" customHeight="1" x14ac:dyDescent="0.25">
      <c r="A149" s="79"/>
      <c r="B149" s="79"/>
      <c r="C149" s="400"/>
      <c r="D149" s="400"/>
      <c r="E149" s="400"/>
      <c r="F149" s="400"/>
      <c r="G149" s="79"/>
      <c r="H149" s="79"/>
      <c r="I149" s="79"/>
      <c r="J149" s="396"/>
      <c r="K149" s="399"/>
      <c r="L149" s="396"/>
      <c r="M149" s="396"/>
      <c r="N149" s="396"/>
      <c r="O149" s="396"/>
      <c r="P149" s="396"/>
      <c r="Q149" s="396"/>
      <c r="R149" s="396"/>
      <c r="S149" s="79"/>
      <c r="T149" s="79"/>
      <c r="U149" s="79"/>
      <c r="V149" s="79"/>
      <c r="W149" s="79"/>
      <c r="X149" s="79"/>
      <c r="Y149" s="79"/>
      <c r="Z149" s="79"/>
    </row>
    <row r="150" spans="1:26" ht="15.75" customHeight="1" x14ac:dyDescent="0.25">
      <c r="A150" s="79"/>
      <c r="B150" s="79"/>
      <c r="C150" s="400"/>
      <c r="D150" s="400"/>
      <c r="E150" s="400"/>
      <c r="F150" s="400"/>
      <c r="G150" s="79"/>
      <c r="H150" s="79"/>
      <c r="I150" s="79"/>
      <c r="J150" s="396"/>
      <c r="K150" s="399"/>
      <c r="L150" s="396"/>
      <c r="M150" s="396"/>
      <c r="N150" s="396"/>
      <c r="O150" s="396"/>
      <c r="P150" s="396"/>
      <c r="Q150" s="396"/>
      <c r="R150" s="396"/>
      <c r="S150" s="79"/>
      <c r="T150" s="79"/>
      <c r="U150" s="79"/>
      <c r="V150" s="79"/>
      <c r="W150" s="79"/>
      <c r="X150" s="79"/>
      <c r="Y150" s="79"/>
      <c r="Z150" s="79"/>
    </row>
    <row r="151" spans="1:26" ht="15.75" customHeight="1" x14ac:dyDescent="0.25">
      <c r="A151" s="79"/>
      <c r="B151" s="79"/>
      <c r="C151" s="400"/>
      <c r="D151" s="400"/>
      <c r="E151" s="400"/>
      <c r="F151" s="400"/>
      <c r="G151" s="79"/>
      <c r="H151" s="79"/>
      <c r="I151" s="79"/>
      <c r="J151" s="396"/>
      <c r="K151" s="399"/>
      <c r="L151" s="396"/>
      <c r="M151" s="396"/>
      <c r="N151" s="396"/>
      <c r="O151" s="396"/>
      <c r="P151" s="396"/>
      <c r="Q151" s="396"/>
      <c r="R151" s="396"/>
      <c r="S151" s="79"/>
      <c r="T151" s="79"/>
      <c r="U151" s="79"/>
      <c r="V151" s="79"/>
      <c r="W151" s="79"/>
      <c r="X151" s="79"/>
      <c r="Y151" s="79"/>
      <c r="Z151" s="79"/>
    </row>
    <row r="152" spans="1:26" ht="15.75" customHeight="1" x14ac:dyDescent="0.25">
      <c r="A152" s="79"/>
      <c r="B152" s="79"/>
      <c r="C152" s="400"/>
      <c r="D152" s="400"/>
      <c r="E152" s="400"/>
      <c r="F152" s="400"/>
      <c r="G152" s="79"/>
      <c r="H152" s="79"/>
      <c r="I152" s="79"/>
      <c r="J152" s="396"/>
      <c r="K152" s="399"/>
      <c r="L152" s="396"/>
      <c r="M152" s="396"/>
      <c r="N152" s="396"/>
      <c r="O152" s="396"/>
      <c r="P152" s="396"/>
      <c r="Q152" s="396"/>
      <c r="R152" s="396"/>
      <c r="S152" s="79"/>
      <c r="T152" s="79"/>
      <c r="U152" s="79"/>
      <c r="V152" s="79"/>
      <c r="W152" s="79"/>
      <c r="X152" s="79"/>
      <c r="Y152" s="79"/>
      <c r="Z152" s="79"/>
    </row>
    <row r="153" spans="1:26" ht="15.75" customHeight="1" x14ac:dyDescent="0.25">
      <c r="A153" s="79"/>
      <c r="B153" s="79"/>
      <c r="C153" s="400"/>
      <c r="D153" s="400"/>
      <c r="E153" s="400"/>
      <c r="F153" s="400"/>
      <c r="G153" s="79"/>
      <c r="H153" s="79"/>
      <c r="I153" s="79"/>
      <c r="J153" s="396"/>
      <c r="K153" s="399"/>
      <c r="L153" s="396"/>
      <c r="M153" s="396"/>
      <c r="N153" s="396"/>
      <c r="O153" s="396"/>
      <c r="P153" s="396"/>
      <c r="Q153" s="396"/>
      <c r="R153" s="396"/>
      <c r="S153" s="79"/>
      <c r="T153" s="79"/>
      <c r="U153" s="79"/>
      <c r="V153" s="79"/>
      <c r="W153" s="79"/>
      <c r="X153" s="79"/>
      <c r="Y153" s="79"/>
      <c r="Z153" s="79"/>
    </row>
    <row r="154" spans="1:26" ht="15.75" customHeight="1" x14ac:dyDescent="0.25">
      <c r="A154" s="79"/>
      <c r="B154" s="79"/>
      <c r="C154" s="400"/>
      <c r="D154" s="400"/>
      <c r="E154" s="400"/>
      <c r="F154" s="400"/>
      <c r="G154" s="79"/>
      <c r="H154" s="79"/>
      <c r="I154" s="79"/>
      <c r="J154" s="396"/>
      <c r="K154" s="399"/>
      <c r="L154" s="396"/>
      <c r="M154" s="396"/>
      <c r="N154" s="396"/>
      <c r="O154" s="396"/>
      <c r="P154" s="396"/>
      <c r="Q154" s="396"/>
      <c r="R154" s="396"/>
      <c r="S154" s="79"/>
      <c r="T154" s="79"/>
      <c r="U154" s="79"/>
      <c r="V154" s="79"/>
      <c r="W154" s="79"/>
      <c r="X154" s="79"/>
      <c r="Y154" s="79"/>
      <c r="Z154" s="79"/>
    </row>
    <row r="155" spans="1:26" ht="15.75" customHeight="1" x14ac:dyDescent="0.25">
      <c r="A155" s="79"/>
      <c r="B155" s="79"/>
      <c r="C155" s="400"/>
      <c r="D155" s="400"/>
      <c r="E155" s="400"/>
      <c r="F155" s="400"/>
      <c r="G155" s="79"/>
      <c r="H155" s="79"/>
      <c r="I155" s="79"/>
      <c r="J155" s="396"/>
      <c r="K155" s="399"/>
      <c r="L155" s="396"/>
      <c r="M155" s="396"/>
      <c r="N155" s="396"/>
      <c r="O155" s="396"/>
      <c r="P155" s="396"/>
      <c r="Q155" s="396"/>
      <c r="R155" s="396"/>
      <c r="S155" s="79"/>
      <c r="T155" s="79"/>
      <c r="U155" s="79"/>
      <c r="V155" s="79"/>
      <c r="W155" s="79"/>
      <c r="X155" s="79"/>
      <c r="Y155" s="79"/>
      <c r="Z155" s="79"/>
    </row>
    <row r="156" spans="1:26" ht="15.75" customHeight="1" x14ac:dyDescent="0.25">
      <c r="A156" s="79"/>
      <c r="B156" s="79"/>
      <c r="C156" s="400"/>
      <c r="D156" s="400"/>
      <c r="E156" s="400"/>
      <c r="F156" s="400"/>
      <c r="G156" s="79"/>
      <c r="H156" s="79"/>
      <c r="I156" s="79"/>
      <c r="J156" s="396"/>
      <c r="K156" s="399"/>
      <c r="L156" s="396"/>
      <c r="M156" s="396"/>
      <c r="N156" s="396"/>
      <c r="O156" s="396"/>
      <c r="P156" s="396"/>
      <c r="Q156" s="396"/>
      <c r="R156" s="396"/>
      <c r="S156" s="79"/>
      <c r="T156" s="79"/>
      <c r="U156" s="79"/>
      <c r="V156" s="79"/>
      <c r="W156" s="79"/>
      <c r="X156" s="79"/>
      <c r="Y156" s="79"/>
      <c r="Z156" s="79"/>
    </row>
    <row r="157" spans="1:26" ht="15.75" customHeight="1" x14ac:dyDescent="0.25">
      <c r="A157" s="79"/>
      <c r="B157" s="79"/>
      <c r="C157" s="400"/>
      <c r="D157" s="400"/>
      <c r="E157" s="400"/>
      <c r="F157" s="400"/>
      <c r="G157" s="79"/>
      <c r="H157" s="79"/>
      <c r="I157" s="79"/>
      <c r="J157" s="396"/>
      <c r="K157" s="399"/>
      <c r="L157" s="396"/>
      <c r="M157" s="396"/>
      <c r="N157" s="396"/>
      <c r="O157" s="396"/>
      <c r="P157" s="396"/>
      <c r="Q157" s="396"/>
      <c r="R157" s="396"/>
      <c r="S157" s="79"/>
      <c r="T157" s="79"/>
      <c r="U157" s="79"/>
      <c r="V157" s="79"/>
      <c r="W157" s="79"/>
      <c r="X157" s="79"/>
      <c r="Y157" s="79"/>
      <c r="Z157" s="79"/>
    </row>
    <row r="158" spans="1:26" ht="15.75" customHeight="1" x14ac:dyDescent="0.25">
      <c r="A158" s="79"/>
      <c r="B158" s="79"/>
      <c r="C158" s="400"/>
      <c r="D158" s="400"/>
      <c r="E158" s="400"/>
      <c r="F158" s="400"/>
      <c r="G158" s="79"/>
      <c r="H158" s="79"/>
      <c r="I158" s="79"/>
      <c r="J158" s="396"/>
      <c r="K158" s="399"/>
      <c r="L158" s="396"/>
      <c r="M158" s="396"/>
      <c r="N158" s="396"/>
      <c r="O158" s="396"/>
      <c r="P158" s="396"/>
      <c r="Q158" s="396"/>
      <c r="R158" s="396"/>
      <c r="S158" s="79"/>
      <c r="T158" s="79"/>
      <c r="U158" s="79"/>
      <c r="V158" s="79"/>
      <c r="W158" s="79"/>
      <c r="X158" s="79"/>
      <c r="Y158" s="79"/>
      <c r="Z158" s="79"/>
    </row>
    <row r="159" spans="1:26" ht="15.75" customHeight="1" x14ac:dyDescent="0.25">
      <c r="A159" s="79"/>
      <c r="B159" s="79"/>
      <c r="C159" s="400"/>
      <c r="D159" s="400"/>
      <c r="E159" s="400"/>
      <c r="F159" s="400"/>
      <c r="G159" s="79"/>
      <c r="H159" s="79"/>
      <c r="I159" s="79"/>
      <c r="J159" s="396"/>
      <c r="K159" s="399"/>
      <c r="L159" s="396"/>
      <c r="M159" s="396"/>
      <c r="N159" s="396"/>
      <c r="O159" s="396"/>
      <c r="P159" s="396"/>
      <c r="Q159" s="396"/>
      <c r="R159" s="396"/>
      <c r="S159" s="79"/>
      <c r="T159" s="79"/>
      <c r="U159" s="79"/>
      <c r="V159" s="79"/>
      <c r="W159" s="79"/>
      <c r="X159" s="79"/>
      <c r="Y159" s="79"/>
      <c r="Z159" s="79"/>
    </row>
    <row r="160" spans="1:26" ht="15.75" customHeight="1" x14ac:dyDescent="0.25">
      <c r="A160" s="79"/>
      <c r="B160" s="79"/>
      <c r="C160" s="400"/>
      <c r="D160" s="400"/>
      <c r="E160" s="400"/>
      <c r="F160" s="400"/>
      <c r="G160" s="79"/>
      <c r="H160" s="79"/>
      <c r="I160" s="79"/>
      <c r="J160" s="396"/>
      <c r="K160" s="399"/>
      <c r="L160" s="396"/>
      <c r="M160" s="396"/>
      <c r="N160" s="396"/>
      <c r="O160" s="396"/>
      <c r="P160" s="396"/>
      <c r="Q160" s="396"/>
      <c r="R160" s="396"/>
      <c r="S160" s="79"/>
      <c r="T160" s="79"/>
      <c r="U160" s="79"/>
      <c r="V160" s="79"/>
      <c r="W160" s="79"/>
      <c r="X160" s="79"/>
      <c r="Y160" s="79"/>
      <c r="Z160" s="79"/>
    </row>
    <row r="161" spans="1:26" ht="15.75" customHeight="1" x14ac:dyDescent="0.25">
      <c r="A161" s="79"/>
      <c r="B161" s="79"/>
      <c r="C161" s="400"/>
      <c r="D161" s="400"/>
      <c r="E161" s="400"/>
      <c r="F161" s="400"/>
      <c r="G161" s="79"/>
      <c r="H161" s="79"/>
      <c r="I161" s="79"/>
      <c r="J161" s="396"/>
      <c r="K161" s="399"/>
      <c r="L161" s="396"/>
      <c r="M161" s="396"/>
      <c r="N161" s="396"/>
      <c r="O161" s="396"/>
      <c r="P161" s="396"/>
      <c r="Q161" s="396"/>
      <c r="R161" s="396"/>
      <c r="S161" s="79"/>
      <c r="T161" s="79"/>
      <c r="U161" s="79"/>
      <c r="V161" s="79"/>
      <c r="W161" s="79"/>
      <c r="X161" s="79"/>
      <c r="Y161" s="79"/>
      <c r="Z161" s="79"/>
    </row>
    <row r="162" spans="1:26" ht="15.75" customHeight="1" x14ac:dyDescent="0.25">
      <c r="A162" s="79"/>
      <c r="B162" s="79"/>
      <c r="C162" s="400"/>
      <c r="D162" s="400"/>
      <c r="E162" s="400"/>
      <c r="F162" s="400"/>
      <c r="G162" s="79"/>
      <c r="H162" s="79"/>
      <c r="I162" s="79"/>
      <c r="J162" s="396"/>
      <c r="K162" s="399"/>
      <c r="L162" s="396"/>
      <c r="M162" s="396"/>
      <c r="N162" s="396"/>
      <c r="O162" s="396"/>
      <c r="P162" s="396"/>
      <c r="Q162" s="396"/>
      <c r="R162" s="396"/>
      <c r="S162" s="79"/>
      <c r="T162" s="79"/>
      <c r="U162" s="79"/>
      <c r="V162" s="79"/>
      <c r="W162" s="79"/>
      <c r="X162" s="79"/>
      <c r="Y162" s="79"/>
      <c r="Z162" s="79"/>
    </row>
    <row r="163" spans="1:26" ht="15.75" customHeight="1" x14ac:dyDescent="0.25">
      <c r="A163" s="79"/>
      <c r="B163" s="79"/>
      <c r="C163" s="400"/>
      <c r="D163" s="400"/>
      <c r="E163" s="400"/>
      <c r="F163" s="400"/>
      <c r="G163" s="79"/>
      <c r="H163" s="79"/>
      <c r="I163" s="79"/>
      <c r="J163" s="396"/>
      <c r="K163" s="399"/>
      <c r="L163" s="396"/>
      <c r="M163" s="396"/>
      <c r="N163" s="396"/>
      <c r="O163" s="396"/>
      <c r="P163" s="396"/>
      <c r="Q163" s="396"/>
      <c r="R163" s="396"/>
      <c r="S163" s="79"/>
      <c r="T163" s="79"/>
      <c r="U163" s="79"/>
      <c r="V163" s="79"/>
      <c r="W163" s="79"/>
      <c r="X163" s="79"/>
      <c r="Y163" s="79"/>
      <c r="Z163" s="79"/>
    </row>
    <row r="164" spans="1:26" ht="15.75" customHeight="1" x14ac:dyDescent="0.25">
      <c r="A164" s="79"/>
      <c r="B164" s="79"/>
      <c r="C164" s="400"/>
      <c r="D164" s="400"/>
      <c r="E164" s="400"/>
      <c r="F164" s="400"/>
      <c r="G164" s="79"/>
      <c r="H164" s="79"/>
      <c r="I164" s="79"/>
      <c r="J164" s="396"/>
      <c r="K164" s="399"/>
      <c r="L164" s="396"/>
      <c r="M164" s="396"/>
      <c r="N164" s="396"/>
      <c r="O164" s="396"/>
      <c r="P164" s="396"/>
      <c r="Q164" s="396"/>
      <c r="R164" s="396"/>
      <c r="S164" s="79"/>
      <c r="T164" s="79"/>
      <c r="U164" s="79"/>
      <c r="V164" s="79"/>
      <c r="W164" s="79"/>
      <c r="X164" s="79"/>
      <c r="Y164" s="79"/>
      <c r="Z164" s="79"/>
    </row>
    <row r="165" spans="1:26" ht="15.75" customHeight="1" x14ac:dyDescent="0.25">
      <c r="A165" s="79"/>
      <c r="B165" s="79"/>
      <c r="C165" s="400"/>
      <c r="D165" s="400"/>
      <c r="E165" s="400"/>
      <c r="F165" s="400"/>
      <c r="G165" s="79"/>
      <c r="H165" s="79"/>
      <c r="I165" s="79"/>
      <c r="J165" s="396"/>
      <c r="K165" s="399"/>
      <c r="L165" s="396"/>
      <c r="M165" s="396"/>
      <c r="N165" s="396"/>
      <c r="O165" s="396"/>
      <c r="P165" s="396"/>
      <c r="Q165" s="396"/>
      <c r="R165" s="396"/>
      <c r="S165" s="79"/>
      <c r="T165" s="79"/>
      <c r="U165" s="79"/>
      <c r="V165" s="79"/>
      <c r="W165" s="79"/>
      <c r="X165" s="79"/>
      <c r="Y165" s="79"/>
      <c r="Z165" s="79"/>
    </row>
    <row r="166" spans="1:26" ht="15.75" customHeight="1" x14ac:dyDescent="0.25">
      <c r="A166" s="79"/>
      <c r="B166" s="79"/>
      <c r="C166" s="400"/>
      <c r="D166" s="400"/>
      <c r="E166" s="400"/>
      <c r="F166" s="400"/>
      <c r="G166" s="79"/>
      <c r="H166" s="79"/>
      <c r="I166" s="79"/>
      <c r="J166" s="396"/>
      <c r="K166" s="399"/>
      <c r="L166" s="396"/>
      <c r="M166" s="396"/>
      <c r="N166" s="396"/>
      <c r="O166" s="396"/>
      <c r="P166" s="396"/>
      <c r="Q166" s="396"/>
      <c r="R166" s="396"/>
      <c r="S166" s="79"/>
      <c r="T166" s="79"/>
      <c r="U166" s="79"/>
      <c r="V166" s="79"/>
      <c r="W166" s="79"/>
      <c r="X166" s="79"/>
      <c r="Y166" s="79"/>
      <c r="Z166" s="79"/>
    </row>
    <row r="167" spans="1:26" ht="15.75" customHeight="1" x14ac:dyDescent="0.25">
      <c r="A167" s="79"/>
      <c r="B167" s="79"/>
      <c r="C167" s="400"/>
      <c r="D167" s="400"/>
      <c r="E167" s="400"/>
      <c r="F167" s="400"/>
      <c r="G167" s="79"/>
      <c r="H167" s="79"/>
      <c r="I167" s="79"/>
      <c r="J167" s="396"/>
      <c r="K167" s="399"/>
      <c r="L167" s="396"/>
      <c r="M167" s="396"/>
      <c r="N167" s="396"/>
      <c r="O167" s="396"/>
      <c r="P167" s="396"/>
      <c r="Q167" s="396"/>
      <c r="R167" s="396"/>
      <c r="S167" s="79"/>
      <c r="T167" s="79"/>
      <c r="U167" s="79"/>
      <c r="V167" s="79"/>
      <c r="W167" s="79"/>
      <c r="X167" s="79"/>
      <c r="Y167" s="79"/>
      <c r="Z167" s="79"/>
    </row>
    <row r="168" spans="1:26" ht="15.75" customHeight="1" x14ac:dyDescent="0.25">
      <c r="A168" s="79"/>
      <c r="B168" s="79"/>
      <c r="C168" s="400"/>
      <c r="D168" s="400"/>
      <c r="E168" s="400"/>
      <c r="F168" s="400"/>
      <c r="G168" s="79"/>
      <c r="H168" s="79"/>
      <c r="I168" s="79"/>
      <c r="J168" s="396"/>
      <c r="K168" s="399"/>
      <c r="L168" s="396"/>
      <c r="M168" s="396"/>
      <c r="N168" s="396"/>
      <c r="O168" s="396"/>
      <c r="P168" s="396"/>
      <c r="Q168" s="396"/>
      <c r="R168" s="396"/>
      <c r="S168" s="79"/>
      <c r="T168" s="79"/>
      <c r="U168" s="79"/>
      <c r="V168" s="79"/>
      <c r="W168" s="79"/>
      <c r="X168" s="79"/>
      <c r="Y168" s="79"/>
      <c r="Z168" s="79"/>
    </row>
    <row r="169" spans="1:26" ht="15.75" customHeight="1" x14ac:dyDescent="0.25">
      <c r="A169" s="79"/>
      <c r="B169" s="79"/>
      <c r="C169" s="400"/>
      <c r="D169" s="400"/>
      <c r="E169" s="400"/>
      <c r="F169" s="400"/>
      <c r="G169" s="79"/>
      <c r="H169" s="79"/>
      <c r="I169" s="79"/>
      <c r="J169" s="396"/>
      <c r="K169" s="399"/>
      <c r="L169" s="396"/>
      <c r="M169" s="396"/>
      <c r="N169" s="396"/>
      <c r="O169" s="396"/>
      <c r="P169" s="396"/>
      <c r="Q169" s="396"/>
      <c r="R169" s="396"/>
      <c r="S169" s="79"/>
      <c r="T169" s="79"/>
      <c r="U169" s="79"/>
      <c r="V169" s="79"/>
      <c r="W169" s="79"/>
      <c r="X169" s="79"/>
      <c r="Y169" s="79"/>
      <c r="Z169" s="79"/>
    </row>
    <row r="170" spans="1:26" ht="15.75" customHeight="1" x14ac:dyDescent="0.25">
      <c r="A170" s="79"/>
      <c r="B170" s="79"/>
      <c r="C170" s="400"/>
      <c r="D170" s="400"/>
      <c r="E170" s="400"/>
      <c r="F170" s="400"/>
      <c r="G170" s="79"/>
      <c r="H170" s="79"/>
      <c r="I170" s="79"/>
      <c r="J170" s="396"/>
      <c r="K170" s="399"/>
      <c r="L170" s="396"/>
      <c r="M170" s="396"/>
      <c r="N170" s="396"/>
      <c r="O170" s="396"/>
      <c r="P170" s="396"/>
      <c r="Q170" s="396"/>
      <c r="R170" s="396"/>
      <c r="S170" s="79"/>
      <c r="T170" s="79"/>
      <c r="U170" s="79"/>
      <c r="V170" s="79"/>
      <c r="W170" s="79"/>
      <c r="X170" s="79"/>
      <c r="Y170" s="79"/>
      <c r="Z170" s="79"/>
    </row>
    <row r="171" spans="1:26" ht="15.75" customHeight="1" x14ac:dyDescent="0.25">
      <c r="A171" s="79"/>
      <c r="B171" s="79"/>
      <c r="C171" s="400"/>
      <c r="D171" s="400"/>
      <c r="E171" s="400"/>
      <c r="F171" s="400"/>
      <c r="G171" s="79"/>
      <c r="H171" s="79"/>
      <c r="I171" s="79"/>
      <c r="J171" s="396"/>
      <c r="K171" s="399"/>
      <c r="L171" s="396"/>
      <c r="M171" s="396"/>
      <c r="N171" s="396"/>
      <c r="O171" s="396"/>
      <c r="P171" s="396"/>
      <c r="Q171" s="396"/>
      <c r="R171" s="396"/>
      <c r="S171" s="79"/>
      <c r="T171" s="79"/>
      <c r="U171" s="79"/>
      <c r="V171" s="79"/>
      <c r="W171" s="79"/>
      <c r="X171" s="79"/>
      <c r="Y171" s="79"/>
      <c r="Z171" s="79"/>
    </row>
    <row r="172" spans="1:26" ht="15.75" customHeight="1" x14ac:dyDescent="0.25">
      <c r="A172" s="79"/>
      <c r="B172" s="79"/>
      <c r="C172" s="400"/>
      <c r="D172" s="400"/>
      <c r="E172" s="400"/>
      <c r="F172" s="400"/>
      <c r="G172" s="79"/>
      <c r="H172" s="79"/>
      <c r="I172" s="79"/>
      <c r="J172" s="396"/>
      <c r="K172" s="399"/>
      <c r="L172" s="396"/>
      <c r="M172" s="396"/>
      <c r="N172" s="396"/>
      <c r="O172" s="396"/>
      <c r="P172" s="396"/>
      <c r="Q172" s="396"/>
      <c r="R172" s="396"/>
      <c r="S172" s="79"/>
      <c r="T172" s="79"/>
      <c r="U172" s="79"/>
      <c r="V172" s="79"/>
      <c r="W172" s="79"/>
      <c r="X172" s="79"/>
      <c r="Y172" s="79"/>
      <c r="Z172" s="79"/>
    </row>
    <row r="173" spans="1:26" ht="15.75" customHeight="1" x14ac:dyDescent="0.25">
      <c r="A173" s="79"/>
      <c r="B173" s="79"/>
      <c r="C173" s="400"/>
      <c r="D173" s="400"/>
      <c r="E173" s="400"/>
      <c r="F173" s="400"/>
      <c r="G173" s="79"/>
      <c r="H173" s="79"/>
      <c r="I173" s="79"/>
      <c r="J173" s="396"/>
      <c r="K173" s="399"/>
      <c r="L173" s="396"/>
      <c r="M173" s="396"/>
      <c r="N173" s="396"/>
      <c r="O173" s="396"/>
      <c r="P173" s="396"/>
      <c r="Q173" s="396"/>
      <c r="R173" s="396"/>
      <c r="S173" s="79"/>
      <c r="T173" s="79"/>
      <c r="U173" s="79"/>
      <c r="V173" s="79"/>
      <c r="W173" s="79"/>
      <c r="X173" s="79"/>
      <c r="Y173" s="79"/>
      <c r="Z173" s="79"/>
    </row>
    <row r="174" spans="1:26" ht="15.75" customHeight="1" x14ac:dyDescent="0.25">
      <c r="A174" s="79"/>
      <c r="B174" s="79"/>
      <c r="C174" s="400"/>
      <c r="D174" s="400"/>
      <c r="E174" s="400"/>
      <c r="F174" s="400"/>
      <c r="G174" s="79"/>
      <c r="H174" s="79"/>
      <c r="I174" s="79"/>
      <c r="J174" s="396"/>
      <c r="K174" s="399"/>
      <c r="L174" s="396"/>
      <c r="M174" s="396"/>
      <c r="N174" s="396"/>
      <c r="O174" s="396"/>
      <c r="P174" s="396"/>
      <c r="Q174" s="396"/>
      <c r="R174" s="396"/>
      <c r="S174" s="79"/>
      <c r="T174" s="79"/>
      <c r="U174" s="79"/>
      <c r="V174" s="79"/>
      <c r="W174" s="79"/>
      <c r="X174" s="79"/>
      <c r="Y174" s="79"/>
      <c r="Z174" s="79"/>
    </row>
    <row r="175" spans="1:26" ht="15.75" customHeight="1" x14ac:dyDescent="0.25">
      <c r="A175" s="79"/>
      <c r="B175" s="79"/>
      <c r="C175" s="400"/>
      <c r="D175" s="400"/>
      <c r="E175" s="400"/>
      <c r="F175" s="400"/>
      <c r="G175" s="79"/>
      <c r="H175" s="79"/>
      <c r="I175" s="79"/>
      <c r="J175" s="396"/>
      <c r="K175" s="399"/>
      <c r="L175" s="396"/>
      <c r="M175" s="396"/>
      <c r="N175" s="396"/>
      <c r="O175" s="396"/>
      <c r="P175" s="396"/>
      <c r="Q175" s="396"/>
      <c r="R175" s="396"/>
      <c r="S175" s="79"/>
      <c r="T175" s="79"/>
      <c r="U175" s="79"/>
      <c r="V175" s="79"/>
      <c r="W175" s="79"/>
      <c r="X175" s="79"/>
      <c r="Y175" s="79"/>
      <c r="Z175" s="79"/>
    </row>
    <row r="176" spans="1:26" ht="15.75" customHeight="1" x14ac:dyDescent="0.25">
      <c r="A176" s="79"/>
      <c r="B176" s="79"/>
      <c r="C176" s="400"/>
      <c r="D176" s="400"/>
      <c r="E176" s="400"/>
      <c r="F176" s="400"/>
      <c r="G176" s="79"/>
      <c r="H176" s="79"/>
      <c r="I176" s="79"/>
      <c r="J176" s="396"/>
      <c r="K176" s="399"/>
      <c r="L176" s="396"/>
      <c r="M176" s="396"/>
      <c r="N176" s="396"/>
      <c r="O176" s="396"/>
      <c r="P176" s="396"/>
      <c r="Q176" s="396"/>
      <c r="R176" s="396"/>
      <c r="S176" s="79"/>
      <c r="T176" s="79"/>
      <c r="U176" s="79"/>
      <c r="V176" s="79"/>
      <c r="W176" s="79"/>
      <c r="X176" s="79"/>
      <c r="Y176" s="79"/>
      <c r="Z176" s="79"/>
    </row>
    <row r="177" spans="1:26" ht="15.75" customHeight="1" x14ac:dyDescent="0.25">
      <c r="A177" s="79"/>
      <c r="B177" s="79"/>
      <c r="C177" s="400"/>
      <c r="D177" s="400"/>
      <c r="E177" s="400"/>
      <c r="F177" s="400"/>
      <c r="G177" s="79"/>
      <c r="H177" s="79"/>
      <c r="I177" s="79"/>
      <c r="J177" s="396"/>
      <c r="K177" s="399"/>
      <c r="L177" s="396"/>
      <c r="M177" s="396"/>
      <c r="N177" s="396"/>
      <c r="O177" s="396"/>
      <c r="P177" s="396"/>
      <c r="Q177" s="396"/>
      <c r="R177" s="396"/>
      <c r="S177" s="79"/>
      <c r="T177" s="79"/>
      <c r="U177" s="79"/>
      <c r="V177" s="79"/>
      <c r="W177" s="79"/>
      <c r="X177" s="79"/>
      <c r="Y177" s="79"/>
      <c r="Z177" s="79"/>
    </row>
    <row r="178" spans="1:26" ht="15.75" customHeight="1" x14ac:dyDescent="0.25">
      <c r="A178" s="79"/>
      <c r="B178" s="79"/>
      <c r="C178" s="400"/>
      <c r="D178" s="400"/>
      <c r="E178" s="400"/>
      <c r="F178" s="400"/>
      <c r="G178" s="79"/>
      <c r="H178" s="79"/>
      <c r="I178" s="79"/>
      <c r="J178" s="396"/>
      <c r="K178" s="399"/>
      <c r="L178" s="396"/>
      <c r="M178" s="396"/>
      <c r="N178" s="396"/>
      <c r="O178" s="396"/>
      <c r="P178" s="396"/>
      <c r="Q178" s="396"/>
      <c r="R178" s="396"/>
      <c r="S178" s="79"/>
      <c r="T178" s="79"/>
      <c r="U178" s="79"/>
      <c r="V178" s="79"/>
      <c r="W178" s="79"/>
      <c r="X178" s="79"/>
      <c r="Y178" s="79"/>
      <c r="Z178" s="79"/>
    </row>
    <row r="179" spans="1:26" ht="15.75" customHeight="1" x14ac:dyDescent="0.25">
      <c r="A179" s="79"/>
      <c r="B179" s="79"/>
      <c r="C179" s="400"/>
      <c r="D179" s="400"/>
      <c r="E179" s="400"/>
      <c r="F179" s="400"/>
      <c r="G179" s="79"/>
      <c r="H179" s="79"/>
      <c r="I179" s="79"/>
      <c r="J179" s="396"/>
      <c r="K179" s="399"/>
      <c r="L179" s="396"/>
      <c r="M179" s="396"/>
      <c r="N179" s="396"/>
      <c r="O179" s="396"/>
      <c r="P179" s="396"/>
      <c r="Q179" s="396"/>
      <c r="R179" s="396"/>
      <c r="S179" s="79"/>
      <c r="T179" s="79"/>
      <c r="U179" s="79"/>
      <c r="V179" s="79"/>
      <c r="W179" s="79"/>
      <c r="X179" s="79"/>
      <c r="Y179" s="79"/>
      <c r="Z179" s="79"/>
    </row>
    <row r="180" spans="1:26" ht="15.75" customHeight="1" x14ac:dyDescent="0.25">
      <c r="A180" s="79"/>
      <c r="B180" s="79"/>
      <c r="C180" s="400"/>
      <c r="D180" s="400"/>
      <c r="E180" s="400"/>
      <c r="F180" s="400"/>
      <c r="G180" s="79"/>
      <c r="H180" s="79"/>
      <c r="I180" s="79"/>
      <c r="J180" s="396"/>
      <c r="K180" s="399"/>
      <c r="L180" s="396"/>
      <c r="M180" s="396"/>
      <c r="N180" s="396"/>
      <c r="O180" s="396"/>
      <c r="P180" s="396"/>
      <c r="Q180" s="396"/>
      <c r="R180" s="396"/>
      <c r="S180" s="79"/>
      <c r="T180" s="79"/>
      <c r="U180" s="79"/>
      <c r="V180" s="79"/>
      <c r="W180" s="79"/>
      <c r="X180" s="79"/>
      <c r="Y180" s="79"/>
      <c r="Z180" s="79"/>
    </row>
    <row r="181" spans="1:26" ht="15.75" customHeight="1" x14ac:dyDescent="0.25">
      <c r="A181" s="79"/>
      <c r="B181" s="79"/>
      <c r="C181" s="400"/>
      <c r="D181" s="400"/>
      <c r="E181" s="400"/>
      <c r="F181" s="400"/>
      <c r="G181" s="79"/>
      <c r="H181" s="79"/>
      <c r="I181" s="79"/>
      <c r="J181" s="396"/>
      <c r="K181" s="399"/>
      <c r="L181" s="396"/>
      <c r="M181" s="396"/>
      <c r="N181" s="396"/>
      <c r="O181" s="396"/>
      <c r="P181" s="396"/>
      <c r="Q181" s="396"/>
      <c r="R181" s="396"/>
      <c r="S181" s="79"/>
      <c r="T181" s="79"/>
      <c r="U181" s="79"/>
      <c r="V181" s="79"/>
      <c r="W181" s="79"/>
      <c r="X181" s="79"/>
      <c r="Y181" s="79"/>
      <c r="Z181" s="79"/>
    </row>
    <row r="182" spans="1:26" ht="15.75" customHeight="1" x14ac:dyDescent="0.25">
      <c r="A182" s="79"/>
      <c r="B182" s="79"/>
      <c r="C182" s="400"/>
      <c r="D182" s="400"/>
      <c r="E182" s="400"/>
      <c r="F182" s="400"/>
      <c r="G182" s="79"/>
      <c r="H182" s="79"/>
      <c r="I182" s="79"/>
      <c r="J182" s="396"/>
      <c r="K182" s="399"/>
      <c r="L182" s="396"/>
      <c r="M182" s="396"/>
      <c r="N182" s="396"/>
      <c r="O182" s="396"/>
      <c r="P182" s="396"/>
      <c r="Q182" s="396"/>
      <c r="R182" s="396"/>
      <c r="S182" s="79"/>
      <c r="T182" s="79"/>
      <c r="U182" s="79"/>
      <c r="V182" s="79"/>
      <c r="W182" s="79"/>
      <c r="X182" s="79"/>
      <c r="Y182" s="79"/>
      <c r="Z182" s="79"/>
    </row>
    <row r="183" spans="1:26" ht="15.75" customHeight="1" x14ac:dyDescent="0.25">
      <c r="A183" s="79"/>
      <c r="B183" s="79"/>
      <c r="C183" s="400"/>
      <c r="D183" s="400"/>
      <c r="E183" s="400"/>
      <c r="F183" s="400"/>
      <c r="G183" s="79"/>
      <c r="H183" s="79"/>
      <c r="I183" s="79"/>
      <c r="J183" s="396"/>
      <c r="K183" s="399"/>
      <c r="L183" s="396"/>
      <c r="M183" s="396"/>
      <c r="N183" s="396"/>
      <c r="O183" s="396"/>
      <c r="P183" s="396"/>
      <c r="Q183" s="396"/>
      <c r="R183" s="396"/>
      <c r="S183" s="79"/>
      <c r="T183" s="79"/>
      <c r="U183" s="79"/>
      <c r="V183" s="79"/>
      <c r="W183" s="79"/>
      <c r="X183" s="79"/>
      <c r="Y183" s="79"/>
      <c r="Z183" s="79"/>
    </row>
    <row r="184" spans="1:26" ht="15.75" customHeight="1" x14ac:dyDescent="0.25">
      <c r="A184" s="79"/>
      <c r="B184" s="79"/>
      <c r="C184" s="400"/>
      <c r="D184" s="400"/>
      <c r="E184" s="400"/>
      <c r="F184" s="400"/>
      <c r="G184" s="79"/>
      <c r="H184" s="79"/>
      <c r="I184" s="79"/>
      <c r="J184" s="396"/>
      <c r="K184" s="399"/>
      <c r="L184" s="396"/>
      <c r="M184" s="396"/>
      <c r="N184" s="396"/>
      <c r="O184" s="396"/>
      <c r="P184" s="396"/>
      <c r="Q184" s="396"/>
      <c r="R184" s="396"/>
      <c r="S184" s="79"/>
      <c r="T184" s="79"/>
      <c r="U184" s="79"/>
      <c r="V184" s="79"/>
      <c r="W184" s="79"/>
      <c r="X184" s="79"/>
      <c r="Y184" s="79"/>
      <c r="Z184" s="79"/>
    </row>
    <row r="185" spans="1:26" ht="15.75" customHeight="1" x14ac:dyDescent="0.25">
      <c r="A185" s="79"/>
      <c r="B185" s="79"/>
      <c r="C185" s="400"/>
      <c r="D185" s="400"/>
      <c r="E185" s="400"/>
      <c r="F185" s="400"/>
      <c r="G185" s="79"/>
      <c r="H185" s="79"/>
      <c r="I185" s="79"/>
      <c r="J185" s="396"/>
      <c r="K185" s="399"/>
      <c r="L185" s="396"/>
      <c r="M185" s="396"/>
      <c r="N185" s="396"/>
      <c r="O185" s="396"/>
      <c r="P185" s="396"/>
      <c r="Q185" s="396"/>
      <c r="R185" s="396"/>
      <c r="S185" s="79"/>
      <c r="T185" s="79"/>
      <c r="U185" s="79"/>
      <c r="V185" s="79"/>
      <c r="W185" s="79"/>
      <c r="X185" s="79"/>
      <c r="Y185" s="79"/>
      <c r="Z185" s="79"/>
    </row>
    <row r="186" spans="1:26" ht="15.75" customHeight="1" x14ac:dyDescent="0.25">
      <c r="A186" s="79"/>
      <c r="B186" s="79"/>
      <c r="C186" s="400"/>
      <c r="D186" s="400"/>
      <c r="E186" s="400"/>
      <c r="F186" s="400"/>
      <c r="G186" s="79"/>
      <c r="H186" s="79"/>
      <c r="I186" s="79"/>
      <c r="J186" s="396"/>
      <c r="K186" s="399"/>
      <c r="L186" s="396"/>
      <c r="M186" s="396"/>
      <c r="N186" s="396"/>
      <c r="O186" s="396"/>
      <c r="P186" s="396"/>
      <c r="Q186" s="396"/>
      <c r="R186" s="396"/>
      <c r="S186" s="79"/>
      <c r="T186" s="79"/>
      <c r="U186" s="79"/>
      <c r="V186" s="79"/>
      <c r="W186" s="79"/>
      <c r="X186" s="79"/>
      <c r="Y186" s="79"/>
      <c r="Z186" s="79"/>
    </row>
    <row r="187" spans="1:26" ht="15.75" customHeight="1" x14ac:dyDescent="0.25">
      <c r="A187" s="79"/>
      <c r="B187" s="79"/>
      <c r="C187" s="400"/>
      <c r="D187" s="400"/>
      <c r="E187" s="400"/>
      <c r="F187" s="400"/>
      <c r="G187" s="79"/>
      <c r="H187" s="79"/>
      <c r="I187" s="79"/>
      <c r="J187" s="396"/>
      <c r="K187" s="399"/>
      <c r="L187" s="396"/>
      <c r="M187" s="396"/>
      <c r="N187" s="396"/>
      <c r="O187" s="396"/>
      <c r="P187" s="396"/>
      <c r="Q187" s="396"/>
      <c r="R187" s="396"/>
      <c r="S187" s="79"/>
      <c r="T187" s="79"/>
      <c r="U187" s="79"/>
      <c r="V187" s="79"/>
      <c r="W187" s="79"/>
      <c r="X187" s="79"/>
      <c r="Y187" s="79"/>
      <c r="Z187" s="79"/>
    </row>
    <row r="188" spans="1:26" ht="15.75" customHeight="1" x14ac:dyDescent="0.25">
      <c r="A188" s="79"/>
      <c r="B188" s="79"/>
      <c r="C188" s="400"/>
      <c r="D188" s="400"/>
      <c r="E188" s="400"/>
      <c r="F188" s="400"/>
      <c r="G188" s="79"/>
      <c r="H188" s="79"/>
      <c r="I188" s="79"/>
      <c r="J188" s="396"/>
      <c r="K188" s="399"/>
      <c r="L188" s="396"/>
      <c r="M188" s="396"/>
      <c r="N188" s="396"/>
      <c r="O188" s="396"/>
      <c r="P188" s="396"/>
      <c r="Q188" s="396"/>
      <c r="R188" s="396"/>
      <c r="S188" s="79"/>
      <c r="T188" s="79"/>
      <c r="U188" s="79"/>
      <c r="V188" s="79"/>
      <c r="W188" s="79"/>
      <c r="X188" s="79"/>
      <c r="Y188" s="79"/>
      <c r="Z188" s="79"/>
    </row>
    <row r="189" spans="1:26" ht="15.75" customHeight="1" x14ac:dyDescent="0.25">
      <c r="A189" s="79"/>
      <c r="B189" s="79"/>
      <c r="C189" s="400"/>
      <c r="D189" s="400"/>
      <c r="E189" s="400"/>
      <c r="F189" s="400"/>
      <c r="G189" s="79"/>
      <c r="H189" s="79"/>
      <c r="I189" s="79"/>
      <c r="J189" s="396"/>
      <c r="K189" s="399"/>
      <c r="L189" s="396"/>
      <c r="M189" s="396"/>
      <c r="N189" s="396"/>
      <c r="O189" s="396"/>
      <c r="P189" s="396"/>
      <c r="Q189" s="396"/>
      <c r="R189" s="396"/>
      <c r="S189" s="79"/>
      <c r="T189" s="79"/>
      <c r="U189" s="79"/>
      <c r="V189" s="79"/>
      <c r="W189" s="79"/>
      <c r="X189" s="79"/>
      <c r="Y189" s="79"/>
      <c r="Z189" s="79"/>
    </row>
    <row r="190" spans="1:26" ht="15.75" customHeight="1" x14ac:dyDescent="0.25">
      <c r="A190" s="79"/>
      <c r="B190" s="79"/>
      <c r="C190" s="400"/>
      <c r="D190" s="400"/>
      <c r="E190" s="400"/>
      <c r="F190" s="400"/>
      <c r="G190" s="79"/>
      <c r="H190" s="79"/>
      <c r="I190" s="79"/>
      <c r="J190" s="396"/>
      <c r="K190" s="399"/>
      <c r="L190" s="396"/>
      <c r="M190" s="396"/>
      <c r="N190" s="396"/>
      <c r="O190" s="396"/>
      <c r="P190" s="396"/>
      <c r="Q190" s="396"/>
      <c r="R190" s="396"/>
      <c r="S190" s="79"/>
      <c r="T190" s="79"/>
      <c r="U190" s="79"/>
      <c r="V190" s="79"/>
      <c r="W190" s="79"/>
      <c r="X190" s="79"/>
      <c r="Y190" s="79"/>
      <c r="Z190" s="79"/>
    </row>
    <row r="191" spans="1:26" ht="15.75" customHeight="1" x14ac:dyDescent="0.25">
      <c r="A191" s="79"/>
      <c r="B191" s="79"/>
      <c r="C191" s="400"/>
      <c r="D191" s="400"/>
      <c r="E191" s="400"/>
      <c r="F191" s="400"/>
      <c r="G191" s="79"/>
      <c r="H191" s="79"/>
      <c r="I191" s="79"/>
      <c r="J191" s="396"/>
      <c r="K191" s="399"/>
      <c r="L191" s="396"/>
      <c r="M191" s="396"/>
      <c r="N191" s="396"/>
      <c r="O191" s="396"/>
      <c r="P191" s="396"/>
      <c r="Q191" s="396"/>
      <c r="R191" s="396"/>
      <c r="S191" s="79"/>
      <c r="T191" s="79"/>
      <c r="U191" s="79"/>
      <c r="V191" s="79"/>
      <c r="W191" s="79"/>
      <c r="X191" s="79"/>
      <c r="Y191" s="79"/>
      <c r="Z191" s="79"/>
    </row>
    <row r="192" spans="1:26" ht="15.75" customHeight="1" x14ac:dyDescent="0.25">
      <c r="A192" s="79"/>
      <c r="B192" s="79"/>
      <c r="C192" s="400"/>
      <c r="D192" s="400"/>
      <c r="E192" s="400"/>
      <c r="F192" s="400"/>
      <c r="G192" s="79"/>
      <c r="H192" s="79"/>
      <c r="I192" s="79"/>
      <c r="J192" s="396"/>
      <c r="K192" s="399"/>
      <c r="L192" s="396"/>
      <c r="M192" s="396"/>
      <c r="N192" s="396"/>
      <c r="O192" s="396"/>
      <c r="P192" s="396"/>
      <c r="Q192" s="396"/>
      <c r="R192" s="396"/>
      <c r="S192" s="79"/>
      <c r="T192" s="79"/>
      <c r="U192" s="79"/>
      <c r="V192" s="79"/>
      <c r="W192" s="79"/>
      <c r="X192" s="79"/>
      <c r="Y192" s="79"/>
      <c r="Z192" s="79"/>
    </row>
    <row r="193" spans="1:26" ht="15.75" customHeight="1" x14ac:dyDescent="0.25">
      <c r="A193" s="79"/>
      <c r="B193" s="79"/>
      <c r="C193" s="400"/>
      <c r="D193" s="400"/>
      <c r="E193" s="400"/>
      <c r="F193" s="400"/>
      <c r="G193" s="79"/>
      <c r="H193" s="79"/>
      <c r="I193" s="79"/>
      <c r="J193" s="396"/>
      <c r="K193" s="399"/>
      <c r="L193" s="396"/>
      <c r="M193" s="396"/>
      <c r="N193" s="396"/>
      <c r="O193" s="396"/>
      <c r="P193" s="396"/>
      <c r="Q193" s="396"/>
      <c r="R193" s="396"/>
      <c r="S193" s="79"/>
      <c r="T193" s="79"/>
      <c r="U193" s="79"/>
      <c r="V193" s="79"/>
      <c r="W193" s="79"/>
      <c r="X193" s="79"/>
      <c r="Y193" s="79"/>
      <c r="Z193" s="79"/>
    </row>
    <row r="194" spans="1:26" ht="15.75" customHeight="1" x14ac:dyDescent="0.25">
      <c r="A194" s="79"/>
      <c r="B194" s="79"/>
      <c r="C194" s="400"/>
      <c r="D194" s="400"/>
      <c r="E194" s="400"/>
      <c r="F194" s="400"/>
      <c r="G194" s="79"/>
      <c r="H194" s="79"/>
      <c r="I194" s="79"/>
      <c r="J194" s="396"/>
      <c r="K194" s="399"/>
      <c r="L194" s="396"/>
      <c r="M194" s="396"/>
      <c r="N194" s="396"/>
      <c r="O194" s="396"/>
      <c r="P194" s="396"/>
      <c r="Q194" s="396"/>
      <c r="R194" s="396"/>
      <c r="S194" s="79"/>
      <c r="T194" s="79"/>
      <c r="U194" s="79"/>
      <c r="V194" s="79"/>
      <c r="W194" s="79"/>
      <c r="X194" s="79"/>
      <c r="Y194" s="79"/>
      <c r="Z194" s="79"/>
    </row>
    <row r="195" spans="1:26" ht="15.75" customHeight="1" x14ac:dyDescent="0.25">
      <c r="A195" s="79"/>
      <c r="B195" s="79"/>
      <c r="C195" s="400"/>
      <c r="D195" s="400"/>
      <c r="E195" s="400"/>
      <c r="F195" s="400"/>
      <c r="G195" s="79"/>
      <c r="H195" s="79"/>
      <c r="I195" s="79"/>
      <c r="J195" s="396"/>
      <c r="K195" s="399"/>
      <c r="L195" s="396"/>
      <c r="M195" s="396"/>
      <c r="N195" s="396"/>
      <c r="O195" s="396"/>
      <c r="P195" s="396"/>
      <c r="Q195" s="396"/>
      <c r="R195" s="396"/>
      <c r="S195" s="79"/>
      <c r="T195" s="79"/>
      <c r="U195" s="79"/>
      <c r="V195" s="79"/>
      <c r="W195" s="79"/>
      <c r="X195" s="79"/>
      <c r="Y195" s="79"/>
      <c r="Z195" s="79"/>
    </row>
    <row r="196" spans="1:26" ht="15.75" customHeight="1" x14ac:dyDescent="0.25">
      <c r="A196" s="79"/>
      <c r="B196" s="79"/>
      <c r="C196" s="400"/>
      <c r="D196" s="400"/>
      <c r="E196" s="400"/>
      <c r="F196" s="400"/>
      <c r="G196" s="79"/>
      <c r="H196" s="79"/>
      <c r="I196" s="79"/>
      <c r="J196" s="396"/>
      <c r="K196" s="399"/>
      <c r="L196" s="396"/>
      <c r="M196" s="396"/>
      <c r="N196" s="396"/>
      <c r="O196" s="396"/>
      <c r="P196" s="396"/>
      <c r="Q196" s="396"/>
      <c r="R196" s="396"/>
      <c r="S196" s="79"/>
      <c r="T196" s="79"/>
      <c r="U196" s="79"/>
      <c r="V196" s="79"/>
      <c r="W196" s="79"/>
      <c r="X196" s="79"/>
      <c r="Y196" s="79"/>
      <c r="Z196" s="79"/>
    </row>
    <row r="197" spans="1:26" ht="15.75" customHeight="1" x14ac:dyDescent="0.25">
      <c r="A197" s="79"/>
      <c r="B197" s="79"/>
      <c r="C197" s="400"/>
      <c r="D197" s="400"/>
      <c r="E197" s="400"/>
      <c r="F197" s="400"/>
      <c r="G197" s="79"/>
      <c r="H197" s="79"/>
      <c r="I197" s="79"/>
      <c r="J197" s="396"/>
      <c r="K197" s="399"/>
      <c r="L197" s="396"/>
      <c r="M197" s="396"/>
      <c r="N197" s="396"/>
      <c r="O197" s="396"/>
      <c r="P197" s="396"/>
      <c r="Q197" s="396"/>
      <c r="R197" s="396"/>
      <c r="S197" s="79"/>
      <c r="T197" s="79"/>
      <c r="U197" s="79"/>
      <c r="V197" s="79"/>
      <c r="W197" s="79"/>
      <c r="X197" s="79"/>
      <c r="Y197" s="79"/>
      <c r="Z197" s="79"/>
    </row>
    <row r="198" spans="1:26" ht="15.75" customHeight="1" x14ac:dyDescent="0.25">
      <c r="A198" s="79"/>
      <c r="B198" s="79"/>
      <c r="C198" s="400"/>
      <c r="D198" s="400"/>
      <c r="E198" s="400"/>
      <c r="F198" s="400"/>
      <c r="G198" s="79"/>
      <c r="H198" s="79"/>
      <c r="I198" s="79"/>
      <c r="J198" s="396"/>
      <c r="K198" s="399"/>
      <c r="L198" s="396"/>
      <c r="M198" s="396"/>
      <c r="N198" s="396"/>
      <c r="O198" s="396"/>
      <c r="P198" s="396"/>
      <c r="Q198" s="396"/>
      <c r="R198" s="396"/>
      <c r="S198" s="79"/>
      <c r="T198" s="79"/>
      <c r="U198" s="79"/>
      <c r="V198" s="79"/>
      <c r="W198" s="79"/>
      <c r="X198" s="79"/>
      <c r="Y198" s="79"/>
      <c r="Z198" s="79"/>
    </row>
    <row r="199" spans="1:26" ht="15.75" customHeight="1" x14ac:dyDescent="0.25">
      <c r="A199" s="79"/>
      <c r="B199" s="79"/>
      <c r="C199" s="400"/>
      <c r="D199" s="400"/>
      <c r="E199" s="400"/>
      <c r="F199" s="400"/>
      <c r="G199" s="79"/>
      <c r="H199" s="79"/>
      <c r="I199" s="79"/>
      <c r="J199" s="396"/>
      <c r="K199" s="399"/>
      <c r="L199" s="396"/>
      <c r="M199" s="396"/>
      <c r="N199" s="396"/>
      <c r="O199" s="396"/>
      <c r="P199" s="396"/>
      <c r="Q199" s="396"/>
      <c r="R199" s="396"/>
      <c r="S199" s="79"/>
      <c r="T199" s="79"/>
      <c r="U199" s="79"/>
      <c r="V199" s="79"/>
      <c r="W199" s="79"/>
      <c r="X199" s="79"/>
      <c r="Y199" s="79"/>
      <c r="Z199" s="79"/>
    </row>
    <row r="200" spans="1:26" ht="15.75" customHeight="1" x14ac:dyDescent="0.25">
      <c r="A200" s="79"/>
      <c r="B200" s="79"/>
      <c r="C200" s="400"/>
      <c r="D200" s="400"/>
      <c r="E200" s="400"/>
      <c r="F200" s="400"/>
      <c r="G200" s="79"/>
      <c r="H200" s="79"/>
      <c r="I200" s="79"/>
      <c r="J200" s="396"/>
      <c r="K200" s="399"/>
      <c r="L200" s="396"/>
      <c r="M200" s="396"/>
      <c r="N200" s="396"/>
      <c r="O200" s="396"/>
      <c r="P200" s="396"/>
      <c r="Q200" s="396"/>
      <c r="R200" s="396"/>
      <c r="S200" s="79"/>
      <c r="T200" s="79"/>
      <c r="U200" s="79"/>
      <c r="V200" s="79"/>
      <c r="W200" s="79"/>
      <c r="X200" s="79"/>
      <c r="Y200" s="79"/>
      <c r="Z200" s="79"/>
    </row>
    <row r="201" spans="1:26" ht="15.75" customHeight="1" x14ac:dyDescent="0.25">
      <c r="A201" s="79"/>
      <c r="B201" s="79"/>
      <c r="C201" s="400"/>
      <c r="D201" s="400"/>
      <c r="E201" s="400"/>
      <c r="F201" s="400"/>
      <c r="G201" s="79"/>
      <c r="H201" s="79"/>
      <c r="I201" s="79"/>
      <c r="J201" s="396"/>
      <c r="K201" s="399"/>
      <c r="L201" s="396"/>
      <c r="M201" s="396"/>
      <c r="N201" s="396"/>
      <c r="O201" s="396"/>
      <c r="P201" s="396"/>
      <c r="Q201" s="396"/>
      <c r="R201" s="396"/>
      <c r="S201" s="79"/>
      <c r="T201" s="79"/>
      <c r="U201" s="79"/>
      <c r="V201" s="79"/>
      <c r="W201" s="79"/>
      <c r="X201" s="79"/>
      <c r="Y201" s="79"/>
      <c r="Z201" s="79"/>
    </row>
    <row r="202" spans="1:26" ht="15.75" customHeight="1" x14ac:dyDescent="0.25">
      <c r="A202" s="79"/>
      <c r="B202" s="79"/>
      <c r="C202" s="400"/>
      <c r="D202" s="400"/>
      <c r="E202" s="400"/>
      <c r="F202" s="400"/>
      <c r="G202" s="79"/>
      <c r="H202" s="79"/>
      <c r="I202" s="79"/>
      <c r="J202" s="396"/>
      <c r="K202" s="399"/>
      <c r="L202" s="396"/>
      <c r="M202" s="396"/>
      <c r="N202" s="396"/>
      <c r="O202" s="396"/>
      <c r="P202" s="396"/>
      <c r="Q202" s="396"/>
      <c r="R202" s="396"/>
      <c r="S202" s="79"/>
      <c r="T202" s="79"/>
      <c r="U202" s="79"/>
      <c r="V202" s="79"/>
      <c r="W202" s="79"/>
      <c r="X202" s="79"/>
      <c r="Y202" s="79"/>
      <c r="Z202" s="79"/>
    </row>
    <row r="203" spans="1:26" ht="15.75" customHeight="1" x14ac:dyDescent="0.25">
      <c r="A203" s="79"/>
      <c r="B203" s="79"/>
      <c r="C203" s="400"/>
      <c r="D203" s="400"/>
      <c r="E203" s="400"/>
      <c r="F203" s="400"/>
      <c r="G203" s="79"/>
      <c r="H203" s="79"/>
      <c r="I203" s="79"/>
      <c r="J203" s="396"/>
      <c r="K203" s="399"/>
      <c r="L203" s="396"/>
      <c r="M203" s="396"/>
      <c r="N203" s="396"/>
      <c r="O203" s="396"/>
      <c r="P203" s="396"/>
      <c r="Q203" s="396"/>
      <c r="R203" s="396"/>
      <c r="S203" s="79"/>
      <c r="T203" s="79"/>
      <c r="U203" s="79"/>
      <c r="V203" s="79"/>
      <c r="W203" s="79"/>
      <c r="X203" s="79"/>
      <c r="Y203" s="79"/>
      <c r="Z203" s="79"/>
    </row>
    <row r="204" spans="1:26" ht="15.75" customHeight="1" x14ac:dyDescent="0.25">
      <c r="A204" s="79"/>
      <c r="B204" s="79"/>
      <c r="C204" s="400"/>
      <c r="D204" s="400"/>
      <c r="E204" s="400"/>
      <c r="F204" s="400"/>
      <c r="G204" s="79"/>
      <c r="H204" s="79"/>
      <c r="I204" s="79"/>
      <c r="J204" s="396"/>
      <c r="K204" s="399"/>
      <c r="L204" s="396"/>
      <c r="M204" s="396"/>
      <c r="N204" s="396"/>
      <c r="O204" s="396"/>
      <c r="P204" s="396"/>
      <c r="Q204" s="396"/>
      <c r="R204" s="396"/>
      <c r="S204" s="79"/>
      <c r="T204" s="79"/>
      <c r="U204" s="79"/>
      <c r="V204" s="79"/>
      <c r="W204" s="79"/>
      <c r="X204" s="79"/>
      <c r="Y204" s="79"/>
      <c r="Z204" s="79"/>
    </row>
    <row r="205" spans="1:26" ht="15.75" customHeight="1" x14ac:dyDescent="0.25">
      <c r="A205" s="79"/>
      <c r="B205" s="79"/>
      <c r="C205" s="400"/>
      <c r="D205" s="400"/>
      <c r="E205" s="400"/>
      <c r="F205" s="400"/>
      <c r="G205" s="79"/>
      <c r="H205" s="79"/>
      <c r="I205" s="79"/>
      <c r="J205" s="396"/>
      <c r="K205" s="399"/>
      <c r="L205" s="396"/>
      <c r="M205" s="396"/>
      <c r="N205" s="396"/>
      <c r="O205" s="396"/>
      <c r="P205" s="396"/>
      <c r="Q205" s="396"/>
      <c r="R205" s="396"/>
      <c r="S205" s="79"/>
      <c r="T205" s="79"/>
      <c r="U205" s="79"/>
      <c r="V205" s="79"/>
      <c r="W205" s="79"/>
      <c r="X205" s="79"/>
      <c r="Y205" s="79"/>
      <c r="Z205" s="79"/>
    </row>
    <row r="206" spans="1:26" ht="15.75" customHeight="1" x14ac:dyDescent="0.25">
      <c r="A206" s="79"/>
      <c r="B206" s="79"/>
      <c r="C206" s="400"/>
      <c r="D206" s="400"/>
      <c r="E206" s="400"/>
      <c r="F206" s="400"/>
      <c r="G206" s="79"/>
      <c r="H206" s="79"/>
      <c r="I206" s="79"/>
      <c r="J206" s="396"/>
      <c r="K206" s="399"/>
      <c r="L206" s="396"/>
      <c r="M206" s="396"/>
      <c r="N206" s="396"/>
      <c r="O206" s="396"/>
      <c r="P206" s="396"/>
      <c r="Q206" s="396"/>
      <c r="R206" s="396"/>
      <c r="S206" s="79"/>
      <c r="T206" s="79"/>
      <c r="U206" s="79"/>
      <c r="V206" s="79"/>
      <c r="W206" s="79"/>
      <c r="X206" s="79"/>
      <c r="Y206" s="79"/>
      <c r="Z206" s="79"/>
    </row>
    <row r="207" spans="1:26" ht="15.75" customHeight="1" x14ac:dyDescent="0.25">
      <c r="A207" s="79"/>
      <c r="B207" s="79"/>
      <c r="C207" s="400"/>
      <c r="D207" s="400"/>
      <c r="E207" s="400"/>
      <c r="F207" s="400"/>
      <c r="G207" s="79"/>
      <c r="H207" s="79"/>
      <c r="I207" s="79"/>
      <c r="J207" s="396"/>
      <c r="K207" s="399"/>
      <c r="L207" s="396"/>
      <c r="M207" s="396"/>
      <c r="N207" s="396"/>
      <c r="O207" s="396"/>
      <c r="P207" s="396"/>
      <c r="Q207" s="396"/>
      <c r="R207" s="396"/>
      <c r="S207" s="79"/>
      <c r="T207" s="79"/>
      <c r="U207" s="79"/>
      <c r="V207" s="79"/>
      <c r="W207" s="79"/>
      <c r="X207" s="79"/>
      <c r="Y207" s="79"/>
      <c r="Z207" s="79"/>
    </row>
    <row r="208" spans="1:26" ht="15.75" customHeight="1" x14ac:dyDescent="0.25">
      <c r="A208" s="79"/>
      <c r="B208" s="79"/>
      <c r="C208" s="400"/>
      <c r="D208" s="400"/>
      <c r="E208" s="400"/>
      <c r="F208" s="400"/>
      <c r="G208" s="79"/>
      <c r="H208" s="79"/>
      <c r="I208" s="79"/>
      <c r="J208" s="396"/>
      <c r="K208" s="399"/>
      <c r="L208" s="396"/>
      <c r="M208" s="396"/>
      <c r="N208" s="396"/>
      <c r="O208" s="396"/>
      <c r="P208" s="396"/>
      <c r="Q208" s="396"/>
      <c r="R208" s="396"/>
      <c r="S208" s="79"/>
      <c r="T208" s="79"/>
      <c r="U208" s="79"/>
      <c r="V208" s="79"/>
      <c r="W208" s="79"/>
      <c r="X208" s="79"/>
      <c r="Y208" s="79"/>
      <c r="Z208" s="79"/>
    </row>
    <row r="209" spans="1:26" ht="15.75" customHeight="1" x14ac:dyDescent="0.25">
      <c r="A209" s="79"/>
      <c r="B209" s="79"/>
      <c r="C209" s="400"/>
      <c r="D209" s="400"/>
      <c r="E209" s="400"/>
      <c r="F209" s="400"/>
      <c r="G209" s="79"/>
      <c r="H209" s="79"/>
      <c r="I209" s="79"/>
      <c r="J209" s="396"/>
      <c r="K209" s="399"/>
      <c r="L209" s="396"/>
      <c r="M209" s="396"/>
      <c r="N209" s="396"/>
      <c r="O209" s="396"/>
      <c r="P209" s="396"/>
      <c r="Q209" s="396"/>
      <c r="R209" s="396"/>
      <c r="S209" s="79"/>
      <c r="T209" s="79"/>
      <c r="U209" s="79"/>
      <c r="V209" s="79"/>
      <c r="W209" s="79"/>
      <c r="X209" s="79"/>
      <c r="Y209" s="79"/>
      <c r="Z209" s="79"/>
    </row>
    <row r="210" spans="1:26" ht="15.75" customHeight="1" x14ac:dyDescent="0.25">
      <c r="A210" s="79"/>
      <c r="B210" s="79"/>
      <c r="C210" s="400"/>
      <c r="D210" s="400"/>
      <c r="E210" s="400"/>
      <c r="F210" s="400"/>
      <c r="G210" s="79"/>
      <c r="H210" s="79"/>
      <c r="I210" s="79"/>
      <c r="J210" s="396"/>
      <c r="K210" s="399"/>
      <c r="L210" s="396"/>
      <c r="M210" s="396"/>
      <c r="N210" s="396"/>
      <c r="O210" s="396"/>
      <c r="P210" s="396"/>
      <c r="Q210" s="396"/>
      <c r="R210" s="396"/>
      <c r="S210" s="79"/>
      <c r="T210" s="79"/>
      <c r="U210" s="79"/>
      <c r="V210" s="79"/>
      <c r="W210" s="79"/>
      <c r="X210" s="79"/>
      <c r="Y210" s="79"/>
      <c r="Z210" s="79"/>
    </row>
    <row r="211" spans="1:26" ht="15.75" customHeight="1" x14ac:dyDescent="0.25">
      <c r="A211" s="79"/>
      <c r="B211" s="79"/>
      <c r="C211" s="400"/>
      <c r="D211" s="400"/>
      <c r="E211" s="400"/>
      <c r="F211" s="400"/>
      <c r="G211" s="79"/>
      <c r="H211" s="79"/>
      <c r="I211" s="79"/>
      <c r="J211" s="396"/>
      <c r="K211" s="399"/>
      <c r="L211" s="396"/>
      <c r="M211" s="396"/>
      <c r="N211" s="396"/>
      <c r="O211" s="396"/>
      <c r="P211" s="396"/>
      <c r="Q211" s="396"/>
      <c r="R211" s="396"/>
      <c r="S211" s="79"/>
      <c r="T211" s="79"/>
      <c r="U211" s="79"/>
      <c r="V211" s="79"/>
      <c r="W211" s="79"/>
      <c r="X211" s="79"/>
      <c r="Y211" s="79"/>
      <c r="Z211" s="79"/>
    </row>
    <row r="212" spans="1:26" ht="15.75" customHeight="1" x14ac:dyDescent="0.25">
      <c r="A212" s="79"/>
      <c r="B212" s="79"/>
      <c r="C212" s="400"/>
      <c r="D212" s="400"/>
      <c r="E212" s="400"/>
      <c r="F212" s="400"/>
      <c r="G212" s="79"/>
      <c r="H212" s="79"/>
      <c r="I212" s="79"/>
      <c r="J212" s="396"/>
      <c r="K212" s="399"/>
      <c r="L212" s="396"/>
      <c r="M212" s="396"/>
      <c r="N212" s="396"/>
      <c r="O212" s="396"/>
      <c r="P212" s="396"/>
      <c r="Q212" s="396"/>
      <c r="R212" s="396"/>
      <c r="S212" s="79"/>
      <c r="T212" s="79"/>
      <c r="U212" s="79"/>
      <c r="V212" s="79"/>
      <c r="W212" s="79"/>
      <c r="X212" s="79"/>
      <c r="Y212" s="79"/>
      <c r="Z212" s="79"/>
    </row>
    <row r="213" spans="1:26" ht="15.75" customHeight="1" x14ac:dyDescent="0.25">
      <c r="A213" s="79"/>
      <c r="B213" s="79"/>
      <c r="C213" s="400"/>
      <c r="D213" s="400"/>
      <c r="E213" s="400"/>
      <c r="F213" s="400"/>
      <c r="G213" s="79"/>
      <c r="H213" s="79"/>
      <c r="I213" s="79"/>
      <c r="J213" s="396"/>
      <c r="K213" s="399"/>
      <c r="L213" s="396"/>
      <c r="M213" s="396"/>
      <c r="N213" s="396"/>
      <c r="O213" s="396"/>
      <c r="P213" s="396"/>
      <c r="Q213" s="396"/>
      <c r="R213" s="396"/>
      <c r="S213" s="79"/>
      <c r="T213" s="79"/>
      <c r="U213" s="79"/>
      <c r="V213" s="79"/>
      <c r="W213" s="79"/>
      <c r="X213" s="79"/>
      <c r="Y213" s="79"/>
      <c r="Z213" s="79"/>
    </row>
    <row r="214" spans="1:26" ht="15.75" customHeight="1" x14ac:dyDescent="0.25">
      <c r="A214" s="79"/>
      <c r="B214" s="79"/>
      <c r="C214" s="400"/>
      <c r="D214" s="400"/>
      <c r="E214" s="400"/>
      <c r="F214" s="400"/>
      <c r="G214" s="79"/>
      <c r="H214" s="79"/>
      <c r="I214" s="79"/>
      <c r="J214" s="396"/>
      <c r="K214" s="399"/>
      <c r="L214" s="396"/>
      <c r="M214" s="396"/>
      <c r="N214" s="396"/>
      <c r="O214" s="396"/>
      <c r="P214" s="396"/>
      <c r="Q214" s="396"/>
      <c r="R214" s="396"/>
      <c r="S214" s="79"/>
      <c r="T214" s="79"/>
      <c r="U214" s="79"/>
      <c r="V214" s="79"/>
      <c r="W214" s="79"/>
      <c r="X214" s="79"/>
      <c r="Y214" s="79"/>
      <c r="Z214" s="79"/>
    </row>
    <row r="215" spans="1:26" ht="15.75" customHeight="1" x14ac:dyDescent="0.25">
      <c r="A215" s="79"/>
      <c r="B215" s="79"/>
      <c r="C215" s="400"/>
      <c r="D215" s="400"/>
      <c r="E215" s="400"/>
      <c r="F215" s="400"/>
      <c r="G215" s="79"/>
      <c r="H215" s="79"/>
      <c r="I215" s="79"/>
      <c r="J215" s="396"/>
      <c r="K215" s="399"/>
      <c r="L215" s="396"/>
      <c r="M215" s="396"/>
      <c r="N215" s="396"/>
      <c r="O215" s="396"/>
      <c r="P215" s="396"/>
      <c r="Q215" s="396"/>
      <c r="R215" s="396"/>
      <c r="S215" s="79"/>
      <c r="T215" s="79"/>
      <c r="U215" s="79"/>
      <c r="V215" s="79"/>
      <c r="W215" s="79"/>
      <c r="X215" s="79"/>
      <c r="Y215" s="79"/>
      <c r="Z215" s="79"/>
    </row>
    <row r="216" spans="1:26" ht="15.75" customHeight="1" x14ac:dyDescent="0.25">
      <c r="A216" s="79"/>
      <c r="B216" s="79"/>
      <c r="C216" s="400"/>
      <c r="D216" s="400"/>
      <c r="E216" s="400"/>
      <c r="F216" s="400"/>
      <c r="G216" s="79"/>
      <c r="H216" s="79"/>
      <c r="I216" s="79"/>
      <c r="J216" s="396"/>
      <c r="K216" s="399"/>
      <c r="L216" s="396"/>
      <c r="M216" s="396"/>
      <c r="N216" s="396"/>
      <c r="O216" s="396"/>
      <c r="P216" s="396"/>
      <c r="Q216" s="396"/>
      <c r="R216" s="396"/>
      <c r="S216" s="79"/>
      <c r="T216" s="79"/>
      <c r="U216" s="79"/>
      <c r="V216" s="79"/>
      <c r="W216" s="79"/>
      <c r="X216" s="79"/>
      <c r="Y216" s="79"/>
      <c r="Z216" s="79"/>
    </row>
    <row r="217" spans="1:26" ht="15.75" customHeight="1" x14ac:dyDescent="0.25">
      <c r="A217" s="79"/>
      <c r="B217" s="79"/>
      <c r="C217" s="400"/>
      <c r="D217" s="400"/>
      <c r="E217" s="400"/>
      <c r="F217" s="400"/>
      <c r="G217" s="79"/>
      <c r="H217" s="79"/>
      <c r="I217" s="79"/>
      <c r="J217" s="396"/>
      <c r="K217" s="399"/>
      <c r="L217" s="396"/>
      <c r="M217" s="396"/>
      <c r="N217" s="396"/>
      <c r="O217" s="396"/>
      <c r="P217" s="396"/>
      <c r="Q217" s="396"/>
      <c r="R217" s="396"/>
      <c r="S217" s="79"/>
      <c r="T217" s="79"/>
      <c r="U217" s="79"/>
      <c r="V217" s="79"/>
      <c r="W217" s="79"/>
      <c r="X217" s="79"/>
      <c r="Y217" s="79"/>
      <c r="Z217" s="79"/>
    </row>
    <row r="218" spans="1:26" ht="15.75" customHeight="1" x14ac:dyDescent="0.25">
      <c r="A218" s="79"/>
      <c r="B218" s="79"/>
      <c r="C218" s="400"/>
      <c r="D218" s="400"/>
      <c r="E218" s="400"/>
      <c r="F218" s="400"/>
      <c r="G218" s="79"/>
      <c r="H218" s="79"/>
      <c r="I218" s="79"/>
      <c r="J218" s="396"/>
      <c r="K218" s="399"/>
      <c r="L218" s="396"/>
      <c r="M218" s="396"/>
      <c r="N218" s="396"/>
      <c r="O218" s="396"/>
      <c r="P218" s="396"/>
      <c r="Q218" s="396"/>
      <c r="R218" s="396"/>
      <c r="S218" s="79"/>
      <c r="T218" s="79"/>
      <c r="U218" s="79"/>
      <c r="V218" s="79"/>
      <c r="W218" s="79"/>
      <c r="X218" s="79"/>
      <c r="Y218" s="79"/>
      <c r="Z218" s="79"/>
    </row>
    <row r="219" spans="1:26" ht="15.75" customHeight="1" x14ac:dyDescent="0.25">
      <c r="A219" s="79"/>
      <c r="B219" s="79"/>
      <c r="C219" s="400"/>
      <c r="D219" s="400"/>
      <c r="E219" s="400"/>
      <c r="F219" s="400"/>
      <c r="G219" s="79"/>
      <c r="H219" s="79"/>
      <c r="I219" s="79"/>
      <c r="J219" s="396"/>
      <c r="K219" s="399"/>
      <c r="L219" s="396"/>
      <c r="M219" s="396"/>
      <c r="N219" s="396"/>
      <c r="O219" s="396"/>
      <c r="P219" s="396"/>
      <c r="Q219" s="396"/>
      <c r="R219" s="396"/>
      <c r="S219" s="79"/>
      <c r="T219" s="79"/>
      <c r="U219" s="79"/>
      <c r="V219" s="79"/>
      <c r="W219" s="79"/>
      <c r="X219" s="79"/>
      <c r="Y219" s="79"/>
      <c r="Z219" s="79"/>
    </row>
    <row r="220" spans="1:26" ht="15.75" customHeight="1" x14ac:dyDescent="0.25">
      <c r="A220" s="79"/>
      <c r="B220" s="79"/>
      <c r="C220" s="400"/>
      <c r="D220" s="400"/>
      <c r="E220" s="400"/>
      <c r="F220" s="400"/>
      <c r="G220" s="79"/>
      <c r="H220" s="79"/>
      <c r="I220" s="79"/>
      <c r="J220" s="396"/>
      <c r="K220" s="399"/>
      <c r="L220" s="396"/>
      <c r="M220" s="396"/>
      <c r="N220" s="396"/>
      <c r="O220" s="396"/>
      <c r="P220" s="396"/>
      <c r="Q220" s="396"/>
      <c r="R220" s="396"/>
      <c r="S220" s="79"/>
      <c r="T220" s="79"/>
      <c r="U220" s="79"/>
      <c r="V220" s="79"/>
      <c r="W220" s="79"/>
      <c r="X220" s="79"/>
      <c r="Y220" s="79"/>
      <c r="Z220" s="79"/>
    </row>
    <row r="221" spans="1:26" ht="15.75" customHeight="1" x14ac:dyDescent="0.25">
      <c r="A221" s="79"/>
      <c r="B221" s="79"/>
      <c r="C221" s="400"/>
      <c r="D221" s="400"/>
      <c r="E221" s="400"/>
      <c r="F221" s="400"/>
      <c r="G221" s="79"/>
      <c r="H221" s="79"/>
      <c r="I221" s="79"/>
      <c r="J221" s="396"/>
      <c r="K221" s="399"/>
      <c r="L221" s="396"/>
      <c r="M221" s="396"/>
      <c r="N221" s="396"/>
      <c r="O221" s="396"/>
      <c r="P221" s="396"/>
      <c r="Q221" s="396"/>
      <c r="R221" s="396"/>
      <c r="S221" s="79"/>
      <c r="T221" s="79"/>
      <c r="U221" s="79"/>
      <c r="V221" s="79"/>
      <c r="W221" s="79"/>
      <c r="X221" s="79"/>
      <c r="Y221" s="79"/>
      <c r="Z221" s="79"/>
    </row>
    <row r="222" spans="1:26" ht="15.75" customHeight="1" x14ac:dyDescent="0.25">
      <c r="A222" s="79"/>
      <c r="B222" s="79"/>
      <c r="C222" s="400"/>
      <c r="D222" s="400"/>
      <c r="E222" s="400"/>
      <c r="F222" s="400"/>
      <c r="G222" s="79"/>
      <c r="H222" s="79"/>
      <c r="I222" s="79"/>
      <c r="J222" s="396"/>
      <c r="K222" s="399"/>
      <c r="L222" s="396"/>
      <c r="M222" s="396"/>
      <c r="N222" s="396"/>
      <c r="O222" s="396"/>
      <c r="P222" s="396"/>
      <c r="Q222" s="396"/>
      <c r="R222" s="396"/>
      <c r="S222" s="79"/>
      <c r="T222" s="79"/>
      <c r="U222" s="79"/>
      <c r="V222" s="79"/>
      <c r="W222" s="79"/>
      <c r="X222" s="79"/>
      <c r="Y222" s="79"/>
      <c r="Z222" s="79"/>
    </row>
    <row r="223" spans="1:26" ht="15.75" customHeight="1" x14ac:dyDescent="0.25">
      <c r="A223" s="79"/>
      <c r="B223" s="79"/>
      <c r="C223" s="400"/>
      <c r="D223" s="400"/>
      <c r="E223" s="400"/>
      <c r="F223" s="400"/>
      <c r="G223" s="79"/>
      <c r="H223" s="79"/>
      <c r="I223" s="79"/>
      <c r="J223" s="396"/>
      <c r="K223" s="399"/>
      <c r="L223" s="396"/>
      <c r="M223" s="396"/>
      <c r="N223" s="396"/>
      <c r="O223" s="396"/>
      <c r="P223" s="396"/>
      <c r="Q223" s="396"/>
      <c r="R223" s="396"/>
      <c r="S223" s="79"/>
      <c r="T223" s="79"/>
      <c r="U223" s="79"/>
      <c r="V223" s="79"/>
      <c r="W223" s="79"/>
      <c r="X223" s="79"/>
      <c r="Y223" s="79"/>
      <c r="Z223" s="79"/>
    </row>
    <row r="224" spans="1:26" ht="15.75" customHeight="1" x14ac:dyDescent="0.25">
      <c r="A224" s="79"/>
      <c r="B224" s="79"/>
      <c r="C224" s="400"/>
      <c r="D224" s="400"/>
      <c r="E224" s="400"/>
      <c r="F224" s="400"/>
      <c r="G224" s="79"/>
      <c r="H224" s="79"/>
      <c r="I224" s="79"/>
      <c r="J224" s="396"/>
      <c r="K224" s="399"/>
      <c r="L224" s="396"/>
      <c r="M224" s="396"/>
      <c r="N224" s="396"/>
      <c r="O224" s="396"/>
      <c r="P224" s="396"/>
      <c r="Q224" s="396"/>
      <c r="R224" s="396"/>
      <c r="S224" s="79"/>
      <c r="T224" s="79"/>
      <c r="U224" s="79"/>
      <c r="V224" s="79"/>
      <c r="W224" s="79"/>
      <c r="X224" s="79"/>
      <c r="Y224" s="79"/>
      <c r="Z224" s="79"/>
    </row>
    <row r="225" spans="1:26" ht="15.75" customHeight="1" x14ac:dyDescent="0.25">
      <c r="A225" s="79"/>
      <c r="B225" s="79"/>
      <c r="C225" s="400"/>
      <c r="D225" s="400"/>
      <c r="E225" s="400"/>
      <c r="F225" s="400"/>
      <c r="G225" s="79"/>
      <c r="H225" s="79"/>
      <c r="I225" s="79"/>
      <c r="J225" s="396"/>
      <c r="K225" s="399"/>
      <c r="L225" s="396"/>
      <c r="M225" s="396"/>
      <c r="N225" s="396"/>
      <c r="O225" s="396"/>
      <c r="P225" s="396"/>
      <c r="Q225" s="396"/>
      <c r="R225" s="396"/>
      <c r="S225" s="79"/>
      <c r="T225" s="79"/>
      <c r="U225" s="79"/>
      <c r="V225" s="79"/>
      <c r="W225" s="79"/>
      <c r="X225" s="79"/>
      <c r="Y225" s="79"/>
      <c r="Z225" s="79"/>
    </row>
    <row r="226" spans="1:26" ht="15.75" customHeight="1" x14ac:dyDescent="0.25">
      <c r="A226" s="79"/>
      <c r="B226" s="79"/>
      <c r="C226" s="400"/>
      <c r="D226" s="400"/>
      <c r="E226" s="400"/>
      <c r="F226" s="400"/>
      <c r="G226" s="79"/>
      <c r="H226" s="79"/>
      <c r="I226" s="79"/>
      <c r="J226" s="396"/>
      <c r="K226" s="399"/>
      <c r="L226" s="396"/>
      <c r="M226" s="396"/>
      <c r="N226" s="396"/>
      <c r="O226" s="396"/>
      <c r="P226" s="396"/>
      <c r="Q226" s="396"/>
      <c r="R226" s="396"/>
      <c r="S226" s="79"/>
      <c r="T226" s="79"/>
      <c r="U226" s="79"/>
      <c r="V226" s="79"/>
      <c r="W226" s="79"/>
      <c r="X226" s="79"/>
      <c r="Y226" s="79"/>
      <c r="Z226" s="79"/>
    </row>
    <row r="227" spans="1:26" ht="15.75" customHeight="1" x14ac:dyDescent="0.25">
      <c r="A227" s="79"/>
      <c r="B227" s="79"/>
      <c r="C227" s="400"/>
      <c r="D227" s="400"/>
      <c r="E227" s="400"/>
      <c r="F227" s="400"/>
      <c r="G227" s="79"/>
      <c r="H227" s="79"/>
      <c r="I227" s="79"/>
      <c r="J227" s="396"/>
      <c r="K227" s="399"/>
      <c r="L227" s="396"/>
      <c r="M227" s="396"/>
      <c r="N227" s="396"/>
      <c r="O227" s="396"/>
      <c r="P227" s="396"/>
      <c r="Q227" s="396"/>
      <c r="R227" s="396"/>
      <c r="S227" s="79"/>
      <c r="T227" s="79"/>
      <c r="U227" s="79"/>
      <c r="V227" s="79"/>
      <c r="W227" s="79"/>
      <c r="X227" s="79"/>
      <c r="Y227" s="79"/>
      <c r="Z227" s="79"/>
    </row>
    <row r="228" spans="1:26" ht="15.75" customHeight="1" x14ac:dyDescent="0.25">
      <c r="A228" s="79"/>
      <c r="B228" s="79"/>
      <c r="C228" s="400"/>
      <c r="D228" s="400"/>
      <c r="E228" s="400"/>
      <c r="F228" s="400"/>
      <c r="G228" s="79"/>
      <c r="H228" s="79"/>
      <c r="I228" s="79"/>
      <c r="J228" s="396"/>
      <c r="K228" s="399"/>
      <c r="L228" s="396"/>
      <c r="M228" s="396"/>
      <c r="N228" s="396"/>
      <c r="O228" s="396"/>
      <c r="P228" s="396"/>
      <c r="Q228" s="396"/>
      <c r="R228" s="396"/>
      <c r="S228" s="79"/>
      <c r="T228" s="79"/>
      <c r="U228" s="79"/>
      <c r="V228" s="79"/>
      <c r="W228" s="79"/>
      <c r="X228" s="79"/>
      <c r="Y228" s="79"/>
      <c r="Z228" s="79"/>
    </row>
    <row r="229" spans="1:26" ht="15.75" customHeight="1" x14ac:dyDescent="0.25">
      <c r="A229" s="79"/>
      <c r="B229" s="79"/>
      <c r="C229" s="400"/>
      <c r="D229" s="400"/>
      <c r="E229" s="400"/>
      <c r="F229" s="400"/>
      <c r="G229" s="79"/>
      <c r="H229" s="79"/>
      <c r="I229" s="79"/>
      <c r="J229" s="396"/>
      <c r="K229" s="399"/>
      <c r="L229" s="396"/>
      <c r="M229" s="396"/>
      <c r="N229" s="396"/>
      <c r="O229" s="396"/>
      <c r="P229" s="396"/>
      <c r="Q229" s="396"/>
      <c r="R229" s="396"/>
      <c r="S229" s="79"/>
      <c r="T229" s="79"/>
      <c r="U229" s="79"/>
      <c r="V229" s="79"/>
      <c r="W229" s="79"/>
      <c r="X229" s="79"/>
      <c r="Y229" s="79"/>
      <c r="Z229" s="79"/>
    </row>
    <row r="230" spans="1:26" ht="15.75" customHeight="1" x14ac:dyDescent="0.25">
      <c r="A230" s="79"/>
      <c r="B230" s="79"/>
      <c r="C230" s="400"/>
      <c r="D230" s="400"/>
      <c r="E230" s="400"/>
      <c r="F230" s="400"/>
      <c r="G230" s="79"/>
      <c r="H230" s="79"/>
      <c r="I230" s="79"/>
      <c r="J230" s="396"/>
      <c r="K230" s="399"/>
      <c r="L230" s="396"/>
      <c r="M230" s="396"/>
      <c r="N230" s="396"/>
      <c r="O230" s="396"/>
      <c r="P230" s="396"/>
      <c r="Q230" s="396"/>
      <c r="R230" s="396"/>
      <c r="S230" s="79"/>
      <c r="T230" s="79"/>
      <c r="U230" s="79"/>
      <c r="V230" s="79"/>
      <c r="W230" s="79"/>
      <c r="X230" s="79"/>
      <c r="Y230" s="79"/>
      <c r="Z230" s="79"/>
    </row>
    <row r="231" spans="1:26" ht="15.75" customHeight="1" x14ac:dyDescent="0.25">
      <c r="A231" s="79"/>
      <c r="B231" s="79"/>
      <c r="C231" s="400"/>
      <c r="D231" s="400"/>
      <c r="E231" s="400"/>
      <c r="F231" s="400"/>
      <c r="G231" s="79"/>
      <c r="H231" s="79"/>
      <c r="I231" s="79"/>
      <c r="J231" s="396"/>
      <c r="K231" s="399"/>
      <c r="L231" s="396"/>
      <c r="M231" s="396"/>
      <c r="N231" s="396"/>
      <c r="O231" s="396"/>
      <c r="P231" s="396"/>
      <c r="Q231" s="396"/>
      <c r="R231" s="396"/>
      <c r="S231" s="79"/>
      <c r="T231" s="79"/>
      <c r="U231" s="79"/>
      <c r="V231" s="79"/>
      <c r="W231" s="79"/>
      <c r="X231" s="79"/>
      <c r="Y231" s="79"/>
      <c r="Z231" s="79"/>
    </row>
    <row r="232" spans="1:26" ht="15.75" customHeight="1" x14ac:dyDescent="0.25">
      <c r="A232" s="79"/>
      <c r="B232" s="79"/>
      <c r="C232" s="400"/>
      <c r="D232" s="400"/>
      <c r="E232" s="400"/>
      <c r="F232" s="400"/>
      <c r="G232" s="79"/>
      <c r="H232" s="79"/>
      <c r="I232" s="79"/>
      <c r="J232" s="396"/>
      <c r="K232" s="399"/>
      <c r="L232" s="396"/>
      <c r="M232" s="396"/>
      <c r="N232" s="396"/>
      <c r="O232" s="396"/>
      <c r="P232" s="396"/>
      <c r="Q232" s="396"/>
      <c r="R232" s="396"/>
      <c r="S232" s="79"/>
      <c r="T232" s="79"/>
      <c r="U232" s="79"/>
      <c r="V232" s="79"/>
      <c r="W232" s="79"/>
      <c r="X232" s="79"/>
      <c r="Y232" s="79"/>
      <c r="Z232" s="79"/>
    </row>
    <row r="233" spans="1:26" ht="15.75" customHeight="1" x14ac:dyDescent="0.25">
      <c r="A233" s="79"/>
      <c r="B233" s="79"/>
      <c r="C233" s="400"/>
      <c r="D233" s="400"/>
      <c r="E233" s="400"/>
      <c r="F233" s="400"/>
      <c r="G233" s="79"/>
      <c r="H233" s="79"/>
      <c r="I233" s="79"/>
      <c r="J233" s="396"/>
      <c r="K233" s="399"/>
      <c r="L233" s="396"/>
      <c r="M233" s="396"/>
      <c r="N233" s="396"/>
      <c r="O233" s="396"/>
      <c r="P233" s="396"/>
      <c r="Q233" s="396"/>
      <c r="R233" s="396"/>
      <c r="S233" s="79"/>
      <c r="T233" s="79"/>
      <c r="U233" s="79"/>
      <c r="V233" s="79"/>
      <c r="W233" s="79"/>
      <c r="X233" s="79"/>
      <c r="Y233" s="79"/>
      <c r="Z233" s="79"/>
    </row>
    <row r="234" spans="1:26" ht="15.75" customHeight="1" x14ac:dyDescent="0.25">
      <c r="A234" s="79"/>
      <c r="B234" s="79"/>
      <c r="C234" s="400"/>
      <c r="D234" s="400"/>
      <c r="E234" s="400"/>
      <c r="F234" s="400"/>
      <c r="G234" s="79"/>
      <c r="H234" s="79"/>
      <c r="I234" s="79"/>
      <c r="J234" s="396"/>
      <c r="K234" s="399"/>
      <c r="L234" s="396"/>
      <c r="M234" s="396"/>
      <c r="N234" s="396"/>
      <c r="O234" s="396"/>
      <c r="P234" s="396"/>
      <c r="Q234" s="396"/>
      <c r="R234" s="396"/>
      <c r="S234" s="79"/>
      <c r="T234" s="79"/>
      <c r="U234" s="79"/>
      <c r="V234" s="79"/>
      <c r="W234" s="79"/>
      <c r="X234" s="79"/>
      <c r="Y234" s="79"/>
      <c r="Z234" s="79"/>
    </row>
    <row r="235" spans="1:26" ht="15.75" customHeight="1" x14ac:dyDescent="0.25">
      <c r="A235" s="79"/>
      <c r="B235" s="79"/>
      <c r="C235" s="400"/>
      <c r="D235" s="400"/>
      <c r="E235" s="400"/>
      <c r="F235" s="400"/>
      <c r="G235" s="79"/>
      <c r="H235" s="79"/>
      <c r="I235" s="79"/>
      <c r="J235" s="396"/>
      <c r="K235" s="399"/>
      <c r="L235" s="396"/>
      <c r="M235" s="396"/>
      <c r="N235" s="396"/>
      <c r="O235" s="396"/>
      <c r="P235" s="396"/>
      <c r="Q235" s="396"/>
      <c r="R235" s="396"/>
      <c r="S235" s="79"/>
      <c r="T235" s="79"/>
      <c r="U235" s="79"/>
      <c r="V235" s="79"/>
      <c r="W235" s="79"/>
      <c r="X235" s="79"/>
      <c r="Y235" s="79"/>
      <c r="Z235" s="79"/>
    </row>
    <row r="236" spans="1:26" ht="15.75" customHeight="1" x14ac:dyDescent="0.25">
      <c r="A236" s="79"/>
      <c r="B236" s="79"/>
      <c r="C236" s="400"/>
      <c r="D236" s="400"/>
      <c r="E236" s="400"/>
      <c r="F236" s="400"/>
      <c r="G236" s="79"/>
      <c r="H236" s="79"/>
      <c r="I236" s="79"/>
      <c r="J236" s="396"/>
      <c r="K236" s="399"/>
      <c r="L236" s="396"/>
      <c r="M236" s="396"/>
      <c r="N236" s="396"/>
      <c r="O236" s="396"/>
      <c r="P236" s="396"/>
      <c r="Q236" s="396"/>
      <c r="R236" s="396"/>
      <c r="S236" s="79"/>
      <c r="T236" s="79"/>
      <c r="U236" s="79"/>
      <c r="V236" s="79"/>
      <c r="W236" s="79"/>
      <c r="X236" s="79"/>
      <c r="Y236" s="79"/>
      <c r="Z236" s="79"/>
    </row>
    <row r="237" spans="1:26" ht="15.75" customHeight="1" x14ac:dyDescent="0.25">
      <c r="A237" s="79"/>
      <c r="B237" s="79"/>
      <c r="C237" s="400"/>
      <c r="D237" s="400"/>
      <c r="E237" s="400"/>
      <c r="F237" s="400"/>
      <c r="G237" s="79"/>
      <c r="H237" s="79"/>
      <c r="I237" s="79"/>
      <c r="J237" s="396"/>
      <c r="K237" s="399"/>
      <c r="L237" s="396"/>
      <c r="M237" s="396"/>
      <c r="N237" s="396"/>
      <c r="O237" s="396"/>
      <c r="P237" s="396"/>
      <c r="Q237" s="396"/>
      <c r="R237" s="396"/>
      <c r="S237" s="79"/>
      <c r="T237" s="79"/>
      <c r="U237" s="79"/>
      <c r="V237" s="79"/>
      <c r="W237" s="79"/>
      <c r="X237" s="79"/>
      <c r="Y237" s="79"/>
      <c r="Z237" s="79"/>
    </row>
    <row r="238" spans="1:26" ht="15.75" customHeight="1" x14ac:dyDescent="0.25">
      <c r="A238" s="79"/>
      <c r="B238" s="79"/>
      <c r="C238" s="400"/>
      <c r="D238" s="400"/>
      <c r="E238" s="400"/>
      <c r="F238" s="400"/>
      <c r="G238" s="79"/>
      <c r="H238" s="79"/>
      <c r="I238" s="79"/>
      <c r="J238" s="396"/>
      <c r="K238" s="399"/>
      <c r="L238" s="396"/>
      <c r="M238" s="396"/>
      <c r="N238" s="396"/>
      <c r="O238" s="396"/>
      <c r="P238" s="396"/>
      <c r="Q238" s="396"/>
      <c r="R238" s="396"/>
      <c r="S238" s="79"/>
      <c r="T238" s="79"/>
      <c r="U238" s="79"/>
      <c r="V238" s="79"/>
      <c r="W238" s="79"/>
      <c r="X238" s="79"/>
      <c r="Y238" s="79"/>
      <c r="Z238" s="79"/>
    </row>
    <row r="239" spans="1:26" ht="15.75" customHeight="1" x14ac:dyDescent="0.25">
      <c r="A239" s="79"/>
      <c r="B239" s="79"/>
      <c r="C239" s="400"/>
      <c r="D239" s="400"/>
      <c r="E239" s="400"/>
      <c r="F239" s="400"/>
      <c r="G239" s="79"/>
      <c r="H239" s="79"/>
      <c r="I239" s="79"/>
      <c r="J239" s="396"/>
      <c r="K239" s="399"/>
      <c r="L239" s="396"/>
      <c r="M239" s="396"/>
      <c r="N239" s="396"/>
      <c r="O239" s="396"/>
      <c r="P239" s="396"/>
      <c r="Q239" s="396"/>
      <c r="R239" s="396"/>
      <c r="S239" s="79"/>
      <c r="T239" s="79"/>
      <c r="U239" s="79"/>
      <c r="V239" s="79"/>
      <c r="W239" s="79"/>
      <c r="X239" s="79"/>
      <c r="Y239" s="79"/>
      <c r="Z239" s="79"/>
    </row>
    <row r="240" spans="1:26" ht="15.75" customHeight="1" x14ac:dyDescent="0.25">
      <c r="A240" s="79"/>
      <c r="B240" s="79"/>
      <c r="C240" s="400"/>
      <c r="D240" s="400"/>
      <c r="E240" s="400"/>
      <c r="F240" s="400"/>
      <c r="G240" s="79"/>
      <c r="H240" s="79"/>
      <c r="I240" s="79"/>
      <c r="J240" s="396"/>
      <c r="K240" s="399"/>
      <c r="L240" s="396"/>
      <c r="M240" s="396"/>
      <c r="N240" s="396"/>
      <c r="O240" s="396"/>
      <c r="P240" s="396"/>
      <c r="Q240" s="396"/>
      <c r="R240" s="396"/>
      <c r="S240" s="79"/>
      <c r="T240" s="79"/>
      <c r="U240" s="79"/>
      <c r="V240" s="79"/>
      <c r="W240" s="79"/>
      <c r="X240" s="79"/>
      <c r="Y240" s="79"/>
      <c r="Z240" s="79"/>
    </row>
    <row r="241" spans="1:26" ht="15.75" customHeight="1" x14ac:dyDescent="0.25">
      <c r="A241" s="79"/>
      <c r="B241" s="79"/>
      <c r="C241" s="400"/>
      <c r="D241" s="400"/>
      <c r="E241" s="400"/>
      <c r="F241" s="400"/>
      <c r="G241" s="79"/>
      <c r="H241" s="79"/>
      <c r="I241" s="79"/>
      <c r="J241" s="396"/>
      <c r="K241" s="399"/>
      <c r="L241" s="396"/>
      <c r="M241" s="396"/>
      <c r="N241" s="396"/>
      <c r="O241" s="396"/>
      <c r="P241" s="396"/>
      <c r="Q241" s="396"/>
      <c r="R241" s="396"/>
      <c r="S241" s="79"/>
      <c r="T241" s="79"/>
      <c r="U241" s="79"/>
      <c r="V241" s="79"/>
      <c r="W241" s="79"/>
      <c r="X241" s="79"/>
      <c r="Y241" s="79"/>
      <c r="Z241" s="79"/>
    </row>
    <row r="242" spans="1:26" ht="15.75" customHeight="1" x14ac:dyDescent="0.25">
      <c r="A242" s="79"/>
      <c r="B242" s="79"/>
      <c r="C242" s="400"/>
      <c r="D242" s="400"/>
      <c r="E242" s="400"/>
      <c r="F242" s="400"/>
      <c r="G242" s="79"/>
      <c r="H242" s="79"/>
      <c r="I242" s="79"/>
      <c r="J242" s="396"/>
      <c r="K242" s="399"/>
      <c r="L242" s="396"/>
      <c r="M242" s="396"/>
      <c r="N242" s="396"/>
      <c r="O242" s="396"/>
      <c r="P242" s="396"/>
      <c r="Q242" s="396"/>
      <c r="R242" s="396"/>
      <c r="S242" s="79"/>
      <c r="T242" s="79"/>
      <c r="U242" s="79"/>
      <c r="V242" s="79"/>
      <c r="W242" s="79"/>
      <c r="X242" s="79"/>
      <c r="Y242" s="79"/>
      <c r="Z242" s="79"/>
    </row>
    <row r="243" spans="1:26" ht="15.75" customHeight="1" x14ac:dyDescent="0.25">
      <c r="A243" s="79"/>
      <c r="B243" s="79"/>
      <c r="C243" s="400"/>
      <c r="D243" s="400"/>
      <c r="E243" s="400"/>
      <c r="F243" s="400"/>
      <c r="G243" s="79"/>
      <c r="H243" s="79"/>
      <c r="I243" s="79"/>
      <c r="J243" s="396"/>
      <c r="K243" s="399"/>
      <c r="L243" s="396"/>
      <c r="M243" s="396"/>
      <c r="N243" s="396"/>
      <c r="O243" s="396"/>
      <c r="P243" s="396"/>
      <c r="Q243" s="396"/>
      <c r="R243" s="396"/>
      <c r="S243" s="79"/>
      <c r="T243" s="79"/>
      <c r="U243" s="79"/>
      <c r="V243" s="79"/>
      <c r="W243" s="79"/>
      <c r="X243" s="79"/>
      <c r="Y243" s="79"/>
      <c r="Z243" s="79"/>
    </row>
    <row r="244" spans="1:26" ht="15.75" customHeight="1" x14ac:dyDescent="0.25">
      <c r="A244" s="79"/>
      <c r="B244" s="79"/>
      <c r="C244" s="400"/>
      <c r="D244" s="400"/>
      <c r="E244" s="400"/>
      <c r="F244" s="400"/>
      <c r="G244" s="79"/>
      <c r="H244" s="79"/>
      <c r="I244" s="79"/>
      <c r="J244" s="396"/>
      <c r="K244" s="399"/>
      <c r="L244" s="396"/>
      <c r="M244" s="396"/>
      <c r="N244" s="396"/>
      <c r="O244" s="396"/>
      <c r="P244" s="396"/>
      <c r="Q244" s="396"/>
      <c r="R244" s="396"/>
      <c r="S244" s="79"/>
      <c r="T244" s="79"/>
      <c r="U244" s="79"/>
      <c r="V244" s="79"/>
      <c r="W244" s="79"/>
      <c r="X244" s="79"/>
      <c r="Y244" s="79"/>
      <c r="Z244" s="79"/>
    </row>
    <row r="245" spans="1:26" ht="15.75" customHeight="1" x14ac:dyDescent="0.25">
      <c r="A245" s="79"/>
      <c r="B245" s="79"/>
      <c r="C245" s="400"/>
      <c r="D245" s="400"/>
      <c r="E245" s="400"/>
      <c r="F245" s="400"/>
      <c r="G245" s="79"/>
      <c r="H245" s="79"/>
      <c r="I245" s="79"/>
      <c r="J245" s="396"/>
      <c r="K245" s="399"/>
      <c r="L245" s="396"/>
      <c r="M245" s="396"/>
      <c r="N245" s="396"/>
      <c r="O245" s="396"/>
      <c r="P245" s="396"/>
      <c r="Q245" s="396"/>
      <c r="R245" s="396"/>
      <c r="S245" s="79"/>
      <c r="T245" s="79"/>
      <c r="U245" s="79"/>
      <c r="V245" s="79"/>
      <c r="W245" s="79"/>
      <c r="X245" s="79"/>
      <c r="Y245" s="79"/>
      <c r="Z245" s="79"/>
    </row>
    <row r="246" spans="1:26" ht="15.75" customHeight="1" x14ac:dyDescent="0.25">
      <c r="A246" s="79"/>
      <c r="B246" s="79"/>
      <c r="C246" s="400"/>
      <c r="D246" s="400"/>
      <c r="E246" s="400"/>
      <c r="F246" s="400"/>
      <c r="G246" s="79"/>
      <c r="H246" s="79"/>
      <c r="I246" s="79"/>
      <c r="J246" s="396"/>
      <c r="K246" s="399"/>
      <c r="L246" s="396"/>
      <c r="M246" s="396"/>
      <c r="N246" s="396"/>
      <c r="O246" s="396"/>
      <c r="P246" s="396"/>
      <c r="Q246" s="396"/>
      <c r="R246" s="396"/>
      <c r="S246" s="79"/>
      <c r="T246" s="79"/>
      <c r="U246" s="79"/>
      <c r="V246" s="79"/>
      <c r="W246" s="79"/>
      <c r="X246" s="79"/>
      <c r="Y246" s="79"/>
      <c r="Z246" s="79"/>
    </row>
    <row r="247" spans="1:26" ht="15.75" customHeight="1" x14ac:dyDescent="0.25">
      <c r="A247" s="79"/>
      <c r="B247" s="79"/>
      <c r="C247" s="400"/>
      <c r="D247" s="400"/>
      <c r="E247" s="400"/>
      <c r="F247" s="400"/>
      <c r="G247" s="79"/>
      <c r="H247" s="79"/>
      <c r="I247" s="79"/>
      <c r="J247" s="396"/>
      <c r="K247" s="399"/>
      <c r="L247" s="396"/>
      <c r="M247" s="396"/>
      <c r="N247" s="396"/>
      <c r="O247" s="396"/>
      <c r="P247" s="396"/>
      <c r="Q247" s="396"/>
      <c r="R247" s="396"/>
      <c r="S247" s="79"/>
      <c r="T247" s="79"/>
      <c r="U247" s="79"/>
      <c r="V247" s="79"/>
      <c r="W247" s="79"/>
      <c r="X247" s="79"/>
      <c r="Y247" s="79"/>
      <c r="Z247" s="79"/>
    </row>
    <row r="248" spans="1:26" ht="15.75" customHeight="1" x14ac:dyDescent="0.25">
      <c r="A248" s="79"/>
      <c r="B248" s="79"/>
      <c r="C248" s="400"/>
      <c r="D248" s="400"/>
      <c r="E248" s="400"/>
      <c r="F248" s="400"/>
      <c r="G248" s="79"/>
      <c r="H248" s="79"/>
      <c r="I248" s="79"/>
      <c r="J248" s="396"/>
      <c r="K248" s="399"/>
      <c r="L248" s="396"/>
      <c r="M248" s="396"/>
      <c r="N248" s="396"/>
      <c r="O248" s="396"/>
      <c r="P248" s="396"/>
      <c r="Q248" s="396"/>
      <c r="R248" s="396"/>
      <c r="S248" s="79"/>
      <c r="T248" s="79"/>
      <c r="U248" s="79"/>
      <c r="V248" s="79"/>
      <c r="W248" s="79"/>
      <c r="X248" s="79"/>
      <c r="Y248" s="79"/>
      <c r="Z248" s="79"/>
    </row>
    <row r="249" spans="1:26" ht="15.75" customHeight="1" x14ac:dyDescent="0.25">
      <c r="A249" s="79"/>
      <c r="B249" s="79"/>
      <c r="C249" s="400"/>
      <c r="D249" s="400"/>
      <c r="E249" s="400"/>
      <c r="F249" s="400"/>
      <c r="G249" s="79"/>
      <c r="H249" s="79"/>
      <c r="I249" s="79"/>
      <c r="J249" s="396"/>
      <c r="K249" s="399"/>
      <c r="L249" s="396"/>
      <c r="M249" s="396"/>
      <c r="N249" s="396"/>
      <c r="O249" s="396"/>
      <c r="P249" s="396"/>
      <c r="Q249" s="396"/>
      <c r="R249" s="396"/>
      <c r="S249" s="79"/>
      <c r="T249" s="79"/>
      <c r="U249" s="79"/>
      <c r="V249" s="79"/>
      <c r="W249" s="79"/>
      <c r="X249" s="79"/>
      <c r="Y249" s="79"/>
      <c r="Z249" s="79"/>
    </row>
    <row r="250" spans="1:26" ht="15.75" customHeight="1" x14ac:dyDescent="0.25">
      <c r="A250" s="79"/>
      <c r="B250" s="79"/>
      <c r="C250" s="400"/>
      <c r="D250" s="400"/>
      <c r="E250" s="400"/>
      <c r="F250" s="400"/>
      <c r="G250" s="79"/>
      <c r="H250" s="79"/>
      <c r="I250" s="79"/>
      <c r="J250" s="396"/>
      <c r="K250" s="399"/>
      <c r="L250" s="396"/>
      <c r="M250" s="396"/>
      <c r="N250" s="396"/>
      <c r="O250" s="396"/>
      <c r="P250" s="396"/>
      <c r="Q250" s="396"/>
      <c r="R250" s="396"/>
      <c r="S250" s="79"/>
      <c r="T250" s="79"/>
      <c r="U250" s="79"/>
      <c r="V250" s="79"/>
      <c r="W250" s="79"/>
      <c r="X250" s="79"/>
      <c r="Y250" s="79"/>
      <c r="Z250" s="79"/>
    </row>
    <row r="251" spans="1:26" ht="15.75" customHeight="1" x14ac:dyDescent="0.25">
      <c r="A251" s="79"/>
      <c r="B251" s="79"/>
      <c r="C251" s="400"/>
      <c r="D251" s="400"/>
      <c r="E251" s="400"/>
      <c r="F251" s="400"/>
      <c r="G251" s="79"/>
      <c r="H251" s="79"/>
      <c r="I251" s="79"/>
      <c r="J251" s="396"/>
      <c r="K251" s="399"/>
      <c r="L251" s="396"/>
      <c r="M251" s="396"/>
      <c r="N251" s="396"/>
      <c r="O251" s="396"/>
      <c r="P251" s="396"/>
      <c r="Q251" s="396"/>
      <c r="R251" s="396"/>
      <c r="S251" s="79"/>
      <c r="T251" s="79"/>
      <c r="U251" s="79"/>
      <c r="V251" s="79"/>
      <c r="W251" s="79"/>
      <c r="X251" s="79"/>
      <c r="Y251" s="79"/>
      <c r="Z251" s="79"/>
    </row>
    <row r="252" spans="1:26" ht="15.75" customHeight="1" x14ac:dyDescent="0.25">
      <c r="A252" s="79"/>
      <c r="B252" s="79"/>
      <c r="C252" s="400"/>
      <c r="D252" s="400"/>
      <c r="E252" s="400"/>
      <c r="F252" s="400"/>
      <c r="G252" s="79"/>
      <c r="H252" s="79"/>
      <c r="I252" s="79"/>
      <c r="J252" s="396"/>
      <c r="K252" s="399"/>
      <c r="L252" s="396"/>
      <c r="M252" s="396"/>
      <c r="N252" s="396"/>
      <c r="O252" s="396"/>
      <c r="P252" s="396"/>
      <c r="Q252" s="396"/>
      <c r="R252" s="396"/>
      <c r="S252" s="79"/>
      <c r="T252" s="79"/>
      <c r="U252" s="79"/>
      <c r="V252" s="79"/>
      <c r="W252" s="79"/>
      <c r="X252" s="79"/>
      <c r="Y252" s="79"/>
      <c r="Z252" s="79"/>
    </row>
    <row r="253" spans="1:26" ht="15.75" customHeight="1" x14ac:dyDescent="0.25">
      <c r="A253" s="79"/>
      <c r="B253" s="79"/>
      <c r="C253" s="400"/>
      <c r="D253" s="400"/>
      <c r="E253" s="400"/>
      <c r="F253" s="400"/>
      <c r="G253" s="79"/>
      <c r="H253" s="79"/>
      <c r="I253" s="79"/>
      <c r="J253" s="396"/>
      <c r="K253" s="399"/>
      <c r="L253" s="396"/>
      <c r="M253" s="396"/>
      <c r="N253" s="396"/>
      <c r="O253" s="396"/>
      <c r="P253" s="396"/>
      <c r="Q253" s="396"/>
      <c r="R253" s="396"/>
      <c r="S253" s="79"/>
      <c r="T253" s="79"/>
      <c r="U253" s="79"/>
      <c r="V253" s="79"/>
      <c r="W253" s="79"/>
      <c r="X253" s="79"/>
      <c r="Y253" s="79"/>
      <c r="Z253" s="79"/>
    </row>
    <row r="254" spans="1:26" ht="15.75" customHeight="1" x14ac:dyDescent="0.25">
      <c r="A254" s="79"/>
      <c r="B254" s="79"/>
      <c r="C254" s="400"/>
      <c r="D254" s="400"/>
      <c r="E254" s="400"/>
      <c r="F254" s="400"/>
      <c r="G254" s="79"/>
      <c r="H254" s="79"/>
      <c r="I254" s="79"/>
      <c r="J254" s="396"/>
      <c r="K254" s="399"/>
      <c r="L254" s="396"/>
      <c r="M254" s="396"/>
      <c r="N254" s="396"/>
      <c r="O254" s="396"/>
      <c r="P254" s="396"/>
      <c r="Q254" s="396"/>
      <c r="R254" s="396"/>
      <c r="S254" s="79"/>
      <c r="T254" s="79"/>
      <c r="U254" s="79"/>
      <c r="V254" s="79"/>
      <c r="W254" s="79"/>
      <c r="X254" s="79"/>
      <c r="Y254" s="79"/>
      <c r="Z254" s="79"/>
    </row>
    <row r="255" spans="1:26" ht="15.75" customHeight="1" x14ac:dyDescent="0.25">
      <c r="A255" s="79"/>
      <c r="B255" s="79"/>
      <c r="C255" s="400"/>
      <c r="D255" s="400"/>
      <c r="E255" s="400"/>
      <c r="F255" s="400"/>
      <c r="G255" s="79"/>
      <c r="H255" s="79"/>
      <c r="I255" s="79"/>
      <c r="J255" s="396"/>
      <c r="K255" s="399"/>
      <c r="L255" s="396"/>
      <c r="M255" s="396"/>
      <c r="N255" s="396"/>
      <c r="O255" s="396"/>
      <c r="P255" s="396"/>
      <c r="Q255" s="396"/>
      <c r="R255" s="396"/>
      <c r="S255" s="79"/>
      <c r="T255" s="79"/>
      <c r="U255" s="79"/>
      <c r="V255" s="79"/>
      <c r="W255" s="79"/>
      <c r="X255" s="79"/>
      <c r="Y255" s="79"/>
      <c r="Z255" s="79"/>
    </row>
    <row r="256" spans="1:26" ht="15.75" customHeight="1" x14ac:dyDescent="0.25">
      <c r="A256" s="79"/>
      <c r="B256" s="79"/>
      <c r="C256" s="400"/>
      <c r="D256" s="400"/>
      <c r="E256" s="400"/>
      <c r="F256" s="400"/>
      <c r="G256" s="79"/>
      <c r="H256" s="79"/>
      <c r="I256" s="79"/>
      <c r="J256" s="396"/>
      <c r="K256" s="399"/>
      <c r="L256" s="396"/>
      <c r="M256" s="396"/>
      <c r="N256" s="396"/>
      <c r="O256" s="396"/>
      <c r="P256" s="396"/>
      <c r="Q256" s="396"/>
      <c r="R256" s="396"/>
      <c r="S256" s="79"/>
      <c r="T256" s="79"/>
      <c r="U256" s="79"/>
      <c r="V256" s="79"/>
      <c r="W256" s="79"/>
      <c r="X256" s="79"/>
      <c r="Y256" s="79"/>
      <c r="Z256" s="79"/>
    </row>
    <row r="257" spans="1:26" ht="15.75" customHeight="1" x14ac:dyDescent="0.25">
      <c r="A257" s="79"/>
      <c r="B257" s="79"/>
      <c r="C257" s="400"/>
      <c r="D257" s="400"/>
      <c r="E257" s="400"/>
      <c r="F257" s="400"/>
      <c r="G257" s="79"/>
      <c r="H257" s="79"/>
      <c r="I257" s="79"/>
      <c r="J257" s="396"/>
      <c r="K257" s="399"/>
      <c r="L257" s="396"/>
      <c r="M257" s="396"/>
      <c r="N257" s="396"/>
      <c r="O257" s="396"/>
      <c r="P257" s="396"/>
      <c r="Q257" s="396"/>
      <c r="R257" s="396"/>
      <c r="S257" s="79"/>
      <c r="T257" s="79"/>
      <c r="U257" s="79"/>
      <c r="V257" s="79"/>
      <c r="W257" s="79"/>
      <c r="X257" s="79"/>
      <c r="Y257" s="79"/>
      <c r="Z257" s="79"/>
    </row>
    <row r="258" spans="1:26" ht="15.75" customHeight="1" x14ac:dyDescent="0.25">
      <c r="A258" s="79"/>
      <c r="B258" s="79"/>
      <c r="C258" s="400"/>
      <c r="D258" s="400"/>
      <c r="E258" s="400"/>
      <c r="F258" s="400"/>
      <c r="G258" s="79"/>
      <c r="H258" s="79"/>
      <c r="I258" s="79"/>
      <c r="J258" s="396"/>
      <c r="K258" s="399"/>
      <c r="L258" s="396"/>
      <c r="M258" s="396"/>
      <c r="N258" s="396"/>
      <c r="O258" s="396"/>
      <c r="P258" s="396"/>
      <c r="Q258" s="396"/>
      <c r="R258" s="396"/>
      <c r="S258" s="79"/>
      <c r="T258" s="79"/>
      <c r="U258" s="79"/>
      <c r="V258" s="79"/>
      <c r="W258" s="79"/>
      <c r="X258" s="79"/>
      <c r="Y258" s="79"/>
      <c r="Z258" s="79"/>
    </row>
    <row r="259" spans="1:26" ht="15.75" customHeight="1" x14ac:dyDescent="0.25">
      <c r="A259" s="79"/>
      <c r="B259" s="79"/>
      <c r="C259" s="400"/>
      <c r="D259" s="400"/>
      <c r="E259" s="400"/>
      <c r="F259" s="400"/>
      <c r="G259" s="79"/>
      <c r="H259" s="79"/>
      <c r="I259" s="79"/>
      <c r="J259" s="396"/>
      <c r="K259" s="399"/>
      <c r="L259" s="396"/>
      <c r="M259" s="396"/>
      <c r="N259" s="396"/>
      <c r="O259" s="396"/>
      <c r="P259" s="396"/>
      <c r="Q259" s="396"/>
      <c r="R259" s="396"/>
      <c r="S259" s="79"/>
      <c r="T259" s="79"/>
      <c r="U259" s="79"/>
      <c r="V259" s="79"/>
      <c r="W259" s="79"/>
      <c r="X259" s="79"/>
      <c r="Y259" s="79"/>
      <c r="Z259" s="79"/>
    </row>
    <row r="260" spans="1:26" ht="15.75" customHeight="1" x14ac:dyDescent="0.25">
      <c r="A260" s="79"/>
      <c r="B260" s="79"/>
      <c r="C260" s="400"/>
      <c r="D260" s="400"/>
      <c r="E260" s="400"/>
      <c r="F260" s="400"/>
      <c r="G260" s="79"/>
      <c r="H260" s="79"/>
      <c r="I260" s="79"/>
      <c r="J260" s="396"/>
      <c r="K260" s="399"/>
      <c r="L260" s="396"/>
      <c r="M260" s="396"/>
      <c r="N260" s="396"/>
      <c r="O260" s="396"/>
      <c r="P260" s="396"/>
      <c r="Q260" s="396"/>
      <c r="R260" s="396"/>
      <c r="S260" s="79"/>
      <c r="T260" s="79"/>
      <c r="U260" s="79"/>
      <c r="V260" s="79"/>
      <c r="W260" s="79"/>
      <c r="X260" s="79"/>
      <c r="Y260" s="79"/>
      <c r="Z260" s="79"/>
    </row>
    <row r="261" spans="1:26" ht="15.75" customHeight="1" x14ac:dyDescent="0.25">
      <c r="A261" s="79"/>
      <c r="B261" s="79"/>
      <c r="C261" s="400"/>
      <c r="D261" s="400"/>
      <c r="E261" s="400"/>
      <c r="F261" s="400"/>
      <c r="G261" s="79"/>
      <c r="H261" s="79"/>
      <c r="I261" s="79"/>
      <c r="J261" s="396"/>
      <c r="K261" s="399"/>
      <c r="L261" s="396"/>
      <c r="M261" s="396"/>
      <c r="N261" s="396"/>
      <c r="O261" s="396"/>
      <c r="P261" s="396"/>
      <c r="Q261" s="396"/>
      <c r="R261" s="396"/>
      <c r="S261" s="79"/>
      <c r="T261" s="79"/>
      <c r="U261" s="79"/>
      <c r="V261" s="79"/>
      <c r="W261" s="79"/>
      <c r="X261" s="79"/>
      <c r="Y261" s="79"/>
      <c r="Z261" s="79"/>
    </row>
    <row r="262" spans="1:26" ht="15.75" customHeight="1" x14ac:dyDescent="0.25">
      <c r="A262" s="79"/>
      <c r="B262" s="79"/>
      <c r="C262" s="400"/>
      <c r="D262" s="400"/>
      <c r="E262" s="400"/>
      <c r="F262" s="400"/>
      <c r="G262" s="79"/>
      <c r="H262" s="79"/>
      <c r="I262" s="79"/>
      <c r="J262" s="396"/>
      <c r="K262" s="399"/>
      <c r="L262" s="396"/>
      <c r="M262" s="396"/>
      <c r="N262" s="396"/>
      <c r="O262" s="396"/>
      <c r="P262" s="396"/>
      <c r="Q262" s="396"/>
      <c r="R262" s="396"/>
      <c r="S262" s="79"/>
      <c r="T262" s="79"/>
      <c r="U262" s="79"/>
      <c r="V262" s="79"/>
      <c r="W262" s="79"/>
      <c r="X262" s="79"/>
      <c r="Y262" s="79"/>
      <c r="Z262" s="79"/>
    </row>
    <row r="263" spans="1:26" ht="15.75" customHeight="1" x14ac:dyDescent="0.25">
      <c r="A263" s="79"/>
      <c r="B263" s="79"/>
      <c r="C263" s="400"/>
      <c r="D263" s="400"/>
      <c r="E263" s="400"/>
      <c r="F263" s="400"/>
      <c r="G263" s="79"/>
      <c r="H263" s="79"/>
      <c r="I263" s="79"/>
      <c r="J263" s="396"/>
      <c r="K263" s="399"/>
      <c r="L263" s="396"/>
      <c r="M263" s="396"/>
      <c r="N263" s="396"/>
      <c r="O263" s="396"/>
      <c r="P263" s="396"/>
      <c r="Q263" s="396"/>
      <c r="R263" s="396"/>
      <c r="S263" s="79"/>
      <c r="T263" s="79"/>
      <c r="U263" s="79"/>
      <c r="V263" s="79"/>
      <c r="W263" s="79"/>
      <c r="X263" s="79"/>
      <c r="Y263" s="79"/>
      <c r="Z263" s="79"/>
    </row>
    <row r="264" spans="1:26" ht="15.75" customHeight="1" x14ac:dyDescent="0.25">
      <c r="A264" s="79"/>
      <c r="B264" s="79"/>
      <c r="C264" s="400"/>
      <c r="D264" s="400"/>
      <c r="E264" s="400"/>
      <c r="F264" s="400"/>
      <c r="G264" s="79"/>
      <c r="H264" s="79"/>
      <c r="I264" s="79"/>
      <c r="J264" s="396"/>
      <c r="K264" s="399"/>
      <c r="L264" s="396"/>
      <c r="M264" s="396"/>
      <c r="N264" s="396"/>
      <c r="O264" s="396"/>
      <c r="P264" s="396"/>
      <c r="Q264" s="396"/>
      <c r="R264" s="396"/>
      <c r="S264" s="79"/>
      <c r="T264" s="79"/>
      <c r="U264" s="79"/>
      <c r="V264" s="79"/>
      <c r="W264" s="79"/>
      <c r="X264" s="79"/>
      <c r="Y264" s="79"/>
      <c r="Z264" s="79"/>
    </row>
    <row r="265" spans="1:26" ht="15.75" customHeight="1" x14ac:dyDescent="0.25">
      <c r="A265" s="79"/>
      <c r="B265" s="79"/>
      <c r="C265" s="400"/>
      <c r="D265" s="400"/>
      <c r="E265" s="400"/>
      <c r="F265" s="400"/>
      <c r="G265" s="79"/>
      <c r="H265" s="79"/>
      <c r="I265" s="79"/>
      <c r="J265" s="396"/>
      <c r="K265" s="399"/>
      <c r="L265" s="396"/>
      <c r="M265" s="396"/>
      <c r="N265" s="396"/>
      <c r="O265" s="396"/>
      <c r="P265" s="396"/>
      <c r="Q265" s="396"/>
      <c r="R265" s="396"/>
      <c r="S265" s="79"/>
      <c r="T265" s="79"/>
      <c r="U265" s="79"/>
      <c r="V265" s="79"/>
      <c r="W265" s="79"/>
      <c r="X265" s="79"/>
      <c r="Y265" s="79"/>
      <c r="Z265" s="79"/>
    </row>
    <row r="266" spans="1:26" ht="15.75" customHeight="1" x14ac:dyDescent="0.25">
      <c r="A266" s="79"/>
      <c r="B266" s="79"/>
      <c r="C266" s="400"/>
      <c r="D266" s="400"/>
      <c r="E266" s="400"/>
      <c r="F266" s="400"/>
      <c r="G266" s="79"/>
      <c r="H266" s="79"/>
      <c r="I266" s="79"/>
      <c r="J266" s="396"/>
      <c r="K266" s="399"/>
      <c r="L266" s="396"/>
      <c r="M266" s="396"/>
      <c r="N266" s="396"/>
      <c r="O266" s="396"/>
      <c r="P266" s="396"/>
      <c r="Q266" s="396"/>
      <c r="R266" s="396"/>
      <c r="S266" s="79"/>
      <c r="T266" s="79"/>
      <c r="U266" s="79"/>
      <c r="V266" s="79"/>
      <c r="W266" s="79"/>
      <c r="X266" s="79"/>
      <c r="Y266" s="79"/>
      <c r="Z266" s="79"/>
    </row>
    <row r="267" spans="1:26" ht="15.75" customHeight="1" x14ac:dyDescent="0.25">
      <c r="A267" s="79"/>
      <c r="B267" s="79"/>
      <c r="C267" s="400"/>
      <c r="D267" s="400"/>
      <c r="E267" s="400"/>
      <c r="F267" s="400"/>
      <c r="G267" s="79"/>
      <c r="H267" s="79"/>
      <c r="I267" s="79"/>
      <c r="J267" s="396"/>
      <c r="K267" s="399"/>
      <c r="L267" s="396"/>
      <c r="M267" s="396"/>
      <c r="N267" s="396"/>
      <c r="O267" s="396"/>
      <c r="P267" s="396"/>
      <c r="Q267" s="396"/>
      <c r="R267" s="396"/>
      <c r="S267" s="79"/>
      <c r="T267" s="79"/>
      <c r="U267" s="79"/>
      <c r="V267" s="79"/>
      <c r="W267" s="79"/>
      <c r="X267" s="79"/>
      <c r="Y267" s="79"/>
      <c r="Z267" s="79"/>
    </row>
    <row r="268" spans="1:26" ht="15.75" customHeight="1" x14ac:dyDescent="0.25">
      <c r="A268" s="79"/>
      <c r="B268" s="79"/>
      <c r="C268" s="400"/>
      <c r="D268" s="400"/>
      <c r="E268" s="400"/>
      <c r="F268" s="400"/>
      <c r="G268" s="79"/>
      <c r="H268" s="79"/>
      <c r="I268" s="79"/>
      <c r="J268" s="396"/>
      <c r="K268" s="399"/>
      <c r="L268" s="396"/>
      <c r="M268" s="396"/>
      <c r="N268" s="396"/>
      <c r="O268" s="396"/>
      <c r="P268" s="396"/>
      <c r="Q268" s="396"/>
      <c r="R268" s="396"/>
      <c r="S268" s="79"/>
      <c r="T268" s="79"/>
      <c r="U268" s="79"/>
      <c r="V268" s="79"/>
      <c r="W268" s="79"/>
      <c r="X268" s="79"/>
      <c r="Y268" s="79"/>
      <c r="Z268" s="79"/>
    </row>
    <row r="269" spans="1:26" ht="15.75" customHeight="1" x14ac:dyDescent="0.25">
      <c r="A269" s="79"/>
      <c r="B269" s="79"/>
      <c r="C269" s="400"/>
      <c r="D269" s="400"/>
      <c r="E269" s="400"/>
      <c r="F269" s="400"/>
      <c r="G269" s="79"/>
      <c r="H269" s="79"/>
      <c r="I269" s="79"/>
      <c r="J269" s="396"/>
      <c r="K269" s="399"/>
      <c r="L269" s="396"/>
      <c r="M269" s="396"/>
      <c r="N269" s="396"/>
      <c r="O269" s="396"/>
      <c r="P269" s="396"/>
      <c r="Q269" s="396"/>
      <c r="R269" s="396"/>
      <c r="S269" s="79"/>
      <c r="T269" s="79"/>
      <c r="U269" s="79"/>
      <c r="V269" s="79"/>
      <c r="W269" s="79"/>
      <c r="X269" s="79"/>
      <c r="Y269" s="79"/>
      <c r="Z269" s="79"/>
    </row>
    <row r="270" spans="1:26" ht="15.75" customHeight="1" x14ac:dyDescent="0.25">
      <c r="A270" s="79"/>
      <c r="B270" s="79"/>
      <c r="C270" s="400"/>
      <c r="D270" s="400"/>
      <c r="E270" s="400"/>
      <c r="F270" s="400"/>
      <c r="G270" s="79"/>
      <c r="H270" s="79"/>
      <c r="I270" s="79"/>
      <c r="J270" s="396"/>
      <c r="K270" s="399"/>
      <c r="L270" s="396"/>
      <c r="M270" s="396"/>
      <c r="N270" s="396"/>
      <c r="O270" s="396"/>
      <c r="P270" s="396"/>
      <c r="Q270" s="396"/>
      <c r="R270" s="396"/>
      <c r="S270" s="79"/>
      <c r="T270" s="79"/>
      <c r="U270" s="79"/>
      <c r="V270" s="79"/>
      <c r="W270" s="79"/>
      <c r="X270" s="79"/>
      <c r="Y270" s="79"/>
      <c r="Z270" s="79"/>
    </row>
    <row r="271" spans="1:26" ht="15.75" customHeight="1" x14ac:dyDescent="0.25">
      <c r="A271" s="79"/>
      <c r="B271" s="79"/>
      <c r="C271" s="400"/>
      <c r="D271" s="400"/>
      <c r="E271" s="400"/>
      <c r="F271" s="400"/>
      <c r="G271" s="79"/>
      <c r="H271" s="79"/>
      <c r="I271" s="79"/>
      <c r="J271" s="396"/>
      <c r="K271" s="399"/>
      <c r="L271" s="396"/>
      <c r="M271" s="396"/>
      <c r="N271" s="396"/>
      <c r="O271" s="396"/>
      <c r="P271" s="396"/>
      <c r="Q271" s="396"/>
      <c r="R271" s="396"/>
      <c r="S271" s="79"/>
      <c r="T271" s="79"/>
      <c r="U271" s="79"/>
      <c r="V271" s="79"/>
      <c r="W271" s="79"/>
      <c r="X271" s="79"/>
      <c r="Y271" s="79"/>
      <c r="Z271" s="79"/>
    </row>
    <row r="272" spans="1:26" ht="15.75" customHeight="1" x14ac:dyDescent="0.25">
      <c r="A272" s="79"/>
      <c r="B272" s="79"/>
      <c r="C272" s="400"/>
      <c r="D272" s="400"/>
      <c r="E272" s="400"/>
      <c r="F272" s="400"/>
      <c r="G272" s="79"/>
      <c r="H272" s="79"/>
      <c r="I272" s="79"/>
      <c r="J272" s="396"/>
      <c r="K272" s="399"/>
      <c r="L272" s="396"/>
      <c r="M272" s="396"/>
      <c r="N272" s="396"/>
      <c r="O272" s="396"/>
      <c r="P272" s="396"/>
      <c r="Q272" s="396"/>
      <c r="R272" s="396"/>
      <c r="S272" s="79"/>
      <c r="T272" s="79"/>
      <c r="U272" s="79"/>
      <c r="V272" s="79"/>
      <c r="W272" s="79"/>
      <c r="X272" s="79"/>
      <c r="Y272" s="79"/>
      <c r="Z272" s="79"/>
    </row>
    <row r="273" spans="1:26" ht="15.75" customHeight="1" x14ac:dyDescent="0.25">
      <c r="A273" s="79"/>
      <c r="B273" s="79"/>
      <c r="C273" s="400"/>
      <c r="D273" s="400"/>
      <c r="E273" s="400"/>
      <c r="F273" s="400"/>
      <c r="G273" s="79"/>
      <c r="H273" s="79"/>
      <c r="I273" s="79"/>
      <c r="J273" s="396"/>
      <c r="K273" s="399"/>
      <c r="L273" s="396"/>
      <c r="M273" s="396"/>
      <c r="N273" s="396"/>
      <c r="O273" s="396"/>
      <c r="P273" s="396"/>
      <c r="Q273" s="396"/>
      <c r="R273" s="396"/>
      <c r="S273" s="79"/>
      <c r="T273" s="79"/>
      <c r="U273" s="79"/>
      <c r="V273" s="79"/>
      <c r="W273" s="79"/>
      <c r="X273" s="79"/>
      <c r="Y273" s="79"/>
      <c r="Z273" s="79"/>
    </row>
    <row r="274" spans="1:26" ht="15.75" customHeight="1" x14ac:dyDescent="0.25">
      <c r="A274" s="79"/>
      <c r="B274" s="79"/>
      <c r="C274" s="400"/>
      <c r="D274" s="400"/>
      <c r="E274" s="400"/>
      <c r="F274" s="400"/>
      <c r="G274" s="79"/>
      <c r="H274" s="79"/>
      <c r="I274" s="79"/>
      <c r="J274" s="396"/>
      <c r="K274" s="399"/>
      <c r="L274" s="396"/>
      <c r="M274" s="396"/>
      <c r="N274" s="396"/>
      <c r="O274" s="396"/>
      <c r="P274" s="396"/>
      <c r="Q274" s="396"/>
      <c r="R274" s="396"/>
      <c r="S274" s="79"/>
      <c r="T274" s="79"/>
      <c r="U274" s="79"/>
      <c r="V274" s="79"/>
      <c r="W274" s="79"/>
      <c r="X274" s="79"/>
      <c r="Y274" s="79"/>
      <c r="Z274" s="79"/>
    </row>
    <row r="275" spans="1:26" ht="15.75" customHeight="1" x14ac:dyDescent="0.25">
      <c r="A275" s="79"/>
      <c r="B275" s="79"/>
      <c r="C275" s="400"/>
      <c r="D275" s="400"/>
      <c r="E275" s="400"/>
      <c r="F275" s="400"/>
      <c r="G275" s="79"/>
      <c r="H275" s="79"/>
      <c r="I275" s="79"/>
      <c r="J275" s="396"/>
      <c r="K275" s="399"/>
      <c r="L275" s="396"/>
      <c r="M275" s="396"/>
      <c r="N275" s="396"/>
      <c r="O275" s="396"/>
      <c r="P275" s="396"/>
      <c r="Q275" s="396"/>
      <c r="R275" s="396"/>
      <c r="S275" s="79"/>
      <c r="T275" s="79"/>
      <c r="U275" s="79"/>
      <c r="V275" s="79"/>
      <c r="W275" s="79"/>
      <c r="X275" s="79"/>
      <c r="Y275" s="79"/>
      <c r="Z275" s="79"/>
    </row>
    <row r="276" spans="1:26" ht="15.75" customHeight="1" x14ac:dyDescent="0.25">
      <c r="A276" s="79"/>
      <c r="B276" s="79"/>
      <c r="C276" s="400"/>
      <c r="D276" s="400"/>
      <c r="E276" s="400"/>
      <c r="F276" s="400"/>
      <c r="G276" s="79"/>
      <c r="H276" s="79"/>
      <c r="I276" s="79"/>
      <c r="J276" s="396"/>
      <c r="K276" s="399"/>
      <c r="L276" s="396"/>
      <c r="M276" s="396"/>
      <c r="N276" s="396"/>
      <c r="O276" s="396"/>
      <c r="P276" s="396"/>
      <c r="Q276" s="396"/>
      <c r="R276" s="396"/>
      <c r="S276" s="79"/>
      <c r="T276" s="79"/>
      <c r="U276" s="79"/>
      <c r="V276" s="79"/>
      <c r="W276" s="79"/>
      <c r="X276" s="79"/>
      <c r="Y276" s="79"/>
      <c r="Z276" s="79"/>
    </row>
    <row r="277" spans="1:26" ht="15.75" customHeight="1" x14ac:dyDescent="0.25">
      <c r="A277" s="79"/>
      <c r="B277" s="79"/>
      <c r="C277" s="400"/>
      <c r="D277" s="400"/>
      <c r="E277" s="400"/>
      <c r="F277" s="400"/>
      <c r="G277" s="79"/>
      <c r="H277" s="79"/>
      <c r="I277" s="79"/>
      <c r="J277" s="396"/>
      <c r="K277" s="399"/>
      <c r="L277" s="396"/>
      <c r="M277" s="396"/>
      <c r="N277" s="396"/>
      <c r="O277" s="396"/>
      <c r="P277" s="396"/>
      <c r="Q277" s="396"/>
      <c r="R277" s="396"/>
      <c r="S277" s="79"/>
      <c r="T277" s="79"/>
      <c r="U277" s="79"/>
      <c r="V277" s="79"/>
      <c r="W277" s="79"/>
      <c r="X277" s="79"/>
      <c r="Y277" s="79"/>
      <c r="Z277" s="79"/>
    </row>
    <row r="278" spans="1:26" ht="15.75" customHeight="1" x14ac:dyDescent="0.25">
      <c r="A278" s="79"/>
      <c r="B278" s="79"/>
      <c r="C278" s="400"/>
      <c r="D278" s="400"/>
      <c r="E278" s="400"/>
      <c r="F278" s="400"/>
      <c r="G278" s="79"/>
      <c r="H278" s="79"/>
      <c r="I278" s="79"/>
      <c r="J278" s="396"/>
      <c r="K278" s="399"/>
      <c r="L278" s="396"/>
      <c r="M278" s="396"/>
      <c r="N278" s="396"/>
      <c r="O278" s="396"/>
      <c r="P278" s="396"/>
      <c r="Q278" s="396"/>
      <c r="R278" s="396"/>
      <c r="S278" s="79"/>
      <c r="T278" s="79"/>
      <c r="U278" s="79"/>
      <c r="V278" s="79"/>
      <c r="W278" s="79"/>
      <c r="X278" s="79"/>
      <c r="Y278" s="79"/>
      <c r="Z278" s="79"/>
    </row>
    <row r="279" spans="1:26" ht="15.75" customHeight="1" x14ac:dyDescent="0.25">
      <c r="A279" s="79"/>
      <c r="B279" s="79"/>
      <c r="C279" s="400"/>
      <c r="D279" s="400"/>
      <c r="E279" s="400"/>
      <c r="F279" s="400"/>
      <c r="G279" s="79"/>
      <c r="H279" s="79"/>
      <c r="I279" s="79"/>
      <c r="J279" s="396"/>
      <c r="K279" s="399"/>
      <c r="L279" s="396"/>
      <c r="M279" s="396"/>
      <c r="N279" s="396"/>
      <c r="O279" s="396"/>
      <c r="P279" s="396"/>
      <c r="Q279" s="396"/>
      <c r="R279" s="396"/>
      <c r="S279" s="79"/>
      <c r="T279" s="79"/>
      <c r="U279" s="79"/>
      <c r="V279" s="79"/>
      <c r="W279" s="79"/>
      <c r="X279" s="79"/>
      <c r="Y279" s="79"/>
      <c r="Z279" s="79"/>
    </row>
    <row r="280" spans="1:26" ht="15.75" customHeight="1" x14ac:dyDescent="0.25">
      <c r="A280" s="79"/>
      <c r="B280" s="79"/>
      <c r="C280" s="400"/>
      <c r="D280" s="400"/>
      <c r="E280" s="400"/>
      <c r="F280" s="400"/>
      <c r="G280" s="79"/>
      <c r="H280" s="79"/>
      <c r="I280" s="79"/>
      <c r="J280" s="396"/>
      <c r="K280" s="399"/>
      <c r="L280" s="396"/>
      <c r="M280" s="396"/>
      <c r="N280" s="396"/>
      <c r="O280" s="396"/>
      <c r="P280" s="396"/>
      <c r="Q280" s="396"/>
      <c r="R280" s="396"/>
      <c r="S280" s="79"/>
      <c r="T280" s="79"/>
      <c r="U280" s="79"/>
      <c r="V280" s="79"/>
      <c r="W280" s="79"/>
      <c r="X280" s="79"/>
      <c r="Y280" s="79"/>
      <c r="Z280" s="79"/>
    </row>
    <row r="281" spans="1:26" ht="15.75" customHeight="1" x14ac:dyDescent="0.25">
      <c r="A281" s="79"/>
      <c r="B281" s="79"/>
      <c r="C281" s="400"/>
      <c r="D281" s="400"/>
      <c r="E281" s="400"/>
      <c r="F281" s="400"/>
      <c r="G281" s="79"/>
      <c r="H281" s="79"/>
      <c r="I281" s="79"/>
      <c r="J281" s="396"/>
      <c r="K281" s="399"/>
      <c r="L281" s="396"/>
      <c r="M281" s="396"/>
      <c r="N281" s="396"/>
      <c r="O281" s="396"/>
      <c r="P281" s="396"/>
      <c r="Q281" s="396"/>
      <c r="R281" s="396"/>
      <c r="S281" s="79"/>
      <c r="T281" s="79"/>
      <c r="U281" s="79"/>
      <c r="V281" s="79"/>
      <c r="W281" s="79"/>
      <c r="X281" s="79"/>
      <c r="Y281" s="79"/>
      <c r="Z281" s="79"/>
    </row>
    <row r="282" spans="1:26" ht="15.75" customHeight="1" x14ac:dyDescent="0.25">
      <c r="A282" s="79"/>
      <c r="B282" s="79"/>
      <c r="C282" s="400"/>
      <c r="D282" s="400"/>
      <c r="E282" s="400"/>
      <c r="F282" s="400"/>
      <c r="G282" s="79"/>
      <c r="H282" s="79"/>
      <c r="I282" s="79"/>
      <c r="J282" s="396"/>
      <c r="K282" s="399"/>
      <c r="L282" s="396"/>
      <c r="M282" s="396"/>
      <c r="N282" s="396"/>
      <c r="O282" s="396"/>
      <c r="P282" s="396"/>
      <c r="Q282" s="396"/>
      <c r="R282" s="396"/>
      <c r="S282" s="79"/>
      <c r="T282" s="79"/>
      <c r="U282" s="79"/>
      <c r="V282" s="79"/>
      <c r="W282" s="79"/>
      <c r="X282" s="79"/>
      <c r="Y282" s="79"/>
      <c r="Z282" s="79"/>
    </row>
    <row r="283" spans="1:26" ht="15.75" customHeight="1" x14ac:dyDescent="0.25">
      <c r="A283" s="79"/>
      <c r="B283" s="79"/>
      <c r="C283" s="400"/>
      <c r="D283" s="400"/>
      <c r="E283" s="400"/>
      <c r="F283" s="400"/>
      <c r="G283" s="79"/>
      <c r="H283" s="79"/>
      <c r="I283" s="79"/>
      <c r="J283" s="396"/>
      <c r="K283" s="399"/>
      <c r="L283" s="396"/>
      <c r="M283" s="396"/>
      <c r="N283" s="396"/>
      <c r="O283" s="396"/>
      <c r="P283" s="396"/>
      <c r="Q283" s="396"/>
      <c r="R283" s="396"/>
      <c r="S283" s="79"/>
      <c r="T283" s="79"/>
      <c r="U283" s="79"/>
      <c r="V283" s="79"/>
      <c r="W283" s="79"/>
      <c r="X283" s="79"/>
      <c r="Y283" s="79"/>
      <c r="Z283" s="79"/>
    </row>
    <row r="284" spans="1:26" ht="15.75" customHeight="1" x14ac:dyDescent="0.25">
      <c r="A284" s="79"/>
      <c r="B284" s="79"/>
      <c r="C284" s="400"/>
      <c r="D284" s="400"/>
      <c r="E284" s="400"/>
      <c r="F284" s="400"/>
      <c r="G284" s="79"/>
      <c r="H284" s="79"/>
      <c r="I284" s="79"/>
      <c r="J284" s="396"/>
      <c r="K284" s="399"/>
      <c r="L284" s="396"/>
      <c r="M284" s="396"/>
      <c r="N284" s="396"/>
      <c r="O284" s="396"/>
      <c r="P284" s="396"/>
      <c r="Q284" s="396"/>
      <c r="R284" s="396"/>
      <c r="S284" s="79"/>
      <c r="T284" s="79"/>
      <c r="U284" s="79"/>
      <c r="V284" s="79"/>
      <c r="W284" s="79"/>
      <c r="X284" s="79"/>
      <c r="Y284" s="79"/>
      <c r="Z284" s="79"/>
    </row>
    <row r="285" spans="1:26" ht="15.75" customHeight="1" x14ac:dyDescent="0.25">
      <c r="A285" s="79"/>
      <c r="B285" s="79"/>
      <c r="C285" s="400"/>
      <c r="D285" s="400"/>
      <c r="E285" s="400"/>
      <c r="F285" s="400"/>
      <c r="G285" s="79"/>
      <c r="H285" s="79"/>
      <c r="I285" s="79"/>
      <c r="J285" s="396"/>
      <c r="K285" s="399"/>
      <c r="L285" s="396"/>
      <c r="M285" s="396"/>
      <c r="N285" s="396"/>
      <c r="O285" s="396"/>
      <c r="P285" s="396"/>
      <c r="Q285" s="396"/>
      <c r="R285" s="396"/>
      <c r="S285" s="79"/>
      <c r="T285" s="79"/>
      <c r="U285" s="79"/>
      <c r="V285" s="79"/>
      <c r="W285" s="79"/>
      <c r="X285" s="79"/>
      <c r="Y285" s="79"/>
      <c r="Z285" s="79"/>
    </row>
    <row r="286" spans="1:26" ht="15.75" customHeight="1" x14ac:dyDescent="0.25">
      <c r="A286" s="79"/>
      <c r="B286" s="79"/>
      <c r="C286" s="400"/>
      <c r="D286" s="400"/>
      <c r="E286" s="400"/>
      <c r="F286" s="400"/>
      <c r="G286" s="79"/>
      <c r="H286" s="79"/>
      <c r="I286" s="79"/>
      <c r="J286" s="396"/>
      <c r="K286" s="399"/>
      <c r="L286" s="396"/>
      <c r="M286" s="396"/>
      <c r="N286" s="396"/>
      <c r="O286" s="396"/>
      <c r="P286" s="396"/>
      <c r="Q286" s="396"/>
      <c r="R286" s="396"/>
      <c r="S286" s="79"/>
      <c r="T286" s="79"/>
      <c r="U286" s="79"/>
      <c r="V286" s="79"/>
      <c r="W286" s="79"/>
      <c r="X286" s="79"/>
      <c r="Y286" s="79"/>
      <c r="Z286" s="79"/>
    </row>
    <row r="287" spans="1:26" ht="15.75" customHeight="1" x14ac:dyDescent="0.25">
      <c r="A287" s="79"/>
      <c r="B287" s="79"/>
      <c r="C287" s="400"/>
      <c r="D287" s="400"/>
      <c r="E287" s="400"/>
      <c r="F287" s="400"/>
      <c r="G287" s="79"/>
      <c r="H287" s="79"/>
      <c r="I287" s="79"/>
      <c r="J287" s="396"/>
      <c r="K287" s="399"/>
      <c r="L287" s="396"/>
      <c r="M287" s="396"/>
      <c r="N287" s="396"/>
      <c r="O287" s="396"/>
      <c r="P287" s="396"/>
      <c r="Q287" s="396"/>
      <c r="R287" s="396"/>
      <c r="S287" s="79"/>
      <c r="T287" s="79"/>
      <c r="U287" s="79"/>
      <c r="V287" s="79"/>
      <c r="W287" s="79"/>
      <c r="X287" s="79"/>
      <c r="Y287" s="79"/>
      <c r="Z287" s="79"/>
    </row>
    <row r="288" spans="1:26" ht="15.75" customHeight="1" x14ac:dyDescent="0.25">
      <c r="A288" s="79"/>
      <c r="B288" s="79"/>
      <c r="C288" s="400"/>
      <c r="D288" s="400"/>
      <c r="E288" s="400"/>
      <c r="F288" s="400"/>
      <c r="G288" s="79"/>
      <c r="H288" s="79"/>
      <c r="I288" s="79"/>
      <c r="J288" s="396"/>
      <c r="K288" s="399"/>
      <c r="L288" s="396"/>
      <c r="M288" s="396"/>
      <c r="N288" s="396"/>
      <c r="O288" s="396"/>
      <c r="P288" s="396"/>
      <c r="Q288" s="396"/>
      <c r="R288" s="396"/>
      <c r="S288" s="79"/>
      <c r="T288" s="79"/>
      <c r="U288" s="79"/>
      <c r="V288" s="79"/>
      <c r="W288" s="79"/>
      <c r="X288" s="79"/>
      <c r="Y288" s="79"/>
      <c r="Z288" s="79"/>
    </row>
    <row r="289" spans="1:26" ht="15.75" customHeight="1" x14ac:dyDescent="0.25">
      <c r="A289" s="79"/>
      <c r="B289" s="79"/>
      <c r="C289" s="400"/>
      <c r="D289" s="400"/>
      <c r="E289" s="400"/>
      <c r="F289" s="400"/>
      <c r="G289" s="79"/>
      <c r="H289" s="79"/>
      <c r="I289" s="79"/>
      <c r="J289" s="396"/>
      <c r="K289" s="399"/>
      <c r="L289" s="396"/>
      <c r="M289" s="396"/>
      <c r="N289" s="396"/>
      <c r="O289" s="396"/>
      <c r="P289" s="396"/>
      <c r="Q289" s="396"/>
      <c r="R289" s="396"/>
      <c r="S289" s="79"/>
      <c r="T289" s="79"/>
      <c r="U289" s="79"/>
      <c r="V289" s="79"/>
      <c r="W289" s="79"/>
      <c r="X289" s="79"/>
      <c r="Y289" s="79"/>
      <c r="Z289" s="79"/>
    </row>
    <row r="290" spans="1:26" ht="15.75" customHeight="1" x14ac:dyDescent="0.25">
      <c r="A290" s="79"/>
      <c r="B290" s="79"/>
      <c r="C290" s="400"/>
      <c r="D290" s="400"/>
      <c r="E290" s="400"/>
      <c r="F290" s="400"/>
      <c r="G290" s="79"/>
      <c r="H290" s="79"/>
      <c r="I290" s="79"/>
      <c r="J290" s="396"/>
      <c r="K290" s="399"/>
      <c r="L290" s="396"/>
      <c r="M290" s="396"/>
      <c r="N290" s="396"/>
      <c r="O290" s="396"/>
      <c r="P290" s="396"/>
      <c r="Q290" s="396"/>
      <c r="R290" s="396"/>
      <c r="S290" s="79"/>
      <c r="T290" s="79"/>
      <c r="U290" s="79"/>
      <c r="V290" s="79"/>
      <c r="W290" s="79"/>
      <c r="X290" s="79"/>
      <c r="Y290" s="79"/>
      <c r="Z290" s="79"/>
    </row>
    <row r="291" spans="1:26" ht="15.75" customHeight="1" x14ac:dyDescent="0.25">
      <c r="A291" s="79"/>
      <c r="B291" s="79"/>
      <c r="C291" s="400"/>
      <c r="D291" s="400"/>
      <c r="E291" s="400"/>
      <c r="F291" s="400"/>
      <c r="G291" s="79"/>
      <c r="H291" s="79"/>
      <c r="I291" s="79"/>
      <c r="J291" s="396"/>
      <c r="K291" s="399"/>
      <c r="L291" s="396"/>
      <c r="M291" s="396"/>
      <c r="N291" s="396"/>
      <c r="O291" s="396"/>
      <c r="P291" s="396"/>
      <c r="Q291" s="396"/>
      <c r="R291" s="396"/>
      <c r="S291" s="79"/>
      <c r="T291" s="79"/>
      <c r="U291" s="79"/>
      <c r="V291" s="79"/>
      <c r="W291" s="79"/>
      <c r="X291" s="79"/>
      <c r="Y291" s="79"/>
      <c r="Z291" s="79"/>
    </row>
    <row r="292" spans="1:26" ht="15.75" customHeight="1" x14ac:dyDescent="0.25">
      <c r="A292" s="79"/>
      <c r="B292" s="79"/>
      <c r="C292" s="400"/>
      <c r="D292" s="400"/>
      <c r="E292" s="400"/>
      <c r="F292" s="400"/>
      <c r="G292" s="79"/>
      <c r="H292" s="79"/>
      <c r="I292" s="79"/>
      <c r="J292" s="396"/>
      <c r="K292" s="399"/>
      <c r="L292" s="396"/>
      <c r="M292" s="396"/>
      <c r="N292" s="396"/>
      <c r="O292" s="396"/>
      <c r="P292" s="396"/>
      <c r="Q292" s="396"/>
      <c r="R292" s="396"/>
      <c r="S292" s="79"/>
      <c r="T292" s="79"/>
      <c r="U292" s="79"/>
      <c r="V292" s="79"/>
      <c r="W292" s="79"/>
      <c r="X292" s="79"/>
      <c r="Y292" s="79"/>
      <c r="Z292" s="79"/>
    </row>
    <row r="293" spans="1:26" ht="15.75" customHeight="1" x14ac:dyDescent="0.25">
      <c r="A293" s="79"/>
      <c r="B293" s="79"/>
      <c r="C293" s="400"/>
      <c r="D293" s="400"/>
      <c r="E293" s="400"/>
      <c r="F293" s="400"/>
      <c r="G293" s="79"/>
      <c r="H293" s="79"/>
      <c r="I293" s="79"/>
      <c r="J293" s="396"/>
      <c r="K293" s="399"/>
      <c r="L293" s="396"/>
      <c r="M293" s="396"/>
      <c r="N293" s="396"/>
      <c r="O293" s="396"/>
      <c r="P293" s="396"/>
      <c r="Q293" s="396"/>
      <c r="R293" s="396"/>
      <c r="S293" s="79"/>
      <c r="T293" s="79"/>
      <c r="U293" s="79"/>
      <c r="V293" s="79"/>
      <c r="W293" s="79"/>
      <c r="X293" s="79"/>
      <c r="Y293" s="79"/>
      <c r="Z293" s="79"/>
    </row>
    <row r="294" spans="1:26" ht="15.75" customHeight="1" x14ac:dyDescent="0.25">
      <c r="A294" s="79"/>
      <c r="B294" s="79"/>
      <c r="C294" s="400"/>
      <c r="D294" s="400"/>
      <c r="E294" s="400"/>
      <c r="F294" s="400"/>
      <c r="G294" s="79"/>
      <c r="H294" s="79"/>
      <c r="I294" s="79"/>
      <c r="J294" s="396"/>
      <c r="K294" s="399"/>
      <c r="L294" s="396"/>
      <c r="M294" s="396"/>
      <c r="N294" s="396"/>
      <c r="O294" s="396"/>
      <c r="P294" s="396"/>
      <c r="Q294" s="396"/>
      <c r="R294" s="396"/>
      <c r="S294" s="79"/>
      <c r="T294" s="79"/>
      <c r="U294" s="79"/>
      <c r="V294" s="79"/>
      <c r="W294" s="79"/>
      <c r="X294" s="79"/>
      <c r="Y294" s="79"/>
      <c r="Z294" s="79"/>
    </row>
    <row r="295" spans="1:26" ht="15.75" customHeight="1" x14ac:dyDescent="0.25">
      <c r="A295" s="79"/>
      <c r="B295" s="79"/>
      <c r="C295" s="400"/>
      <c r="D295" s="400"/>
      <c r="E295" s="400"/>
      <c r="F295" s="400"/>
      <c r="G295" s="79"/>
      <c r="H295" s="79"/>
      <c r="I295" s="79"/>
      <c r="J295" s="396"/>
      <c r="K295" s="399"/>
      <c r="L295" s="396"/>
      <c r="M295" s="396"/>
      <c r="N295" s="396"/>
      <c r="O295" s="396"/>
      <c r="P295" s="396"/>
      <c r="Q295" s="396"/>
      <c r="R295" s="396"/>
      <c r="S295" s="79"/>
      <c r="T295" s="79"/>
      <c r="U295" s="79"/>
      <c r="V295" s="79"/>
      <c r="W295" s="79"/>
      <c r="X295" s="79"/>
      <c r="Y295" s="79"/>
      <c r="Z295" s="79"/>
    </row>
    <row r="296" spans="1:26" ht="15.75" customHeight="1" x14ac:dyDescent="0.25">
      <c r="A296" s="79"/>
      <c r="B296" s="79"/>
      <c r="C296" s="400"/>
      <c r="D296" s="400"/>
      <c r="E296" s="400"/>
      <c r="F296" s="400"/>
      <c r="G296" s="79"/>
      <c r="H296" s="79"/>
      <c r="I296" s="79"/>
      <c r="J296" s="396"/>
      <c r="K296" s="399"/>
      <c r="L296" s="396"/>
      <c r="M296" s="396"/>
      <c r="N296" s="396"/>
      <c r="O296" s="396"/>
      <c r="P296" s="396"/>
      <c r="Q296" s="396"/>
      <c r="R296" s="396"/>
      <c r="S296" s="79"/>
      <c r="T296" s="79"/>
      <c r="U296" s="79"/>
      <c r="V296" s="79"/>
      <c r="W296" s="79"/>
      <c r="X296" s="79"/>
      <c r="Y296" s="79"/>
      <c r="Z296" s="79"/>
    </row>
    <row r="297" spans="1:26" ht="15.75" customHeight="1" x14ac:dyDescent="0.25">
      <c r="A297" s="79"/>
      <c r="B297" s="79"/>
      <c r="C297" s="400"/>
      <c r="D297" s="400"/>
      <c r="E297" s="400"/>
      <c r="F297" s="400"/>
      <c r="G297" s="79"/>
      <c r="H297" s="79"/>
      <c r="I297" s="79"/>
      <c r="J297" s="396"/>
      <c r="K297" s="399"/>
      <c r="L297" s="396"/>
      <c r="M297" s="396"/>
      <c r="N297" s="396"/>
      <c r="O297" s="396"/>
      <c r="P297" s="396"/>
      <c r="Q297" s="396"/>
      <c r="R297" s="396"/>
      <c r="S297" s="79"/>
      <c r="T297" s="79"/>
      <c r="U297" s="79"/>
      <c r="V297" s="79"/>
      <c r="W297" s="79"/>
      <c r="X297" s="79"/>
      <c r="Y297" s="79"/>
      <c r="Z297" s="79"/>
    </row>
    <row r="298" spans="1:26" ht="15.75" customHeight="1" x14ac:dyDescent="0.25">
      <c r="A298" s="79"/>
      <c r="B298" s="79"/>
      <c r="C298" s="400"/>
      <c r="D298" s="400"/>
      <c r="E298" s="400"/>
      <c r="F298" s="400"/>
      <c r="G298" s="79"/>
      <c r="H298" s="79"/>
      <c r="I298" s="79"/>
      <c r="J298" s="396"/>
      <c r="K298" s="399"/>
      <c r="L298" s="396"/>
      <c r="M298" s="396"/>
      <c r="N298" s="396"/>
      <c r="O298" s="396"/>
      <c r="P298" s="396"/>
      <c r="Q298" s="396"/>
      <c r="R298" s="396"/>
      <c r="S298" s="79"/>
      <c r="T298" s="79"/>
      <c r="U298" s="79"/>
      <c r="V298" s="79"/>
      <c r="W298" s="79"/>
      <c r="X298" s="79"/>
      <c r="Y298" s="79"/>
      <c r="Z298" s="79"/>
    </row>
    <row r="299" spans="1:26" ht="15.75" customHeight="1" x14ac:dyDescent="0.25">
      <c r="A299" s="79"/>
      <c r="B299" s="79"/>
      <c r="C299" s="400"/>
      <c r="D299" s="400"/>
      <c r="E299" s="400"/>
      <c r="F299" s="400"/>
      <c r="G299" s="79"/>
      <c r="H299" s="79"/>
      <c r="I299" s="79"/>
      <c r="J299" s="396"/>
      <c r="K299" s="399"/>
      <c r="L299" s="396"/>
      <c r="M299" s="396"/>
      <c r="N299" s="396"/>
      <c r="O299" s="396"/>
      <c r="P299" s="396"/>
      <c r="Q299" s="396"/>
      <c r="R299" s="396"/>
      <c r="S299" s="79"/>
      <c r="T299" s="79"/>
      <c r="U299" s="79"/>
      <c r="V299" s="79"/>
      <c r="W299" s="79"/>
      <c r="X299" s="79"/>
      <c r="Y299" s="79"/>
      <c r="Z299" s="79"/>
    </row>
    <row r="300" spans="1:26" ht="15.75" customHeight="1" x14ac:dyDescent="0.25">
      <c r="A300" s="79"/>
      <c r="B300" s="79"/>
      <c r="C300" s="400"/>
      <c r="D300" s="400"/>
      <c r="E300" s="400"/>
      <c r="F300" s="400"/>
      <c r="G300" s="79"/>
      <c r="H300" s="79"/>
      <c r="I300" s="79"/>
      <c r="J300" s="396"/>
      <c r="K300" s="399"/>
      <c r="L300" s="396"/>
      <c r="M300" s="396"/>
      <c r="N300" s="396"/>
      <c r="O300" s="396"/>
      <c r="P300" s="396"/>
      <c r="Q300" s="396"/>
      <c r="R300" s="396"/>
      <c r="S300" s="79"/>
      <c r="T300" s="79"/>
      <c r="U300" s="79"/>
      <c r="V300" s="79"/>
      <c r="W300" s="79"/>
      <c r="X300" s="79"/>
      <c r="Y300" s="79"/>
      <c r="Z300" s="79"/>
    </row>
    <row r="301" spans="1:26" ht="15.75" customHeight="1" x14ac:dyDescent="0.25">
      <c r="A301" s="79"/>
      <c r="B301" s="79"/>
      <c r="C301" s="400"/>
      <c r="D301" s="400"/>
      <c r="E301" s="400"/>
      <c r="F301" s="400"/>
      <c r="G301" s="79"/>
      <c r="H301" s="79"/>
      <c r="I301" s="79"/>
      <c r="J301" s="396"/>
      <c r="K301" s="399"/>
      <c r="L301" s="396"/>
      <c r="M301" s="396"/>
      <c r="N301" s="396"/>
      <c r="O301" s="396"/>
      <c r="P301" s="396"/>
      <c r="Q301" s="396"/>
      <c r="R301" s="396"/>
      <c r="S301" s="79"/>
      <c r="T301" s="79"/>
      <c r="U301" s="79"/>
      <c r="V301" s="79"/>
      <c r="W301" s="79"/>
      <c r="X301" s="79"/>
      <c r="Y301" s="79"/>
      <c r="Z301" s="79"/>
    </row>
    <row r="302" spans="1:26" ht="15.75" customHeight="1" x14ac:dyDescent="0.25">
      <c r="A302" s="79"/>
      <c r="B302" s="79"/>
      <c r="C302" s="400"/>
      <c r="D302" s="400"/>
      <c r="E302" s="400"/>
      <c r="F302" s="400"/>
      <c r="G302" s="79"/>
      <c r="H302" s="79"/>
      <c r="I302" s="79"/>
      <c r="J302" s="396"/>
      <c r="K302" s="399"/>
      <c r="L302" s="396"/>
      <c r="M302" s="396"/>
      <c r="N302" s="396"/>
      <c r="O302" s="396"/>
      <c r="P302" s="396"/>
      <c r="Q302" s="396"/>
      <c r="R302" s="396"/>
      <c r="S302" s="79"/>
      <c r="T302" s="79"/>
      <c r="U302" s="79"/>
      <c r="V302" s="79"/>
      <c r="W302" s="79"/>
      <c r="X302" s="79"/>
      <c r="Y302" s="79"/>
      <c r="Z302" s="79"/>
    </row>
    <row r="303" spans="1:26" ht="15.75" customHeight="1" x14ac:dyDescent="0.25">
      <c r="A303" s="79"/>
      <c r="B303" s="79"/>
      <c r="C303" s="400"/>
      <c r="D303" s="400"/>
      <c r="E303" s="400"/>
      <c r="F303" s="400"/>
      <c r="G303" s="79"/>
      <c r="H303" s="79"/>
      <c r="I303" s="79"/>
      <c r="J303" s="396"/>
      <c r="K303" s="399"/>
      <c r="L303" s="396"/>
      <c r="M303" s="396"/>
      <c r="N303" s="396"/>
      <c r="O303" s="396"/>
      <c r="P303" s="396"/>
      <c r="Q303" s="396"/>
      <c r="R303" s="396"/>
      <c r="S303" s="79"/>
      <c r="T303" s="79"/>
      <c r="U303" s="79"/>
      <c r="V303" s="79"/>
      <c r="W303" s="79"/>
      <c r="X303" s="79"/>
      <c r="Y303" s="79"/>
      <c r="Z303" s="79"/>
    </row>
    <row r="304" spans="1:26" ht="15.75" customHeight="1" x14ac:dyDescent="0.25">
      <c r="A304" s="79"/>
      <c r="B304" s="79"/>
      <c r="C304" s="400"/>
      <c r="D304" s="400"/>
      <c r="E304" s="400"/>
      <c r="F304" s="400"/>
      <c r="G304" s="79"/>
      <c r="H304" s="79"/>
      <c r="I304" s="79"/>
      <c r="J304" s="396"/>
      <c r="K304" s="399"/>
      <c r="L304" s="396"/>
      <c r="M304" s="396"/>
      <c r="N304" s="396"/>
      <c r="O304" s="396"/>
      <c r="P304" s="396"/>
      <c r="Q304" s="396"/>
      <c r="R304" s="396"/>
      <c r="S304" s="79"/>
      <c r="T304" s="79"/>
      <c r="U304" s="79"/>
      <c r="V304" s="79"/>
      <c r="W304" s="79"/>
      <c r="X304" s="79"/>
      <c r="Y304" s="79"/>
      <c r="Z304" s="79"/>
    </row>
    <row r="305" spans="1:26" ht="15.75" customHeight="1" x14ac:dyDescent="0.25">
      <c r="A305" s="79"/>
      <c r="B305" s="79"/>
      <c r="C305" s="400"/>
      <c r="D305" s="400"/>
      <c r="E305" s="400"/>
      <c r="F305" s="400"/>
      <c r="G305" s="79"/>
      <c r="H305" s="79"/>
      <c r="I305" s="79"/>
      <c r="J305" s="396"/>
      <c r="K305" s="399"/>
      <c r="L305" s="396"/>
      <c r="M305" s="396"/>
      <c r="N305" s="396"/>
      <c r="O305" s="396"/>
      <c r="P305" s="396"/>
      <c r="Q305" s="396"/>
      <c r="R305" s="396"/>
      <c r="S305" s="79"/>
      <c r="T305" s="79"/>
      <c r="U305" s="79"/>
      <c r="V305" s="79"/>
      <c r="W305" s="79"/>
      <c r="X305" s="79"/>
      <c r="Y305" s="79"/>
      <c r="Z305" s="79"/>
    </row>
    <row r="306" spans="1:26" ht="15.75" customHeight="1" x14ac:dyDescent="0.25">
      <c r="A306" s="79"/>
      <c r="B306" s="79"/>
      <c r="C306" s="400"/>
      <c r="D306" s="400"/>
      <c r="E306" s="400"/>
      <c r="F306" s="400"/>
      <c r="G306" s="79"/>
      <c r="H306" s="79"/>
      <c r="I306" s="79"/>
      <c r="J306" s="396"/>
      <c r="K306" s="399"/>
      <c r="L306" s="396"/>
      <c r="M306" s="396"/>
      <c r="N306" s="396"/>
      <c r="O306" s="396"/>
      <c r="P306" s="396"/>
      <c r="Q306" s="396"/>
      <c r="R306" s="396"/>
      <c r="S306" s="79"/>
      <c r="T306" s="79"/>
      <c r="U306" s="79"/>
      <c r="V306" s="79"/>
      <c r="W306" s="79"/>
      <c r="X306" s="79"/>
      <c r="Y306" s="79"/>
      <c r="Z306" s="79"/>
    </row>
    <row r="307" spans="1:26" ht="15.75" customHeight="1" x14ac:dyDescent="0.25">
      <c r="A307" s="79"/>
      <c r="B307" s="79"/>
      <c r="C307" s="400"/>
      <c r="D307" s="400"/>
      <c r="E307" s="400"/>
      <c r="F307" s="400"/>
      <c r="G307" s="79"/>
      <c r="H307" s="79"/>
      <c r="I307" s="79"/>
      <c r="J307" s="396"/>
      <c r="K307" s="399"/>
      <c r="L307" s="396"/>
      <c r="M307" s="396"/>
      <c r="N307" s="396"/>
      <c r="O307" s="396"/>
      <c r="P307" s="396"/>
      <c r="Q307" s="396"/>
      <c r="R307" s="396"/>
      <c r="S307" s="79"/>
      <c r="T307" s="79"/>
      <c r="U307" s="79"/>
      <c r="V307" s="79"/>
      <c r="W307" s="79"/>
      <c r="X307" s="79"/>
      <c r="Y307" s="79"/>
      <c r="Z307" s="79"/>
    </row>
    <row r="308" spans="1:26" ht="15.75" customHeight="1" x14ac:dyDescent="0.25">
      <c r="A308" s="79"/>
      <c r="B308" s="79"/>
      <c r="C308" s="400"/>
      <c r="D308" s="400"/>
      <c r="E308" s="400"/>
      <c r="F308" s="400"/>
      <c r="G308" s="79"/>
      <c r="H308" s="79"/>
      <c r="I308" s="79"/>
      <c r="J308" s="396"/>
      <c r="K308" s="399"/>
      <c r="L308" s="396"/>
      <c r="M308" s="396"/>
      <c r="N308" s="396"/>
      <c r="O308" s="396"/>
      <c r="P308" s="396"/>
      <c r="Q308" s="396"/>
      <c r="R308" s="396"/>
      <c r="S308" s="79"/>
      <c r="T308" s="79"/>
      <c r="U308" s="79"/>
      <c r="V308" s="79"/>
      <c r="W308" s="79"/>
      <c r="X308" s="79"/>
      <c r="Y308" s="79"/>
      <c r="Z308" s="79"/>
    </row>
    <row r="309" spans="1:26" ht="15.75" customHeight="1" x14ac:dyDescent="0.25">
      <c r="A309" s="79"/>
      <c r="B309" s="79"/>
      <c r="C309" s="400"/>
      <c r="D309" s="400"/>
      <c r="E309" s="400"/>
      <c r="F309" s="400"/>
      <c r="G309" s="79"/>
      <c r="H309" s="79"/>
      <c r="I309" s="79"/>
      <c r="J309" s="396"/>
      <c r="K309" s="399"/>
      <c r="L309" s="396"/>
      <c r="M309" s="396"/>
      <c r="N309" s="396"/>
      <c r="O309" s="396"/>
      <c r="P309" s="396"/>
      <c r="Q309" s="396"/>
      <c r="R309" s="396"/>
      <c r="S309" s="79"/>
      <c r="T309" s="79"/>
      <c r="U309" s="79"/>
      <c r="V309" s="79"/>
      <c r="W309" s="79"/>
      <c r="X309" s="79"/>
      <c r="Y309" s="79"/>
      <c r="Z309" s="79"/>
    </row>
    <row r="310" spans="1:26" ht="15.75" customHeight="1" x14ac:dyDescent="0.25">
      <c r="A310" s="79"/>
      <c r="B310" s="79"/>
      <c r="C310" s="400"/>
      <c r="D310" s="400"/>
      <c r="E310" s="400"/>
      <c r="F310" s="400"/>
      <c r="G310" s="79"/>
      <c r="H310" s="79"/>
      <c r="I310" s="79"/>
      <c r="J310" s="396"/>
      <c r="K310" s="399"/>
      <c r="L310" s="396"/>
      <c r="M310" s="396"/>
      <c r="N310" s="396"/>
      <c r="O310" s="396"/>
      <c r="P310" s="396"/>
      <c r="Q310" s="396"/>
      <c r="R310" s="396"/>
      <c r="S310" s="79"/>
      <c r="T310" s="79"/>
      <c r="U310" s="79"/>
      <c r="V310" s="79"/>
      <c r="W310" s="79"/>
      <c r="X310" s="79"/>
      <c r="Y310" s="79"/>
      <c r="Z310" s="79"/>
    </row>
    <row r="311" spans="1:26" ht="15.75" customHeight="1" x14ac:dyDescent="0.25">
      <c r="A311" s="79"/>
      <c r="B311" s="79"/>
      <c r="C311" s="400"/>
      <c r="D311" s="400"/>
      <c r="E311" s="400"/>
      <c r="F311" s="400"/>
      <c r="G311" s="79"/>
      <c r="H311" s="79"/>
      <c r="I311" s="79"/>
      <c r="J311" s="396"/>
      <c r="K311" s="399"/>
      <c r="L311" s="396"/>
      <c r="M311" s="396"/>
      <c r="N311" s="396"/>
      <c r="O311" s="396"/>
      <c r="P311" s="396"/>
      <c r="Q311" s="396"/>
      <c r="R311" s="396"/>
      <c r="S311" s="79"/>
      <c r="T311" s="79"/>
      <c r="U311" s="79"/>
      <c r="V311" s="79"/>
      <c r="W311" s="79"/>
      <c r="X311" s="79"/>
      <c r="Y311" s="79"/>
      <c r="Z311" s="79"/>
    </row>
    <row r="312" spans="1:26" ht="15.75" customHeight="1" x14ac:dyDescent="0.25">
      <c r="A312" s="79"/>
      <c r="B312" s="79"/>
      <c r="C312" s="400"/>
      <c r="D312" s="400"/>
      <c r="E312" s="400"/>
      <c r="F312" s="400"/>
      <c r="G312" s="79"/>
      <c r="H312" s="79"/>
      <c r="I312" s="79"/>
      <c r="J312" s="396"/>
      <c r="K312" s="399"/>
      <c r="L312" s="396"/>
      <c r="M312" s="396"/>
      <c r="N312" s="396"/>
      <c r="O312" s="396"/>
      <c r="P312" s="396"/>
      <c r="Q312" s="396"/>
      <c r="R312" s="396"/>
      <c r="S312" s="79"/>
      <c r="T312" s="79"/>
      <c r="U312" s="79"/>
      <c r="V312" s="79"/>
      <c r="W312" s="79"/>
      <c r="X312" s="79"/>
      <c r="Y312" s="79"/>
      <c r="Z312" s="79"/>
    </row>
    <row r="313" spans="1:26" ht="15.75" customHeight="1" x14ac:dyDescent="0.25">
      <c r="A313" s="79"/>
      <c r="B313" s="79"/>
      <c r="C313" s="400"/>
      <c r="D313" s="400"/>
      <c r="E313" s="400"/>
      <c r="F313" s="400"/>
      <c r="G313" s="79"/>
      <c r="H313" s="79"/>
      <c r="I313" s="79"/>
      <c r="J313" s="396"/>
      <c r="K313" s="399"/>
      <c r="L313" s="396"/>
      <c r="M313" s="396"/>
      <c r="N313" s="396"/>
      <c r="O313" s="396"/>
      <c r="P313" s="396"/>
      <c r="Q313" s="396"/>
      <c r="R313" s="396"/>
      <c r="S313" s="79"/>
      <c r="T313" s="79"/>
      <c r="U313" s="79"/>
      <c r="V313" s="79"/>
      <c r="W313" s="79"/>
      <c r="X313" s="79"/>
      <c r="Y313" s="79"/>
      <c r="Z313" s="79"/>
    </row>
    <row r="314" spans="1:26" ht="15.75" customHeight="1" x14ac:dyDescent="0.25">
      <c r="A314" s="79"/>
      <c r="B314" s="79"/>
      <c r="C314" s="400"/>
      <c r="D314" s="400"/>
      <c r="E314" s="400"/>
      <c r="F314" s="400"/>
      <c r="G314" s="79"/>
      <c r="H314" s="79"/>
      <c r="I314" s="79"/>
      <c r="J314" s="396"/>
      <c r="K314" s="399"/>
      <c r="L314" s="396"/>
      <c r="M314" s="396"/>
      <c r="N314" s="396"/>
      <c r="O314" s="396"/>
      <c r="P314" s="396"/>
      <c r="Q314" s="396"/>
      <c r="R314" s="396"/>
      <c r="S314" s="79"/>
      <c r="T314" s="79"/>
      <c r="U314" s="79"/>
      <c r="V314" s="79"/>
      <c r="W314" s="79"/>
      <c r="X314" s="79"/>
      <c r="Y314" s="79"/>
      <c r="Z314" s="79"/>
    </row>
    <row r="315" spans="1:26" ht="15.75" customHeight="1" x14ac:dyDescent="0.25">
      <c r="A315" s="79"/>
      <c r="B315" s="79"/>
      <c r="C315" s="400"/>
      <c r="D315" s="400"/>
      <c r="E315" s="400"/>
      <c r="F315" s="400"/>
      <c r="G315" s="79"/>
      <c r="H315" s="79"/>
      <c r="I315" s="79"/>
      <c r="J315" s="396"/>
      <c r="K315" s="399"/>
      <c r="L315" s="396"/>
      <c r="M315" s="396"/>
      <c r="N315" s="396"/>
      <c r="O315" s="396"/>
      <c r="P315" s="396"/>
      <c r="Q315" s="396"/>
      <c r="R315" s="396"/>
      <c r="S315" s="79"/>
      <c r="T315" s="79"/>
      <c r="U315" s="79"/>
      <c r="V315" s="79"/>
      <c r="W315" s="79"/>
      <c r="X315" s="79"/>
      <c r="Y315" s="79"/>
      <c r="Z315" s="79"/>
    </row>
    <row r="316" spans="1:26" ht="15.75" customHeight="1" x14ac:dyDescent="0.25">
      <c r="A316" s="79"/>
      <c r="B316" s="79"/>
      <c r="C316" s="400"/>
      <c r="D316" s="400"/>
      <c r="E316" s="400"/>
      <c r="F316" s="400"/>
      <c r="G316" s="79"/>
      <c r="H316" s="79"/>
      <c r="I316" s="79"/>
      <c r="J316" s="396"/>
      <c r="K316" s="399"/>
      <c r="L316" s="396"/>
      <c r="M316" s="396"/>
      <c r="N316" s="396"/>
      <c r="O316" s="396"/>
      <c r="P316" s="396"/>
      <c r="Q316" s="396"/>
      <c r="R316" s="396"/>
      <c r="S316" s="79"/>
      <c r="T316" s="79"/>
      <c r="U316" s="79"/>
      <c r="V316" s="79"/>
      <c r="W316" s="79"/>
      <c r="X316" s="79"/>
      <c r="Y316" s="79"/>
      <c r="Z316" s="79"/>
    </row>
    <row r="317" spans="1:26" ht="15.75" customHeight="1" x14ac:dyDescent="0.25">
      <c r="A317" s="79"/>
      <c r="B317" s="79"/>
      <c r="C317" s="400"/>
      <c r="D317" s="400"/>
      <c r="E317" s="400"/>
      <c r="F317" s="400"/>
      <c r="G317" s="79"/>
      <c r="H317" s="79"/>
      <c r="I317" s="79"/>
      <c r="J317" s="396"/>
      <c r="K317" s="399"/>
      <c r="L317" s="396"/>
      <c r="M317" s="396"/>
      <c r="N317" s="396"/>
      <c r="O317" s="396"/>
      <c r="P317" s="396"/>
      <c r="Q317" s="396"/>
      <c r="R317" s="396"/>
      <c r="S317" s="79"/>
      <c r="T317" s="79"/>
      <c r="U317" s="79"/>
      <c r="V317" s="79"/>
      <c r="W317" s="79"/>
      <c r="X317" s="79"/>
      <c r="Y317" s="79"/>
      <c r="Z317" s="79"/>
    </row>
    <row r="318" spans="1:26" ht="15.75" customHeight="1" x14ac:dyDescent="0.25">
      <c r="A318" s="79"/>
      <c r="B318" s="79"/>
      <c r="C318" s="400"/>
      <c r="D318" s="400"/>
      <c r="E318" s="400"/>
      <c r="F318" s="400"/>
      <c r="G318" s="79"/>
      <c r="H318" s="79"/>
      <c r="I318" s="79"/>
      <c r="J318" s="396"/>
      <c r="K318" s="399"/>
      <c r="L318" s="396"/>
      <c r="M318" s="396"/>
      <c r="N318" s="396"/>
      <c r="O318" s="396"/>
      <c r="P318" s="396"/>
      <c r="Q318" s="396"/>
      <c r="R318" s="396"/>
      <c r="S318" s="79"/>
      <c r="T318" s="79"/>
      <c r="U318" s="79"/>
      <c r="V318" s="79"/>
      <c r="W318" s="79"/>
      <c r="X318" s="79"/>
      <c r="Y318" s="79"/>
      <c r="Z318" s="79"/>
    </row>
    <row r="319" spans="1:26" ht="15.75" customHeight="1" x14ac:dyDescent="0.25">
      <c r="A319" s="79"/>
      <c r="B319" s="79"/>
      <c r="C319" s="400"/>
      <c r="D319" s="400"/>
      <c r="E319" s="400"/>
      <c r="F319" s="400"/>
      <c r="G319" s="79"/>
      <c r="H319" s="79"/>
      <c r="I319" s="79"/>
      <c r="J319" s="396"/>
      <c r="K319" s="399"/>
      <c r="L319" s="396"/>
      <c r="M319" s="396"/>
      <c r="N319" s="396"/>
      <c r="O319" s="396"/>
      <c r="P319" s="396"/>
      <c r="Q319" s="396"/>
      <c r="R319" s="396"/>
      <c r="S319" s="79"/>
      <c r="T319" s="79"/>
      <c r="U319" s="79"/>
      <c r="V319" s="79"/>
      <c r="W319" s="79"/>
      <c r="X319" s="79"/>
      <c r="Y319" s="79"/>
      <c r="Z319" s="79"/>
    </row>
    <row r="320" spans="1:26" ht="15.75" customHeight="1" x14ac:dyDescent="0.25">
      <c r="A320" s="79"/>
      <c r="B320" s="79"/>
      <c r="C320" s="400"/>
      <c r="D320" s="400"/>
      <c r="E320" s="400"/>
      <c r="F320" s="400"/>
      <c r="G320" s="79"/>
      <c r="H320" s="79"/>
      <c r="I320" s="79"/>
      <c r="J320" s="396"/>
      <c r="K320" s="399"/>
      <c r="L320" s="396"/>
      <c r="M320" s="396"/>
      <c r="N320" s="396"/>
      <c r="O320" s="396"/>
      <c r="P320" s="396"/>
      <c r="Q320" s="396"/>
      <c r="R320" s="396"/>
      <c r="S320" s="79"/>
      <c r="T320" s="79"/>
      <c r="U320" s="79"/>
      <c r="V320" s="79"/>
      <c r="W320" s="79"/>
      <c r="X320" s="79"/>
      <c r="Y320" s="79"/>
      <c r="Z320" s="79"/>
    </row>
    <row r="321" spans="1:26" ht="15.75" customHeight="1" x14ac:dyDescent="0.25">
      <c r="A321" s="79"/>
      <c r="B321" s="79"/>
      <c r="C321" s="400"/>
      <c r="D321" s="400"/>
      <c r="E321" s="400"/>
      <c r="F321" s="400"/>
      <c r="G321" s="79"/>
      <c r="H321" s="79"/>
      <c r="I321" s="79"/>
      <c r="J321" s="396"/>
      <c r="K321" s="399"/>
      <c r="L321" s="396"/>
      <c r="M321" s="396"/>
      <c r="N321" s="396"/>
      <c r="O321" s="396"/>
      <c r="P321" s="396"/>
      <c r="Q321" s="396"/>
      <c r="R321" s="396"/>
      <c r="S321" s="79"/>
      <c r="T321" s="79"/>
      <c r="U321" s="79"/>
      <c r="V321" s="79"/>
      <c r="W321" s="79"/>
      <c r="X321" s="79"/>
      <c r="Y321" s="79"/>
      <c r="Z321" s="79"/>
    </row>
    <row r="322" spans="1:26" ht="15.75" customHeight="1" x14ac:dyDescent="0.25">
      <c r="A322" s="79"/>
      <c r="B322" s="79"/>
      <c r="C322" s="400"/>
      <c r="D322" s="400"/>
      <c r="E322" s="400"/>
      <c r="F322" s="400"/>
      <c r="G322" s="79"/>
      <c r="H322" s="79"/>
      <c r="I322" s="79"/>
      <c r="J322" s="396"/>
      <c r="K322" s="399"/>
      <c r="L322" s="396"/>
      <c r="M322" s="396"/>
      <c r="N322" s="396"/>
      <c r="O322" s="396"/>
      <c r="P322" s="396"/>
      <c r="Q322" s="396"/>
      <c r="R322" s="396"/>
      <c r="S322" s="79"/>
      <c r="T322" s="79"/>
      <c r="U322" s="79"/>
      <c r="V322" s="79"/>
      <c r="W322" s="79"/>
      <c r="X322" s="79"/>
      <c r="Y322" s="79"/>
      <c r="Z322" s="79"/>
    </row>
    <row r="323" spans="1:26" ht="15.75" customHeight="1" x14ac:dyDescent="0.25">
      <c r="A323" s="79"/>
      <c r="B323" s="79"/>
      <c r="C323" s="400"/>
      <c r="D323" s="400"/>
      <c r="E323" s="400"/>
      <c r="F323" s="400"/>
      <c r="G323" s="79"/>
      <c r="H323" s="79"/>
      <c r="I323" s="79"/>
      <c r="J323" s="396"/>
      <c r="K323" s="399"/>
      <c r="L323" s="396"/>
      <c r="M323" s="396"/>
      <c r="N323" s="396"/>
      <c r="O323" s="396"/>
      <c r="P323" s="396"/>
      <c r="Q323" s="396"/>
      <c r="R323" s="396"/>
      <c r="S323" s="79"/>
      <c r="T323" s="79"/>
      <c r="U323" s="79"/>
      <c r="V323" s="79"/>
      <c r="W323" s="79"/>
      <c r="X323" s="79"/>
      <c r="Y323" s="79"/>
      <c r="Z323" s="79"/>
    </row>
    <row r="324" spans="1:26" ht="15.75" customHeight="1" x14ac:dyDescent="0.25">
      <c r="A324" s="79"/>
      <c r="B324" s="79"/>
      <c r="C324" s="400"/>
      <c r="D324" s="400"/>
      <c r="E324" s="400"/>
      <c r="F324" s="400"/>
      <c r="G324" s="79"/>
      <c r="H324" s="79"/>
      <c r="I324" s="79"/>
      <c r="J324" s="396"/>
      <c r="K324" s="399"/>
      <c r="L324" s="396"/>
      <c r="M324" s="396"/>
      <c r="N324" s="396"/>
      <c r="O324" s="396"/>
      <c r="P324" s="396"/>
      <c r="Q324" s="396"/>
      <c r="R324" s="396"/>
      <c r="S324" s="79"/>
      <c r="T324" s="79"/>
      <c r="U324" s="79"/>
      <c r="V324" s="79"/>
      <c r="W324" s="79"/>
      <c r="X324" s="79"/>
      <c r="Y324" s="79"/>
      <c r="Z324" s="79"/>
    </row>
    <row r="325" spans="1:26" ht="15.75" customHeight="1" x14ac:dyDescent="0.25">
      <c r="A325" s="79"/>
      <c r="B325" s="79"/>
      <c r="C325" s="400"/>
      <c r="D325" s="400"/>
      <c r="E325" s="400"/>
      <c r="F325" s="400"/>
      <c r="G325" s="79"/>
      <c r="H325" s="79"/>
      <c r="I325" s="79"/>
      <c r="J325" s="396"/>
      <c r="K325" s="399"/>
      <c r="L325" s="396"/>
      <c r="M325" s="396"/>
      <c r="N325" s="396"/>
      <c r="O325" s="396"/>
      <c r="P325" s="396"/>
      <c r="Q325" s="396"/>
      <c r="R325" s="396"/>
      <c r="S325" s="79"/>
      <c r="T325" s="79"/>
      <c r="U325" s="79"/>
      <c r="V325" s="79"/>
      <c r="W325" s="79"/>
      <c r="X325" s="79"/>
      <c r="Y325" s="79"/>
      <c r="Z325" s="79"/>
    </row>
    <row r="326" spans="1:26" ht="15.75" customHeight="1" x14ac:dyDescent="0.25">
      <c r="A326" s="79"/>
      <c r="B326" s="79"/>
      <c r="C326" s="400"/>
      <c r="D326" s="400"/>
      <c r="E326" s="400"/>
      <c r="F326" s="400"/>
      <c r="G326" s="79"/>
      <c r="H326" s="79"/>
      <c r="I326" s="79"/>
      <c r="J326" s="396"/>
      <c r="K326" s="399"/>
      <c r="L326" s="396"/>
      <c r="M326" s="396"/>
      <c r="N326" s="396"/>
      <c r="O326" s="396"/>
      <c r="P326" s="396"/>
      <c r="Q326" s="396"/>
      <c r="R326" s="396"/>
      <c r="S326" s="79"/>
      <c r="T326" s="79"/>
      <c r="U326" s="79"/>
      <c r="V326" s="79"/>
      <c r="W326" s="79"/>
      <c r="X326" s="79"/>
      <c r="Y326" s="79"/>
      <c r="Z326" s="79"/>
    </row>
    <row r="327" spans="1:26" ht="15.75" customHeight="1" x14ac:dyDescent="0.25">
      <c r="A327" s="79"/>
      <c r="B327" s="79"/>
      <c r="C327" s="400"/>
      <c r="D327" s="400"/>
      <c r="E327" s="400"/>
      <c r="F327" s="400"/>
      <c r="G327" s="79"/>
      <c r="H327" s="79"/>
      <c r="I327" s="79"/>
      <c r="J327" s="396"/>
      <c r="K327" s="399"/>
      <c r="L327" s="396"/>
      <c r="M327" s="396"/>
      <c r="N327" s="396"/>
      <c r="O327" s="396"/>
      <c r="P327" s="396"/>
      <c r="Q327" s="396"/>
      <c r="R327" s="396"/>
      <c r="S327" s="79"/>
      <c r="T327" s="79"/>
      <c r="U327" s="79"/>
      <c r="V327" s="79"/>
      <c r="W327" s="79"/>
      <c r="X327" s="79"/>
      <c r="Y327" s="79"/>
      <c r="Z327" s="79"/>
    </row>
    <row r="328" spans="1:26" ht="15.75" customHeight="1" x14ac:dyDescent="0.25">
      <c r="A328" s="79"/>
      <c r="B328" s="79"/>
      <c r="C328" s="400"/>
      <c r="D328" s="400"/>
      <c r="E328" s="400"/>
      <c r="F328" s="400"/>
      <c r="G328" s="79"/>
      <c r="H328" s="79"/>
      <c r="I328" s="79"/>
      <c r="J328" s="396"/>
      <c r="K328" s="399"/>
      <c r="L328" s="396"/>
      <c r="M328" s="396"/>
      <c r="N328" s="396"/>
      <c r="O328" s="396"/>
      <c r="P328" s="396"/>
      <c r="Q328" s="396"/>
      <c r="R328" s="396"/>
      <c r="S328" s="79"/>
      <c r="T328" s="79"/>
      <c r="U328" s="79"/>
      <c r="V328" s="79"/>
      <c r="W328" s="79"/>
      <c r="X328" s="79"/>
      <c r="Y328" s="79"/>
      <c r="Z328" s="79"/>
    </row>
    <row r="329" spans="1:26" ht="15.75" customHeight="1" x14ac:dyDescent="0.25">
      <c r="A329" s="79"/>
      <c r="B329" s="79"/>
      <c r="C329" s="400"/>
      <c r="D329" s="400"/>
      <c r="E329" s="400"/>
      <c r="F329" s="400"/>
      <c r="G329" s="79"/>
      <c r="H329" s="79"/>
      <c r="I329" s="79"/>
      <c r="J329" s="396"/>
      <c r="K329" s="399"/>
      <c r="L329" s="396"/>
      <c r="M329" s="396"/>
      <c r="N329" s="396"/>
      <c r="O329" s="396"/>
      <c r="P329" s="396"/>
      <c r="Q329" s="396"/>
      <c r="R329" s="396"/>
      <c r="S329" s="79"/>
      <c r="T329" s="79"/>
      <c r="U329" s="79"/>
      <c r="V329" s="79"/>
      <c r="W329" s="79"/>
      <c r="X329" s="79"/>
      <c r="Y329" s="79"/>
      <c r="Z329" s="79"/>
    </row>
    <row r="330" spans="1:26" ht="15.75" customHeight="1" x14ac:dyDescent="0.25">
      <c r="A330" s="79"/>
      <c r="B330" s="79"/>
      <c r="C330" s="400"/>
      <c r="D330" s="400"/>
      <c r="E330" s="400"/>
      <c r="F330" s="400"/>
      <c r="G330" s="79"/>
      <c r="H330" s="79"/>
      <c r="I330" s="79"/>
      <c r="J330" s="396"/>
      <c r="K330" s="399"/>
      <c r="L330" s="396"/>
      <c r="M330" s="396"/>
      <c r="N330" s="396"/>
      <c r="O330" s="396"/>
      <c r="P330" s="396"/>
      <c r="Q330" s="396"/>
      <c r="R330" s="396"/>
      <c r="S330" s="79"/>
      <c r="T330" s="79"/>
      <c r="U330" s="79"/>
      <c r="V330" s="79"/>
      <c r="W330" s="79"/>
      <c r="X330" s="79"/>
      <c r="Y330" s="79"/>
      <c r="Z330" s="79"/>
    </row>
    <row r="331" spans="1:26" ht="15.75" customHeight="1" x14ac:dyDescent="0.25">
      <c r="A331" s="79"/>
      <c r="B331" s="79"/>
      <c r="C331" s="400"/>
      <c r="D331" s="400"/>
      <c r="E331" s="400"/>
      <c r="F331" s="400"/>
      <c r="G331" s="79"/>
      <c r="H331" s="79"/>
      <c r="I331" s="79"/>
      <c r="J331" s="396"/>
      <c r="K331" s="399"/>
      <c r="L331" s="396"/>
      <c r="M331" s="396"/>
      <c r="N331" s="396"/>
      <c r="O331" s="396"/>
      <c r="P331" s="396"/>
      <c r="Q331" s="396"/>
      <c r="R331" s="396"/>
      <c r="S331" s="79"/>
      <c r="T331" s="79"/>
      <c r="U331" s="79"/>
      <c r="V331" s="79"/>
      <c r="W331" s="79"/>
      <c r="X331" s="79"/>
      <c r="Y331" s="79"/>
      <c r="Z331" s="79"/>
    </row>
    <row r="332" spans="1:26" ht="15.75" customHeight="1" x14ac:dyDescent="0.25">
      <c r="A332" s="79"/>
      <c r="B332" s="79"/>
      <c r="C332" s="400"/>
      <c r="D332" s="400"/>
      <c r="E332" s="400"/>
      <c r="F332" s="400"/>
      <c r="G332" s="79"/>
      <c r="H332" s="79"/>
      <c r="I332" s="79"/>
      <c r="J332" s="396"/>
      <c r="K332" s="399"/>
      <c r="L332" s="396"/>
      <c r="M332" s="396"/>
      <c r="N332" s="396"/>
      <c r="O332" s="396"/>
      <c r="P332" s="396"/>
      <c r="Q332" s="396"/>
      <c r="R332" s="396"/>
      <c r="S332" s="79"/>
      <c r="T332" s="79"/>
      <c r="U332" s="79"/>
      <c r="V332" s="79"/>
      <c r="W332" s="79"/>
      <c r="X332" s="79"/>
      <c r="Y332" s="79"/>
      <c r="Z332" s="79"/>
    </row>
    <row r="333" spans="1:26" ht="15.75" customHeight="1" x14ac:dyDescent="0.25">
      <c r="A333" s="79"/>
      <c r="B333" s="79"/>
      <c r="C333" s="400"/>
      <c r="D333" s="400"/>
      <c r="E333" s="400"/>
      <c r="F333" s="400"/>
      <c r="G333" s="79"/>
      <c r="H333" s="79"/>
      <c r="I333" s="79"/>
      <c r="J333" s="396"/>
      <c r="K333" s="399"/>
      <c r="L333" s="396"/>
      <c r="M333" s="396"/>
      <c r="N333" s="396"/>
      <c r="O333" s="396"/>
      <c r="P333" s="396"/>
      <c r="Q333" s="396"/>
      <c r="R333" s="396"/>
      <c r="S333" s="79"/>
      <c r="T333" s="79"/>
      <c r="U333" s="79"/>
      <c r="V333" s="79"/>
      <c r="W333" s="79"/>
      <c r="X333" s="79"/>
      <c r="Y333" s="79"/>
      <c r="Z333" s="79"/>
    </row>
    <row r="334" spans="1:26" ht="15.75" customHeight="1" x14ac:dyDescent="0.25">
      <c r="A334" s="79"/>
      <c r="B334" s="79"/>
      <c r="C334" s="400"/>
      <c r="D334" s="400"/>
      <c r="E334" s="400"/>
      <c r="F334" s="400"/>
      <c r="G334" s="79"/>
      <c r="H334" s="79"/>
      <c r="I334" s="79"/>
      <c r="J334" s="396"/>
      <c r="K334" s="399"/>
      <c r="L334" s="396"/>
      <c r="M334" s="396"/>
      <c r="N334" s="396"/>
      <c r="O334" s="396"/>
      <c r="P334" s="396"/>
      <c r="Q334" s="396"/>
      <c r="R334" s="396"/>
      <c r="S334" s="79"/>
      <c r="T334" s="79"/>
      <c r="U334" s="79"/>
      <c r="V334" s="79"/>
      <c r="W334" s="79"/>
      <c r="X334" s="79"/>
      <c r="Y334" s="79"/>
      <c r="Z334" s="79"/>
    </row>
    <row r="335" spans="1:26" ht="15.75" customHeight="1" x14ac:dyDescent="0.25">
      <c r="A335" s="79"/>
      <c r="B335" s="79"/>
      <c r="C335" s="400"/>
      <c r="D335" s="400"/>
      <c r="E335" s="400"/>
      <c r="F335" s="400"/>
      <c r="G335" s="79"/>
      <c r="H335" s="79"/>
      <c r="I335" s="79"/>
      <c r="J335" s="396"/>
      <c r="K335" s="399"/>
      <c r="L335" s="396"/>
      <c r="M335" s="396"/>
      <c r="N335" s="396"/>
      <c r="O335" s="396"/>
      <c r="P335" s="396"/>
      <c r="Q335" s="396"/>
      <c r="R335" s="396"/>
      <c r="S335" s="79"/>
      <c r="T335" s="79"/>
      <c r="U335" s="79"/>
      <c r="V335" s="79"/>
      <c r="W335" s="79"/>
      <c r="X335" s="79"/>
      <c r="Y335" s="79"/>
      <c r="Z335" s="79"/>
    </row>
    <row r="336" spans="1:26" ht="15.75" customHeight="1" x14ac:dyDescent="0.25">
      <c r="A336" s="79"/>
      <c r="B336" s="79"/>
      <c r="C336" s="400"/>
      <c r="D336" s="400"/>
      <c r="E336" s="400"/>
      <c r="F336" s="400"/>
      <c r="G336" s="79"/>
      <c r="H336" s="79"/>
      <c r="I336" s="79"/>
      <c r="J336" s="396"/>
      <c r="K336" s="399"/>
      <c r="L336" s="396"/>
      <c r="M336" s="396"/>
      <c r="N336" s="396"/>
      <c r="O336" s="396"/>
      <c r="P336" s="396"/>
      <c r="Q336" s="396"/>
      <c r="R336" s="396"/>
      <c r="S336" s="79"/>
      <c r="T336" s="79"/>
      <c r="U336" s="79"/>
      <c r="V336" s="79"/>
      <c r="W336" s="79"/>
      <c r="X336" s="79"/>
      <c r="Y336" s="79"/>
      <c r="Z336" s="79"/>
    </row>
    <row r="337" spans="1:26" ht="15.75" customHeight="1" x14ac:dyDescent="0.25">
      <c r="A337" s="79"/>
      <c r="B337" s="79"/>
      <c r="C337" s="400"/>
      <c r="D337" s="400"/>
      <c r="E337" s="400"/>
      <c r="F337" s="400"/>
      <c r="G337" s="79"/>
      <c r="H337" s="79"/>
      <c r="I337" s="79"/>
      <c r="J337" s="396"/>
      <c r="K337" s="399"/>
      <c r="L337" s="396"/>
      <c r="M337" s="396"/>
      <c r="N337" s="396"/>
      <c r="O337" s="396"/>
      <c r="P337" s="396"/>
      <c r="Q337" s="396"/>
      <c r="R337" s="396"/>
      <c r="S337" s="79"/>
      <c r="T337" s="79"/>
      <c r="U337" s="79"/>
      <c r="V337" s="79"/>
      <c r="W337" s="79"/>
      <c r="X337" s="79"/>
      <c r="Y337" s="79"/>
      <c r="Z337" s="79"/>
    </row>
    <row r="338" spans="1:26" ht="15.75" customHeight="1" x14ac:dyDescent="0.25">
      <c r="A338" s="79"/>
      <c r="B338" s="79"/>
      <c r="C338" s="400"/>
      <c r="D338" s="400"/>
      <c r="E338" s="400"/>
      <c r="F338" s="400"/>
      <c r="G338" s="79"/>
      <c r="H338" s="79"/>
      <c r="I338" s="79"/>
      <c r="J338" s="396"/>
      <c r="K338" s="399"/>
      <c r="L338" s="396"/>
      <c r="M338" s="396"/>
      <c r="N338" s="396"/>
      <c r="O338" s="396"/>
      <c r="P338" s="396"/>
      <c r="Q338" s="396"/>
      <c r="R338" s="396"/>
      <c r="S338" s="79"/>
      <c r="T338" s="79"/>
      <c r="U338" s="79"/>
      <c r="V338" s="79"/>
      <c r="W338" s="79"/>
      <c r="X338" s="79"/>
      <c r="Y338" s="79"/>
      <c r="Z338" s="79"/>
    </row>
    <row r="339" spans="1:26" ht="15.75" customHeight="1" x14ac:dyDescent="0.25">
      <c r="A339" s="79"/>
      <c r="B339" s="79"/>
      <c r="C339" s="400"/>
      <c r="D339" s="400"/>
      <c r="E339" s="400"/>
      <c r="F339" s="400"/>
      <c r="G339" s="79"/>
      <c r="H339" s="79"/>
      <c r="I339" s="79"/>
      <c r="J339" s="396"/>
      <c r="K339" s="399"/>
      <c r="L339" s="396"/>
      <c r="M339" s="396"/>
      <c r="N339" s="396"/>
      <c r="O339" s="396"/>
      <c r="P339" s="396"/>
      <c r="Q339" s="396"/>
      <c r="R339" s="396"/>
      <c r="S339" s="79"/>
      <c r="T339" s="79"/>
      <c r="U339" s="79"/>
      <c r="V339" s="79"/>
      <c r="W339" s="79"/>
      <c r="X339" s="79"/>
      <c r="Y339" s="79"/>
      <c r="Z339" s="79"/>
    </row>
    <row r="340" spans="1:26" ht="15.75" customHeight="1" x14ac:dyDescent="0.25">
      <c r="A340" s="79"/>
      <c r="B340" s="79"/>
      <c r="C340" s="400"/>
      <c r="D340" s="400"/>
      <c r="E340" s="400"/>
      <c r="F340" s="400"/>
      <c r="G340" s="79"/>
      <c r="H340" s="79"/>
      <c r="I340" s="79"/>
      <c r="J340" s="396"/>
      <c r="K340" s="399"/>
      <c r="L340" s="396"/>
      <c r="M340" s="396"/>
      <c r="N340" s="396"/>
      <c r="O340" s="396"/>
      <c r="P340" s="396"/>
      <c r="Q340" s="396"/>
      <c r="R340" s="396"/>
      <c r="S340" s="79"/>
      <c r="T340" s="79"/>
      <c r="U340" s="79"/>
      <c r="V340" s="79"/>
      <c r="W340" s="79"/>
      <c r="X340" s="79"/>
      <c r="Y340" s="79"/>
      <c r="Z340" s="79"/>
    </row>
    <row r="341" spans="1:26" ht="15.75" customHeight="1" x14ac:dyDescent="0.25">
      <c r="A341" s="79"/>
      <c r="B341" s="79"/>
      <c r="C341" s="400"/>
      <c r="D341" s="400"/>
      <c r="E341" s="400"/>
      <c r="F341" s="400"/>
      <c r="G341" s="79"/>
      <c r="H341" s="79"/>
      <c r="I341" s="79"/>
      <c r="J341" s="396"/>
      <c r="K341" s="399"/>
      <c r="L341" s="396"/>
      <c r="M341" s="396"/>
      <c r="N341" s="396"/>
      <c r="O341" s="396"/>
      <c r="P341" s="396"/>
      <c r="Q341" s="396"/>
      <c r="R341" s="396"/>
      <c r="S341" s="79"/>
      <c r="T341" s="79"/>
      <c r="U341" s="79"/>
      <c r="V341" s="79"/>
      <c r="W341" s="79"/>
      <c r="X341" s="79"/>
      <c r="Y341" s="79"/>
      <c r="Z341" s="79"/>
    </row>
    <row r="342" spans="1:26" ht="15.75" customHeight="1" x14ac:dyDescent="0.25">
      <c r="A342" s="79"/>
      <c r="B342" s="79"/>
      <c r="C342" s="400"/>
      <c r="D342" s="400"/>
      <c r="E342" s="400"/>
      <c r="F342" s="400"/>
      <c r="G342" s="79"/>
      <c r="H342" s="79"/>
      <c r="I342" s="79"/>
      <c r="J342" s="396"/>
      <c r="K342" s="399"/>
      <c r="L342" s="396"/>
      <c r="M342" s="396"/>
      <c r="N342" s="396"/>
      <c r="O342" s="396"/>
      <c r="P342" s="396"/>
      <c r="Q342" s="396"/>
      <c r="R342" s="396"/>
      <c r="S342" s="79"/>
      <c r="T342" s="79"/>
      <c r="U342" s="79"/>
      <c r="V342" s="79"/>
      <c r="W342" s="79"/>
      <c r="X342" s="79"/>
      <c r="Y342" s="79"/>
      <c r="Z342" s="79"/>
    </row>
    <row r="343" spans="1:26" ht="15.75" customHeight="1" x14ac:dyDescent="0.25">
      <c r="A343" s="79"/>
      <c r="B343" s="79"/>
      <c r="C343" s="400"/>
      <c r="D343" s="400"/>
      <c r="E343" s="400"/>
      <c r="F343" s="400"/>
      <c r="G343" s="79"/>
      <c r="H343" s="79"/>
      <c r="I343" s="79"/>
      <c r="J343" s="396"/>
      <c r="K343" s="399"/>
      <c r="L343" s="396"/>
      <c r="M343" s="396"/>
      <c r="N343" s="396"/>
      <c r="O343" s="396"/>
      <c r="P343" s="396"/>
      <c r="Q343" s="396"/>
      <c r="R343" s="396"/>
      <c r="S343" s="79"/>
      <c r="T343" s="79"/>
      <c r="U343" s="79"/>
      <c r="V343" s="79"/>
      <c r="W343" s="79"/>
      <c r="X343" s="79"/>
      <c r="Y343" s="79"/>
      <c r="Z343" s="79"/>
    </row>
    <row r="344" spans="1:26" ht="15.75" customHeight="1" x14ac:dyDescent="0.25">
      <c r="A344" s="79"/>
      <c r="B344" s="79"/>
      <c r="C344" s="400"/>
      <c r="D344" s="400"/>
      <c r="E344" s="400"/>
      <c r="F344" s="400"/>
      <c r="G344" s="79"/>
      <c r="H344" s="79"/>
      <c r="I344" s="79"/>
      <c r="J344" s="396"/>
      <c r="K344" s="399"/>
      <c r="L344" s="396"/>
      <c r="M344" s="396"/>
      <c r="N344" s="396"/>
      <c r="O344" s="396"/>
      <c r="P344" s="396"/>
      <c r="Q344" s="396"/>
      <c r="R344" s="396"/>
      <c r="S344" s="79"/>
      <c r="T344" s="79"/>
      <c r="U344" s="79"/>
      <c r="V344" s="79"/>
      <c r="W344" s="79"/>
      <c r="X344" s="79"/>
      <c r="Y344" s="79"/>
      <c r="Z344" s="79"/>
    </row>
    <row r="345" spans="1:26" ht="15.75" customHeight="1" x14ac:dyDescent="0.25">
      <c r="A345" s="79"/>
      <c r="B345" s="79"/>
      <c r="C345" s="400"/>
      <c r="D345" s="400"/>
      <c r="E345" s="400"/>
      <c r="F345" s="400"/>
      <c r="G345" s="79"/>
      <c r="H345" s="79"/>
      <c r="I345" s="79"/>
      <c r="J345" s="396"/>
      <c r="K345" s="399"/>
      <c r="L345" s="396"/>
      <c r="M345" s="396"/>
      <c r="N345" s="396"/>
      <c r="O345" s="396"/>
      <c r="P345" s="396"/>
      <c r="Q345" s="396"/>
      <c r="R345" s="396"/>
      <c r="S345" s="79"/>
      <c r="T345" s="79"/>
      <c r="U345" s="79"/>
      <c r="V345" s="79"/>
      <c r="W345" s="79"/>
      <c r="X345" s="79"/>
      <c r="Y345" s="79"/>
      <c r="Z345" s="79"/>
    </row>
    <row r="346" spans="1:26" ht="15.75" customHeight="1" x14ac:dyDescent="0.25">
      <c r="A346" s="79"/>
      <c r="B346" s="79"/>
      <c r="C346" s="400"/>
      <c r="D346" s="400"/>
      <c r="E346" s="400"/>
      <c r="F346" s="400"/>
      <c r="G346" s="79"/>
      <c r="H346" s="79"/>
      <c r="I346" s="79"/>
      <c r="J346" s="396"/>
      <c r="K346" s="399"/>
      <c r="L346" s="396"/>
      <c r="M346" s="396"/>
      <c r="N346" s="396"/>
      <c r="O346" s="396"/>
      <c r="P346" s="396"/>
      <c r="Q346" s="396"/>
      <c r="R346" s="396"/>
      <c r="S346" s="79"/>
      <c r="T346" s="79"/>
      <c r="U346" s="79"/>
      <c r="V346" s="79"/>
      <c r="W346" s="79"/>
      <c r="X346" s="79"/>
      <c r="Y346" s="79"/>
      <c r="Z346" s="79"/>
    </row>
    <row r="347" spans="1:26" ht="15.75" customHeight="1" x14ac:dyDescent="0.25">
      <c r="A347" s="79"/>
      <c r="B347" s="79"/>
      <c r="C347" s="400"/>
      <c r="D347" s="400"/>
      <c r="E347" s="400"/>
      <c r="F347" s="400"/>
      <c r="G347" s="79"/>
      <c r="H347" s="79"/>
      <c r="I347" s="79"/>
      <c r="J347" s="396"/>
      <c r="K347" s="399"/>
      <c r="L347" s="396"/>
      <c r="M347" s="396"/>
      <c r="N347" s="396"/>
      <c r="O347" s="396"/>
      <c r="P347" s="396"/>
      <c r="Q347" s="396"/>
      <c r="R347" s="396"/>
      <c r="S347" s="79"/>
      <c r="T347" s="79"/>
      <c r="U347" s="79"/>
      <c r="V347" s="79"/>
      <c r="W347" s="79"/>
      <c r="X347" s="79"/>
      <c r="Y347" s="79"/>
      <c r="Z347" s="79"/>
    </row>
    <row r="348" spans="1:26" ht="15.75" customHeight="1" x14ac:dyDescent="0.25">
      <c r="A348" s="79"/>
      <c r="B348" s="79"/>
      <c r="C348" s="400"/>
      <c r="D348" s="400"/>
      <c r="E348" s="400"/>
      <c r="F348" s="400"/>
      <c r="G348" s="79"/>
      <c r="H348" s="79"/>
      <c r="I348" s="79"/>
      <c r="J348" s="396"/>
      <c r="K348" s="399"/>
      <c r="L348" s="396"/>
      <c r="M348" s="396"/>
      <c r="N348" s="396"/>
      <c r="O348" s="396"/>
      <c r="P348" s="396"/>
      <c r="Q348" s="396"/>
      <c r="R348" s="396"/>
      <c r="S348" s="79"/>
      <c r="T348" s="79"/>
      <c r="U348" s="79"/>
      <c r="V348" s="79"/>
      <c r="W348" s="79"/>
      <c r="X348" s="79"/>
      <c r="Y348" s="79"/>
      <c r="Z348" s="79"/>
    </row>
    <row r="349" spans="1:26" ht="15.75" customHeight="1" x14ac:dyDescent="0.25">
      <c r="A349" s="79"/>
      <c r="B349" s="79"/>
      <c r="C349" s="400"/>
      <c r="D349" s="400"/>
      <c r="E349" s="400"/>
      <c r="F349" s="400"/>
      <c r="G349" s="79"/>
      <c r="H349" s="79"/>
      <c r="I349" s="79"/>
      <c r="J349" s="396"/>
      <c r="K349" s="399"/>
      <c r="L349" s="396"/>
      <c r="M349" s="396"/>
      <c r="N349" s="396"/>
      <c r="O349" s="396"/>
      <c r="P349" s="396"/>
      <c r="Q349" s="396"/>
      <c r="R349" s="396"/>
      <c r="S349" s="79"/>
      <c r="T349" s="79"/>
      <c r="U349" s="79"/>
      <c r="V349" s="79"/>
      <c r="W349" s="79"/>
      <c r="X349" s="79"/>
      <c r="Y349" s="79"/>
      <c r="Z349" s="79"/>
    </row>
    <row r="350" spans="1:26" ht="15.75" customHeight="1" x14ac:dyDescent="0.25">
      <c r="A350" s="79"/>
      <c r="B350" s="79"/>
      <c r="C350" s="400"/>
      <c r="D350" s="400"/>
      <c r="E350" s="400"/>
      <c r="F350" s="400"/>
      <c r="G350" s="79"/>
      <c r="H350" s="79"/>
      <c r="I350" s="79"/>
      <c r="J350" s="396"/>
      <c r="K350" s="399"/>
      <c r="L350" s="396"/>
      <c r="M350" s="396"/>
      <c r="N350" s="396"/>
      <c r="O350" s="396"/>
      <c r="P350" s="396"/>
      <c r="Q350" s="396"/>
      <c r="R350" s="396"/>
      <c r="S350" s="79"/>
      <c r="T350" s="79"/>
      <c r="U350" s="79"/>
      <c r="V350" s="79"/>
      <c r="W350" s="79"/>
      <c r="X350" s="79"/>
      <c r="Y350" s="79"/>
      <c r="Z350" s="79"/>
    </row>
    <row r="351" spans="1:26" ht="15.75" customHeight="1" x14ac:dyDescent="0.25">
      <c r="A351" s="79"/>
      <c r="B351" s="79"/>
      <c r="C351" s="400"/>
      <c r="D351" s="400"/>
      <c r="E351" s="400"/>
      <c r="F351" s="400"/>
      <c r="G351" s="79"/>
      <c r="H351" s="79"/>
      <c r="I351" s="79"/>
      <c r="J351" s="396"/>
      <c r="K351" s="399"/>
      <c r="L351" s="396"/>
      <c r="M351" s="396"/>
      <c r="N351" s="396"/>
      <c r="O351" s="396"/>
      <c r="P351" s="396"/>
      <c r="Q351" s="396"/>
      <c r="R351" s="396"/>
      <c r="S351" s="79"/>
      <c r="T351" s="79"/>
      <c r="U351" s="79"/>
      <c r="V351" s="79"/>
      <c r="W351" s="79"/>
      <c r="X351" s="79"/>
      <c r="Y351" s="79"/>
      <c r="Z351" s="79"/>
    </row>
    <row r="352" spans="1:26" ht="15.75" customHeight="1" x14ac:dyDescent="0.25">
      <c r="A352" s="79"/>
      <c r="B352" s="79"/>
      <c r="C352" s="400"/>
      <c r="D352" s="400"/>
      <c r="E352" s="400"/>
      <c r="F352" s="400"/>
      <c r="G352" s="79"/>
      <c r="H352" s="79"/>
      <c r="I352" s="79"/>
      <c r="J352" s="396"/>
      <c r="K352" s="399"/>
      <c r="L352" s="396"/>
      <c r="M352" s="396"/>
      <c r="N352" s="396"/>
      <c r="O352" s="396"/>
      <c r="P352" s="396"/>
      <c r="Q352" s="396"/>
      <c r="R352" s="396"/>
      <c r="S352" s="79"/>
      <c r="T352" s="79"/>
      <c r="U352" s="79"/>
      <c r="V352" s="79"/>
      <c r="W352" s="79"/>
      <c r="X352" s="79"/>
      <c r="Y352" s="79"/>
      <c r="Z352" s="79"/>
    </row>
    <row r="353" spans="1:26" ht="15.75" customHeight="1" x14ac:dyDescent="0.25">
      <c r="A353" s="79"/>
      <c r="B353" s="79"/>
      <c r="C353" s="400"/>
      <c r="D353" s="400"/>
      <c r="E353" s="400"/>
      <c r="F353" s="400"/>
      <c r="G353" s="79"/>
      <c r="H353" s="79"/>
      <c r="I353" s="79"/>
      <c r="J353" s="396"/>
      <c r="K353" s="399"/>
      <c r="L353" s="396"/>
      <c r="M353" s="396"/>
      <c r="N353" s="396"/>
      <c r="O353" s="396"/>
      <c r="P353" s="396"/>
      <c r="Q353" s="396"/>
      <c r="R353" s="396"/>
      <c r="S353" s="79"/>
      <c r="T353" s="79"/>
      <c r="U353" s="79"/>
      <c r="V353" s="79"/>
      <c r="W353" s="79"/>
      <c r="X353" s="79"/>
      <c r="Y353" s="79"/>
      <c r="Z353" s="79"/>
    </row>
    <row r="354" spans="1:26" ht="15.75" customHeight="1" x14ac:dyDescent="0.25">
      <c r="A354" s="79"/>
      <c r="B354" s="79"/>
      <c r="C354" s="400"/>
      <c r="D354" s="400"/>
      <c r="E354" s="400"/>
      <c r="F354" s="400"/>
      <c r="G354" s="79"/>
      <c r="H354" s="79"/>
      <c r="I354" s="79"/>
      <c r="J354" s="396"/>
      <c r="K354" s="399"/>
      <c r="L354" s="396"/>
      <c r="M354" s="396"/>
      <c r="N354" s="396"/>
      <c r="O354" s="396"/>
      <c r="P354" s="396"/>
      <c r="Q354" s="396"/>
      <c r="R354" s="396"/>
      <c r="S354" s="79"/>
      <c r="T354" s="79"/>
      <c r="U354" s="79"/>
      <c r="V354" s="79"/>
      <c r="W354" s="79"/>
      <c r="X354" s="79"/>
      <c r="Y354" s="79"/>
      <c r="Z354" s="79"/>
    </row>
    <row r="355" spans="1:26" ht="15.75" customHeight="1" x14ac:dyDescent="0.25">
      <c r="A355" s="79"/>
      <c r="B355" s="79"/>
      <c r="C355" s="400"/>
      <c r="D355" s="400"/>
      <c r="E355" s="400"/>
      <c r="F355" s="400"/>
      <c r="G355" s="79"/>
      <c r="H355" s="79"/>
      <c r="I355" s="79"/>
      <c r="J355" s="396"/>
      <c r="K355" s="399"/>
      <c r="L355" s="396"/>
      <c r="M355" s="396"/>
      <c r="N355" s="396"/>
      <c r="O355" s="396"/>
      <c r="P355" s="396"/>
      <c r="Q355" s="396"/>
      <c r="R355" s="396"/>
      <c r="S355" s="79"/>
      <c r="T355" s="79"/>
      <c r="U355" s="79"/>
      <c r="V355" s="79"/>
      <c r="W355" s="79"/>
      <c r="X355" s="79"/>
      <c r="Y355" s="79"/>
      <c r="Z355" s="79"/>
    </row>
    <row r="356" spans="1:26" ht="15.75" customHeight="1" x14ac:dyDescent="0.25">
      <c r="A356" s="79"/>
      <c r="B356" s="79"/>
      <c r="C356" s="400"/>
      <c r="D356" s="400"/>
      <c r="E356" s="400"/>
      <c r="F356" s="400"/>
      <c r="G356" s="79"/>
      <c r="H356" s="79"/>
      <c r="I356" s="79"/>
      <c r="J356" s="396"/>
      <c r="K356" s="399"/>
      <c r="L356" s="396"/>
      <c r="M356" s="396"/>
      <c r="N356" s="396"/>
      <c r="O356" s="396"/>
      <c r="P356" s="396"/>
      <c r="Q356" s="396"/>
      <c r="R356" s="396"/>
      <c r="S356" s="79"/>
      <c r="T356" s="79"/>
      <c r="U356" s="79"/>
      <c r="V356" s="79"/>
      <c r="W356" s="79"/>
      <c r="X356" s="79"/>
      <c r="Y356" s="79"/>
      <c r="Z356" s="79"/>
    </row>
    <row r="357" spans="1:26" ht="15.75" customHeight="1" x14ac:dyDescent="0.25">
      <c r="A357" s="79"/>
      <c r="B357" s="79"/>
      <c r="C357" s="400"/>
      <c r="D357" s="400"/>
      <c r="E357" s="400"/>
      <c r="F357" s="400"/>
      <c r="G357" s="79"/>
      <c r="H357" s="79"/>
      <c r="I357" s="79"/>
      <c r="J357" s="396"/>
      <c r="K357" s="399"/>
      <c r="L357" s="396"/>
      <c r="M357" s="396"/>
      <c r="N357" s="396"/>
      <c r="O357" s="396"/>
      <c r="P357" s="396"/>
      <c r="Q357" s="396"/>
      <c r="R357" s="396"/>
      <c r="S357" s="79"/>
      <c r="T357" s="79"/>
      <c r="U357" s="79"/>
      <c r="V357" s="79"/>
      <c r="W357" s="79"/>
      <c r="X357" s="79"/>
      <c r="Y357" s="79"/>
      <c r="Z357" s="79"/>
    </row>
    <row r="358" spans="1:26" ht="15.75" customHeight="1" x14ac:dyDescent="0.25">
      <c r="A358" s="79"/>
      <c r="B358" s="79"/>
      <c r="C358" s="400"/>
      <c r="D358" s="400"/>
      <c r="E358" s="400"/>
      <c r="F358" s="400"/>
      <c r="G358" s="79"/>
      <c r="H358" s="79"/>
      <c r="I358" s="79"/>
      <c r="J358" s="396"/>
      <c r="K358" s="399"/>
      <c r="L358" s="396"/>
      <c r="M358" s="396"/>
      <c r="N358" s="396"/>
      <c r="O358" s="396"/>
      <c r="P358" s="396"/>
      <c r="Q358" s="396"/>
      <c r="R358" s="396"/>
      <c r="S358" s="79"/>
      <c r="T358" s="79"/>
      <c r="U358" s="79"/>
      <c r="V358" s="79"/>
      <c r="W358" s="79"/>
      <c r="X358" s="79"/>
      <c r="Y358" s="79"/>
      <c r="Z358" s="79"/>
    </row>
    <row r="359" spans="1:26" ht="15.75" customHeight="1" x14ac:dyDescent="0.25">
      <c r="A359" s="79"/>
      <c r="B359" s="79"/>
      <c r="C359" s="400"/>
      <c r="D359" s="400"/>
      <c r="E359" s="400"/>
      <c r="F359" s="400"/>
      <c r="G359" s="79"/>
      <c r="H359" s="79"/>
      <c r="I359" s="79"/>
      <c r="J359" s="396"/>
      <c r="K359" s="399"/>
      <c r="L359" s="396"/>
      <c r="M359" s="396"/>
      <c r="N359" s="396"/>
      <c r="O359" s="396"/>
      <c r="P359" s="396"/>
      <c r="Q359" s="396"/>
      <c r="R359" s="396"/>
      <c r="S359" s="79"/>
      <c r="T359" s="79"/>
      <c r="U359" s="79"/>
      <c r="V359" s="79"/>
      <c r="W359" s="79"/>
      <c r="X359" s="79"/>
      <c r="Y359" s="79"/>
      <c r="Z359" s="79"/>
    </row>
    <row r="360" spans="1:26" ht="15.75" customHeight="1" x14ac:dyDescent="0.25">
      <c r="A360" s="79"/>
      <c r="B360" s="79"/>
      <c r="C360" s="400"/>
      <c r="D360" s="400"/>
      <c r="E360" s="400"/>
      <c r="F360" s="400"/>
      <c r="G360" s="79"/>
      <c r="H360" s="79"/>
      <c r="I360" s="79"/>
      <c r="J360" s="396"/>
      <c r="K360" s="399"/>
      <c r="L360" s="396"/>
      <c r="M360" s="396"/>
      <c r="N360" s="396"/>
      <c r="O360" s="396"/>
      <c r="P360" s="396"/>
      <c r="Q360" s="396"/>
      <c r="R360" s="396"/>
      <c r="S360" s="79"/>
      <c r="T360" s="79"/>
      <c r="U360" s="79"/>
      <c r="V360" s="79"/>
      <c r="W360" s="79"/>
      <c r="X360" s="79"/>
      <c r="Y360" s="79"/>
      <c r="Z360" s="79"/>
    </row>
    <row r="361" spans="1:26" ht="15.75" customHeight="1" x14ac:dyDescent="0.25">
      <c r="A361" s="79"/>
      <c r="B361" s="79"/>
      <c r="C361" s="400"/>
      <c r="D361" s="400"/>
      <c r="E361" s="400"/>
      <c r="F361" s="400"/>
      <c r="G361" s="79"/>
      <c r="H361" s="79"/>
      <c r="I361" s="79"/>
      <c r="J361" s="396"/>
      <c r="K361" s="399"/>
      <c r="L361" s="396"/>
      <c r="M361" s="396"/>
      <c r="N361" s="396"/>
      <c r="O361" s="396"/>
      <c r="P361" s="396"/>
      <c r="Q361" s="396"/>
      <c r="R361" s="396"/>
      <c r="S361" s="79"/>
      <c r="T361" s="79"/>
      <c r="U361" s="79"/>
      <c r="V361" s="79"/>
      <c r="W361" s="79"/>
      <c r="X361" s="79"/>
      <c r="Y361" s="79"/>
      <c r="Z361" s="79"/>
    </row>
    <row r="362" spans="1:26" ht="15.75" customHeight="1" x14ac:dyDescent="0.25">
      <c r="A362" s="79"/>
      <c r="B362" s="79"/>
      <c r="C362" s="400"/>
      <c r="D362" s="400"/>
      <c r="E362" s="400"/>
      <c r="F362" s="400"/>
      <c r="G362" s="79"/>
      <c r="H362" s="79"/>
      <c r="I362" s="79"/>
      <c r="J362" s="396"/>
      <c r="K362" s="399"/>
      <c r="L362" s="396"/>
      <c r="M362" s="396"/>
      <c r="N362" s="396"/>
      <c r="O362" s="396"/>
      <c r="P362" s="396"/>
      <c r="Q362" s="396"/>
      <c r="R362" s="396"/>
      <c r="S362" s="79"/>
      <c r="T362" s="79"/>
      <c r="U362" s="79"/>
      <c r="V362" s="79"/>
      <c r="W362" s="79"/>
      <c r="X362" s="79"/>
      <c r="Y362" s="79"/>
      <c r="Z362" s="79"/>
    </row>
    <row r="363" spans="1:26" ht="15.75" customHeight="1" x14ac:dyDescent="0.25">
      <c r="A363" s="79"/>
      <c r="B363" s="79"/>
      <c r="C363" s="400"/>
      <c r="D363" s="400"/>
      <c r="E363" s="400"/>
      <c r="F363" s="400"/>
      <c r="G363" s="79"/>
      <c r="H363" s="79"/>
      <c r="I363" s="79"/>
      <c r="J363" s="396"/>
      <c r="K363" s="399"/>
      <c r="L363" s="396"/>
      <c r="M363" s="396"/>
      <c r="N363" s="396"/>
      <c r="O363" s="396"/>
      <c r="P363" s="396"/>
      <c r="Q363" s="396"/>
      <c r="R363" s="396"/>
      <c r="S363" s="79"/>
      <c r="T363" s="79"/>
      <c r="U363" s="79"/>
      <c r="V363" s="79"/>
      <c r="W363" s="79"/>
      <c r="X363" s="79"/>
      <c r="Y363" s="79"/>
      <c r="Z363" s="79"/>
    </row>
    <row r="364" spans="1:26" ht="15.75" customHeight="1" x14ac:dyDescent="0.25">
      <c r="A364" s="79"/>
      <c r="B364" s="79"/>
      <c r="C364" s="400"/>
      <c r="D364" s="400"/>
      <c r="E364" s="400"/>
      <c r="F364" s="400"/>
      <c r="G364" s="79"/>
      <c r="H364" s="79"/>
      <c r="I364" s="79"/>
      <c r="J364" s="396"/>
      <c r="K364" s="399"/>
      <c r="L364" s="396"/>
      <c r="M364" s="396"/>
      <c r="N364" s="396"/>
      <c r="O364" s="396"/>
      <c r="P364" s="396"/>
      <c r="Q364" s="396"/>
      <c r="R364" s="396"/>
      <c r="S364" s="79"/>
      <c r="T364" s="79"/>
      <c r="U364" s="79"/>
      <c r="V364" s="79"/>
      <c r="W364" s="79"/>
      <c r="X364" s="79"/>
      <c r="Y364" s="79"/>
      <c r="Z364" s="79"/>
    </row>
    <row r="365" spans="1:26" ht="15.75" customHeight="1" x14ac:dyDescent="0.25">
      <c r="A365" s="79"/>
      <c r="B365" s="79"/>
      <c r="C365" s="400"/>
      <c r="D365" s="400"/>
      <c r="E365" s="400"/>
      <c r="F365" s="400"/>
      <c r="G365" s="79"/>
      <c r="H365" s="79"/>
      <c r="I365" s="79"/>
      <c r="J365" s="396"/>
      <c r="K365" s="399"/>
      <c r="L365" s="396"/>
      <c r="M365" s="396"/>
      <c r="N365" s="396"/>
      <c r="O365" s="396"/>
      <c r="P365" s="396"/>
      <c r="Q365" s="396"/>
      <c r="R365" s="396"/>
      <c r="S365" s="79"/>
      <c r="T365" s="79"/>
      <c r="U365" s="79"/>
      <c r="V365" s="79"/>
      <c r="W365" s="79"/>
      <c r="X365" s="79"/>
      <c r="Y365" s="79"/>
      <c r="Z365" s="79"/>
    </row>
    <row r="366" spans="1:26" ht="15.75" customHeight="1" x14ac:dyDescent="0.25">
      <c r="A366" s="79"/>
      <c r="B366" s="79"/>
      <c r="C366" s="400"/>
      <c r="D366" s="400"/>
      <c r="E366" s="400"/>
      <c r="F366" s="400"/>
      <c r="G366" s="79"/>
      <c r="H366" s="79"/>
      <c r="I366" s="79"/>
      <c r="J366" s="396"/>
      <c r="K366" s="399"/>
      <c r="L366" s="396"/>
      <c r="M366" s="396"/>
      <c r="N366" s="396"/>
      <c r="O366" s="396"/>
      <c r="P366" s="396"/>
      <c r="Q366" s="396"/>
      <c r="R366" s="396"/>
      <c r="S366" s="79"/>
      <c r="T366" s="79"/>
      <c r="U366" s="79"/>
      <c r="V366" s="79"/>
      <c r="W366" s="79"/>
      <c r="X366" s="79"/>
      <c r="Y366" s="79"/>
      <c r="Z366" s="79"/>
    </row>
    <row r="367" spans="1:26" ht="15.75" customHeight="1" x14ac:dyDescent="0.25">
      <c r="A367" s="79"/>
      <c r="B367" s="79"/>
      <c r="C367" s="400"/>
      <c r="D367" s="400"/>
      <c r="E367" s="400"/>
      <c r="F367" s="400"/>
      <c r="G367" s="79"/>
      <c r="H367" s="79"/>
      <c r="I367" s="79"/>
      <c r="J367" s="396"/>
      <c r="K367" s="399"/>
      <c r="L367" s="396"/>
      <c r="M367" s="396"/>
      <c r="N367" s="396"/>
      <c r="O367" s="396"/>
      <c r="P367" s="396"/>
      <c r="Q367" s="396"/>
      <c r="R367" s="396"/>
      <c r="S367" s="79"/>
      <c r="T367" s="79"/>
      <c r="U367" s="79"/>
      <c r="V367" s="79"/>
      <c r="W367" s="79"/>
      <c r="X367" s="79"/>
      <c r="Y367" s="79"/>
      <c r="Z367" s="79"/>
    </row>
    <row r="368" spans="1:26" ht="15.75" customHeight="1" x14ac:dyDescent="0.25">
      <c r="A368" s="79"/>
      <c r="B368" s="79"/>
      <c r="C368" s="400"/>
      <c r="D368" s="400"/>
      <c r="E368" s="400"/>
      <c r="F368" s="400"/>
      <c r="G368" s="79"/>
      <c r="H368" s="79"/>
      <c r="I368" s="79"/>
      <c r="J368" s="396"/>
      <c r="K368" s="399"/>
      <c r="L368" s="396"/>
      <c r="M368" s="396"/>
      <c r="N368" s="396"/>
      <c r="O368" s="396"/>
      <c r="P368" s="396"/>
      <c r="Q368" s="396"/>
      <c r="R368" s="396"/>
      <c r="S368" s="79"/>
      <c r="T368" s="79"/>
      <c r="U368" s="79"/>
      <c r="V368" s="79"/>
      <c r="W368" s="79"/>
      <c r="X368" s="79"/>
      <c r="Y368" s="79"/>
      <c r="Z368" s="79"/>
    </row>
    <row r="369" spans="1:26" ht="15.75" customHeight="1" x14ac:dyDescent="0.25">
      <c r="A369" s="79"/>
      <c r="B369" s="79"/>
      <c r="C369" s="400"/>
      <c r="D369" s="400"/>
      <c r="E369" s="400"/>
      <c r="F369" s="400"/>
      <c r="G369" s="79"/>
      <c r="H369" s="79"/>
      <c r="I369" s="79"/>
      <c r="J369" s="396"/>
      <c r="K369" s="399"/>
      <c r="L369" s="396"/>
      <c r="M369" s="396"/>
      <c r="N369" s="396"/>
      <c r="O369" s="396"/>
      <c r="P369" s="396"/>
      <c r="Q369" s="396"/>
      <c r="R369" s="396"/>
      <c r="S369" s="79"/>
      <c r="T369" s="79"/>
      <c r="U369" s="79"/>
      <c r="V369" s="79"/>
      <c r="W369" s="79"/>
      <c r="X369" s="79"/>
      <c r="Y369" s="79"/>
      <c r="Z369" s="79"/>
    </row>
    <row r="370" spans="1:26" ht="15.75" customHeight="1" x14ac:dyDescent="0.25">
      <c r="A370" s="79"/>
      <c r="B370" s="79"/>
      <c r="C370" s="400"/>
      <c r="D370" s="400"/>
      <c r="E370" s="400"/>
      <c r="F370" s="400"/>
      <c r="G370" s="79"/>
      <c r="H370" s="79"/>
      <c r="I370" s="79"/>
      <c r="J370" s="396"/>
      <c r="K370" s="399"/>
      <c r="L370" s="396"/>
      <c r="M370" s="396"/>
      <c r="N370" s="396"/>
      <c r="O370" s="396"/>
      <c r="P370" s="396"/>
      <c r="Q370" s="396"/>
      <c r="R370" s="396"/>
      <c r="S370" s="79"/>
      <c r="T370" s="79"/>
      <c r="U370" s="79"/>
      <c r="V370" s="79"/>
      <c r="W370" s="79"/>
      <c r="X370" s="79"/>
      <c r="Y370" s="79"/>
      <c r="Z370" s="79"/>
    </row>
    <row r="371" spans="1:26" ht="15.75" customHeight="1" x14ac:dyDescent="0.25">
      <c r="A371" s="79"/>
      <c r="B371" s="79"/>
      <c r="C371" s="400"/>
      <c r="D371" s="400"/>
      <c r="E371" s="400"/>
      <c r="F371" s="400"/>
      <c r="G371" s="79"/>
      <c r="H371" s="79"/>
      <c r="I371" s="79"/>
      <c r="J371" s="396"/>
      <c r="K371" s="399"/>
      <c r="L371" s="396"/>
      <c r="M371" s="396"/>
      <c r="N371" s="396"/>
      <c r="O371" s="396"/>
      <c r="P371" s="396"/>
      <c r="Q371" s="396"/>
      <c r="R371" s="396"/>
      <c r="S371" s="79"/>
      <c r="T371" s="79"/>
      <c r="U371" s="79"/>
      <c r="V371" s="79"/>
      <c r="W371" s="79"/>
      <c r="X371" s="79"/>
      <c r="Y371" s="79"/>
      <c r="Z371" s="79"/>
    </row>
    <row r="372" spans="1:26" ht="15.75" customHeight="1" x14ac:dyDescent="0.25">
      <c r="A372" s="79"/>
      <c r="B372" s="79"/>
      <c r="C372" s="400"/>
      <c r="D372" s="400"/>
      <c r="E372" s="400"/>
      <c r="F372" s="400"/>
      <c r="G372" s="79"/>
      <c r="H372" s="79"/>
      <c r="I372" s="79"/>
      <c r="J372" s="396"/>
      <c r="K372" s="399"/>
      <c r="L372" s="396"/>
      <c r="M372" s="396"/>
      <c r="N372" s="396"/>
      <c r="O372" s="396"/>
      <c r="P372" s="396"/>
      <c r="Q372" s="396"/>
      <c r="R372" s="396"/>
      <c r="S372" s="79"/>
      <c r="T372" s="79"/>
      <c r="U372" s="79"/>
      <c r="V372" s="79"/>
      <c r="W372" s="79"/>
      <c r="X372" s="79"/>
      <c r="Y372" s="79"/>
      <c r="Z372" s="79"/>
    </row>
    <row r="373" spans="1:26" ht="15.75" customHeight="1" x14ac:dyDescent="0.25">
      <c r="A373" s="79"/>
      <c r="B373" s="79"/>
      <c r="C373" s="400"/>
      <c r="D373" s="400"/>
      <c r="E373" s="400"/>
      <c r="F373" s="400"/>
      <c r="G373" s="79"/>
      <c r="H373" s="79"/>
      <c r="I373" s="79"/>
      <c r="J373" s="396"/>
      <c r="K373" s="399"/>
      <c r="L373" s="396"/>
      <c r="M373" s="396"/>
      <c r="N373" s="396"/>
      <c r="O373" s="396"/>
      <c r="P373" s="396"/>
      <c r="Q373" s="396"/>
      <c r="R373" s="396"/>
      <c r="S373" s="79"/>
      <c r="T373" s="79"/>
      <c r="U373" s="79"/>
      <c r="V373" s="79"/>
      <c r="W373" s="79"/>
      <c r="X373" s="79"/>
      <c r="Y373" s="79"/>
      <c r="Z373" s="79"/>
    </row>
    <row r="374" spans="1:26" ht="15.75" customHeight="1" x14ac:dyDescent="0.25">
      <c r="A374" s="79"/>
      <c r="B374" s="79"/>
      <c r="C374" s="400"/>
      <c r="D374" s="400"/>
      <c r="E374" s="400"/>
      <c r="F374" s="400"/>
      <c r="G374" s="79"/>
      <c r="H374" s="79"/>
      <c r="I374" s="79"/>
      <c r="J374" s="396"/>
      <c r="K374" s="399"/>
      <c r="L374" s="396"/>
      <c r="M374" s="396"/>
      <c r="N374" s="396"/>
      <c r="O374" s="396"/>
      <c r="P374" s="396"/>
      <c r="Q374" s="396"/>
      <c r="R374" s="396"/>
      <c r="S374" s="79"/>
      <c r="T374" s="79"/>
      <c r="U374" s="79"/>
      <c r="V374" s="79"/>
      <c r="W374" s="79"/>
      <c r="X374" s="79"/>
      <c r="Y374" s="79"/>
      <c r="Z374" s="79"/>
    </row>
    <row r="375" spans="1:26" ht="15.75" customHeight="1" x14ac:dyDescent="0.25">
      <c r="A375" s="79"/>
      <c r="B375" s="79"/>
      <c r="C375" s="400"/>
      <c r="D375" s="400"/>
      <c r="E375" s="400"/>
      <c r="F375" s="400"/>
      <c r="G375" s="79"/>
      <c r="H375" s="79"/>
      <c r="I375" s="79"/>
      <c r="J375" s="396"/>
      <c r="K375" s="399"/>
      <c r="L375" s="396"/>
      <c r="M375" s="396"/>
      <c r="N375" s="396"/>
      <c r="O375" s="396"/>
      <c r="P375" s="396"/>
      <c r="Q375" s="396"/>
      <c r="R375" s="396"/>
      <c r="S375" s="79"/>
      <c r="T375" s="79"/>
      <c r="U375" s="79"/>
      <c r="V375" s="79"/>
      <c r="W375" s="79"/>
      <c r="X375" s="79"/>
      <c r="Y375" s="79"/>
      <c r="Z375" s="79"/>
    </row>
    <row r="376" spans="1:26" ht="15.75" customHeight="1" x14ac:dyDescent="0.25">
      <c r="A376" s="79"/>
      <c r="B376" s="79"/>
      <c r="C376" s="400"/>
      <c r="D376" s="400"/>
      <c r="E376" s="400"/>
      <c r="F376" s="400"/>
      <c r="G376" s="79"/>
      <c r="H376" s="79"/>
      <c r="I376" s="79"/>
      <c r="J376" s="396"/>
      <c r="K376" s="399"/>
      <c r="L376" s="396"/>
      <c r="M376" s="396"/>
      <c r="N376" s="396"/>
      <c r="O376" s="396"/>
      <c r="P376" s="396"/>
      <c r="Q376" s="396"/>
      <c r="R376" s="396"/>
      <c r="S376" s="79"/>
      <c r="T376" s="79"/>
      <c r="U376" s="79"/>
      <c r="V376" s="79"/>
      <c r="W376" s="79"/>
      <c r="X376" s="79"/>
      <c r="Y376" s="79"/>
      <c r="Z376" s="79"/>
    </row>
    <row r="377" spans="1:26" ht="15.75" customHeight="1" x14ac:dyDescent="0.25">
      <c r="A377" s="79"/>
      <c r="B377" s="79"/>
      <c r="C377" s="400"/>
      <c r="D377" s="400"/>
      <c r="E377" s="400"/>
      <c r="F377" s="400"/>
      <c r="G377" s="79"/>
      <c r="H377" s="79"/>
      <c r="I377" s="79"/>
      <c r="J377" s="396"/>
      <c r="K377" s="399"/>
      <c r="L377" s="396"/>
      <c r="M377" s="396"/>
      <c r="N377" s="396"/>
      <c r="O377" s="396"/>
      <c r="P377" s="396"/>
      <c r="Q377" s="396"/>
      <c r="R377" s="396"/>
      <c r="S377" s="79"/>
      <c r="T377" s="79"/>
      <c r="U377" s="79"/>
      <c r="V377" s="79"/>
      <c r="W377" s="79"/>
      <c r="X377" s="79"/>
      <c r="Y377" s="79"/>
      <c r="Z377" s="79"/>
    </row>
    <row r="378" spans="1:26" ht="15.75" customHeight="1" x14ac:dyDescent="0.25">
      <c r="A378" s="79"/>
      <c r="B378" s="79"/>
      <c r="C378" s="400"/>
      <c r="D378" s="400"/>
      <c r="E378" s="400"/>
      <c r="F378" s="400"/>
      <c r="G378" s="79"/>
      <c r="H378" s="79"/>
      <c r="I378" s="79"/>
      <c r="J378" s="396"/>
      <c r="K378" s="399"/>
      <c r="L378" s="396"/>
      <c r="M378" s="396"/>
      <c r="N378" s="396"/>
      <c r="O378" s="396"/>
      <c r="P378" s="396"/>
      <c r="Q378" s="396"/>
      <c r="R378" s="396"/>
      <c r="S378" s="79"/>
      <c r="T378" s="79"/>
      <c r="U378" s="79"/>
      <c r="V378" s="79"/>
      <c r="W378" s="79"/>
      <c r="X378" s="79"/>
      <c r="Y378" s="79"/>
      <c r="Z378" s="79"/>
    </row>
    <row r="379" spans="1:26" ht="15.75" customHeight="1" x14ac:dyDescent="0.25">
      <c r="A379" s="79"/>
      <c r="B379" s="79"/>
      <c r="C379" s="400"/>
      <c r="D379" s="400"/>
      <c r="E379" s="400"/>
      <c r="F379" s="400"/>
      <c r="G379" s="79"/>
      <c r="H379" s="79"/>
      <c r="I379" s="79"/>
      <c r="J379" s="396"/>
      <c r="K379" s="399"/>
      <c r="L379" s="396"/>
      <c r="M379" s="396"/>
      <c r="N379" s="396"/>
      <c r="O379" s="396"/>
      <c r="P379" s="396"/>
      <c r="Q379" s="396"/>
      <c r="R379" s="396"/>
      <c r="S379" s="79"/>
      <c r="T379" s="79"/>
      <c r="U379" s="79"/>
      <c r="V379" s="79"/>
      <c r="W379" s="79"/>
      <c r="X379" s="79"/>
      <c r="Y379" s="79"/>
      <c r="Z379" s="79"/>
    </row>
    <row r="380" spans="1:26" ht="15.75" customHeight="1" x14ac:dyDescent="0.25">
      <c r="A380" s="79"/>
      <c r="B380" s="79"/>
      <c r="C380" s="400"/>
      <c r="D380" s="400"/>
      <c r="E380" s="400"/>
      <c r="F380" s="400"/>
      <c r="G380" s="79"/>
      <c r="H380" s="79"/>
      <c r="I380" s="79"/>
      <c r="J380" s="396"/>
      <c r="K380" s="399"/>
      <c r="L380" s="396"/>
      <c r="M380" s="396"/>
      <c r="N380" s="396"/>
      <c r="O380" s="396"/>
      <c r="P380" s="396"/>
      <c r="Q380" s="396"/>
      <c r="R380" s="396"/>
      <c r="S380" s="79"/>
      <c r="T380" s="79"/>
      <c r="U380" s="79"/>
      <c r="V380" s="79"/>
      <c r="W380" s="79"/>
      <c r="X380" s="79"/>
      <c r="Y380" s="79"/>
      <c r="Z380" s="79"/>
    </row>
    <row r="381" spans="1:26" ht="15.75" customHeight="1" x14ac:dyDescent="0.25">
      <c r="A381" s="79"/>
      <c r="B381" s="79"/>
      <c r="C381" s="400"/>
      <c r="D381" s="400"/>
      <c r="E381" s="400"/>
      <c r="F381" s="400"/>
      <c r="G381" s="79"/>
      <c r="H381" s="79"/>
      <c r="I381" s="79"/>
      <c r="J381" s="396"/>
      <c r="K381" s="399"/>
      <c r="L381" s="396"/>
      <c r="M381" s="396"/>
      <c r="N381" s="396"/>
      <c r="O381" s="396"/>
      <c r="P381" s="396"/>
      <c r="Q381" s="396"/>
      <c r="R381" s="396"/>
      <c r="S381" s="79"/>
      <c r="T381" s="79"/>
      <c r="U381" s="79"/>
      <c r="V381" s="79"/>
      <c r="W381" s="79"/>
      <c r="X381" s="79"/>
      <c r="Y381" s="79"/>
      <c r="Z381" s="79"/>
    </row>
    <row r="382" spans="1:26" ht="15.75" customHeight="1" x14ac:dyDescent="0.25">
      <c r="A382" s="79"/>
      <c r="B382" s="79"/>
      <c r="C382" s="400"/>
      <c r="D382" s="400"/>
      <c r="E382" s="400"/>
      <c r="F382" s="400"/>
      <c r="G382" s="79"/>
      <c r="H382" s="79"/>
      <c r="I382" s="79"/>
      <c r="J382" s="396"/>
      <c r="K382" s="399"/>
      <c r="L382" s="396"/>
      <c r="M382" s="396"/>
      <c r="N382" s="396"/>
      <c r="O382" s="396"/>
      <c r="P382" s="396"/>
      <c r="Q382" s="396"/>
      <c r="R382" s="396"/>
      <c r="S382" s="79"/>
      <c r="T382" s="79"/>
      <c r="U382" s="79"/>
      <c r="V382" s="79"/>
      <c r="W382" s="79"/>
      <c r="X382" s="79"/>
      <c r="Y382" s="79"/>
      <c r="Z382" s="79"/>
    </row>
    <row r="383" spans="1:26" ht="15.75" customHeight="1" x14ac:dyDescent="0.25">
      <c r="A383" s="79"/>
      <c r="B383" s="79"/>
      <c r="C383" s="400"/>
      <c r="D383" s="400"/>
      <c r="E383" s="400"/>
      <c r="F383" s="400"/>
      <c r="G383" s="79"/>
      <c r="H383" s="79"/>
      <c r="I383" s="79"/>
      <c r="J383" s="396"/>
      <c r="K383" s="399"/>
      <c r="L383" s="396"/>
      <c r="M383" s="396"/>
      <c r="N383" s="396"/>
      <c r="O383" s="396"/>
      <c r="P383" s="396"/>
      <c r="Q383" s="396"/>
      <c r="R383" s="396"/>
      <c r="S383" s="79"/>
      <c r="T383" s="79"/>
      <c r="U383" s="79"/>
      <c r="V383" s="79"/>
      <c r="W383" s="79"/>
      <c r="X383" s="79"/>
      <c r="Y383" s="79"/>
      <c r="Z383" s="79"/>
    </row>
    <row r="384" spans="1:26" ht="15.75" customHeight="1" x14ac:dyDescent="0.25">
      <c r="A384" s="79"/>
      <c r="B384" s="79"/>
      <c r="C384" s="400"/>
      <c r="D384" s="400"/>
      <c r="E384" s="400"/>
      <c r="F384" s="400"/>
      <c r="G384" s="79"/>
      <c r="H384" s="79"/>
      <c r="I384" s="79"/>
      <c r="J384" s="396"/>
      <c r="K384" s="399"/>
      <c r="L384" s="396"/>
      <c r="M384" s="396"/>
      <c r="N384" s="396"/>
      <c r="O384" s="396"/>
      <c r="P384" s="396"/>
      <c r="Q384" s="396"/>
      <c r="R384" s="396"/>
      <c r="S384" s="79"/>
      <c r="T384" s="79"/>
      <c r="U384" s="79"/>
      <c r="V384" s="79"/>
      <c r="W384" s="79"/>
      <c r="X384" s="79"/>
      <c r="Y384" s="79"/>
      <c r="Z384" s="79"/>
    </row>
    <row r="385" spans="1:26" ht="15.75" customHeight="1" x14ac:dyDescent="0.25">
      <c r="A385" s="79"/>
      <c r="B385" s="79"/>
      <c r="C385" s="400"/>
      <c r="D385" s="400"/>
      <c r="E385" s="400"/>
      <c r="F385" s="400"/>
      <c r="G385" s="79"/>
      <c r="H385" s="79"/>
      <c r="I385" s="79"/>
      <c r="J385" s="396"/>
      <c r="K385" s="399"/>
      <c r="L385" s="396"/>
      <c r="M385" s="396"/>
      <c r="N385" s="396"/>
      <c r="O385" s="396"/>
      <c r="P385" s="396"/>
      <c r="Q385" s="396"/>
      <c r="R385" s="396"/>
      <c r="S385" s="79"/>
      <c r="T385" s="79"/>
      <c r="U385" s="79"/>
      <c r="V385" s="79"/>
      <c r="W385" s="79"/>
      <c r="X385" s="79"/>
      <c r="Y385" s="79"/>
      <c r="Z385" s="79"/>
    </row>
    <row r="386" spans="1:26" ht="15.75" customHeight="1" x14ac:dyDescent="0.25">
      <c r="A386" s="79"/>
      <c r="B386" s="79"/>
      <c r="C386" s="400"/>
      <c r="D386" s="400"/>
      <c r="E386" s="400"/>
      <c r="F386" s="400"/>
      <c r="G386" s="79"/>
      <c r="H386" s="79"/>
      <c r="I386" s="79"/>
      <c r="J386" s="396"/>
      <c r="K386" s="399"/>
      <c r="L386" s="396"/>
      <c r="M386" s="396"/>
      <c r="N386" s="396"/>
      <c r="O386" s="396"/>
      <c r="P386" s="396"/>
      <c r="Q386" s="396"/>
      <c r="R386" s="396"/>
      <c r="S386" s="79"/>
      <c r="T386" s="79"/>
      <c r="U386" s="79"/>
      <c r="V386" s="79"/>
      <c r="W386" s="79"/>
      <c r="X386" s="79"/>
      <c r="Y386" s="79"/>
      <c r="Z386" s="79"/>
    </row>
    <row r="387" spans="1:26" ht="15.75" customHeight="1" x14ac:dyDescent="0.25">
      <c r="A387" s="79"/>
      <c r="B387" s="79"/>
      <c r="C387" s="400"/>
      <c r="D387" s="400"/>
      <c r="E387" s="400"/>
      <c r="F387" s="400"/>
      <c r="G387" s="79"/>
      <c r="H387" s="79"/>
      <c r="I387" s="79"/>
      <c r="J387" s="396"/>
      <c r="K387" s="399"/>
      <c r="L387" s="396"/>
      <c r="M387" s="396"/>
      <c r="N387" s="396"/>
      <c r="O387" s="396"/>
      <c r="P387" s="396"/>
      <c r="Q387" s="396"/>
      <c r="R387" s="396"/>
      <c r="S387" s="79"/>
      <c r="T387" s="79"/>
      <c r="U387" s="79"/>
      <c r="V387" s="79"/>
      <c r="W387" s="79"/>
      <c r="X387" s="79"/>
      <c r="Y387" s="79"/>
      <c r="Z387" s="79"/>
    </row>
    <row r="388" spans="1:26" ht="15.75" customHeight="1" x14ac:dyDescent="0.25">
      <c r="A388" s="79"/>
      <c r="B388" s="79"/>
      <c r="C388" s="400"/>
      <c r="D388" s="400"/>
      <c r="E388" s="400"/>
      <c r="F388" s="400"/>
      <c r="G388" s="79"/>
      <c r="H388" s="79"/>
      <c r="I388" s="79"/>
      <c r="J388" s="396"/>
      <c r="K388" s="399"/>
      <c r="L388" s="396"/>
      <c r="M388" s="396"/>
      <c r="N388" s="396"/>
      <c r="O388" s="396"/>
      <c r="P388" s="396"/>
      <c r="Q388" s="396"/>
      <c r="R388" s="396"/>
      <c r="S388" s="79"/>
      <c r="T388" s="79"/>
      <c r="U388" s="79"/>
      <c r="V388" s="79"/>
      <c r="W388" s="79"/>
      <c r="X388" s="79"/>
      <c r="Y388" s="79"/>
      <c r="Z388" s="79"/>
    </row>
    <row r="389" spans="1:26" ht="15.75" customHeight="1" x14ac:dyDescent="0.25">
      <c r="A389" s="79"/>
      <c r="B389" s="79"/>
      <c r="C389" s="400"/>
      <c r="D389" s="400"/>
      <c r="E389" s="400"/>
      <c r="F389" s="400"/>
      <c r="G389" s="79"/>
      <c r="H389" s="79"/>
      <c r="I389" s="79"/>
      <c r="J389" s="396"/>
      <c r="K389" s="399"/>
      <c r="L389" s="396"/>
      <c r="M389" s="396"/>
      <c r="N389" s="396"/>
      <c r="O389" s="396"/>
      <c r="P389" s="396"/>
      <c r="Q389" s="396"/>
      <c r="R389" s="396"/>
      <c r="S389" s="79"/>
      <c r="T389" s="79"/>
      <c r="U389" s="79"/>
      <c r="V389" s="79"/>
      <c r="W389" s="79"/>
      <c r="X389" s="79"/>
      <c r="Y389" s="79"/>
      <c r="Z389" s="79"/>
    </row>
    <row r="390" spans="1:26" ht="15.75" customHeight="1" x14ac:dyDescent="0.25">
      <c r="A390" s="79"/>
      <c r="B390" s="79"/>
      <c r="C390" s="400"/>
      <c r="D390" s="400"/>
      <c r="E390" s="400"/>
      <c r="F390" s="400"/>
      <c r="G390" s="79"/>
      <c r="H390" s="79"/>
      <c r="I390" s="79"/>
      <c r="J390" s="396"/>
      <c r="K390" s="399"/>
      <c r="L390" s="396"/>
      <c r="M390" s="396"/>
      <c r="N390" s="396"/>
      <c r="O390" s="396"/>
      <c r="P390" s="396"/>
      <c r="Q390" s="396"/>
      <c r="R390" s="396"/>
      <c r="S390" s="79"/>
      <c r="T390" s="79"/>
      <c r="U390" s="79"/>
      <c r="V390" s="79"/>
      <c r="W390" s="79"/>
      <c r="X390" s="79"/>
      <c r="Y390" s="79"/>
      <c r="Z390" s="79"/>
    </row>
    <row r="391" spans="1:26" ht="15.75" customHeight="1" x14ac:dyDescent="0.25">
      <c r="A391" s="79"/>
      <c r="B391" s="79"/>
      <c r="C391" s="400"/>
      <c r="D391" s="400"/>
      <c r="E391" s="400"/>
      <c r="F391" s="400"/>
      <c r="G391" s="79"/>
      <c r="H391" s="79"/>
      <c r="I391" s="79"/>
      <c r="J391" s="396"/>
      <c r="K391" s="399"/>
      <c r="L391" s="396"/>
      <c r="M391" s="396"/>
      <c r="N391" s="396"/>
      <c r="O391" s="396"/>
      <c r="P391" s="396"/>
      <c r="Q391" s="396"/>
      <c r="R391" s="396"/>
      <c r="S391" s="79"/>
      <c r="T391" s="79"/>
      <c r="U391" s="79"/>
      <c r="V391" s="79"/>
      <c r="W391" s="79"/>
      <c r="X391" s="79"/>
      <c r="Y391" s="79"/>
      <c r="Z391" s="79"/>
    </row>
    <row r="392" spans="1:26" ht="15.75" customHeight="1" x14ac:dyDescent="0.25">
      <c r="A392" s="79"/>
      <c r="B392" s="79"/>
      <c r="C392" s="400"/>
      <c r="D392" s="400"/>
      <c r="E392" s="400"/>
      <c r="F392" s="400"/>
      <c r="G392" s="79"/>
      <c r="H392" s="79"/>
      <c r="I392" s="79"/>
      <c r="J392" s="396"/>
      <c r="K392" s="399"/>
      <c r="L392" s="396"/>
      <c r="M392" s="396"/>
      <c r="N392" s="396"/>
      <c r="O392" s="396"/>
      <c r="P392" s="396"/>
      <c r="Q392" s="396"/>
      <c r="R392" s="396"/>
      <c r="S392" s="79"/>
      <c r="T392" s="79"/>
      <c r="U392" s="79"/>
      <c r="V392" s="79"/>
      <c r="W392" s="79"/>
      <c r="X392" s="79"/>
      <c r="Y392" s="79"/>
      <c r="Z392" s="79"/>
    </row>
    <row r="393" spans="1:26" ht="15.75" customHeight="1" x14ac:dyDescent="0.25">
      <c r="A393" s="79"/>
      <c r="B393" s="79"/>
      <c r="C393" s="400"/>
      <c r="D393" s="400"/>
      <c r="E393" s="400"/>
      <c r="F393" s="400"/>
      <c r="G393" s="79"/>
      <c r="H393" s="79"/>
      <c r="I393" s="79"/>
      <c r="J393" s="396"/>
      <c r="K393" s="399"/>
      <c r="L393" s="396"/>
      <c r="M393" s="396"/>
      <c r="N393" s="396"/>
      <c r="O393" s="396"/>
      <c r="P393" s="396"/>
      <c r="Q393" s="396"/>
      <c r="R393" s="396"/>
      <c r="S393" s="79"/>
      <c r="T393" s="79"/>
      <c r="U393" s="79"/>
      <c r="V393" s="79"/>
      <c r="W393" s="79"/>
      <c r="X393" s="79"/>
      <c r="Y393" s="79"/>
      <c r="Z393" s="79"/>
    </row>
    <row r="394" spans="1:26" ht="15.75" customHeight="1" x14ac:dyDescent="0.25">
      <c r="A394" s="79"/>
      <c r="B394" s="79"/>
      <c r="C394" s="400"/>
      <c r="D394" s="400"/>
      <c r="E394" s="400"/>
      <c r="F394" s="400"/>
      <c r="G394" s="79"/>
      <c r="H394" s="79"/>
      <c r="I394" s="79"/>
      <c r="J394" s="396"/>
      <c r="K394" s="399"/>
      <c r="L394" s="396"/>
      <c r="M394" s="396"/>
      <c r="N394" s="396"/>
      <c r="O394" s="396"/>
      <c r="P394" s="396"/>
      <c r="Q394" s="396"/>
      <c r="R394" s="396"/>
      <c r="S394" s="79"/>
      <c r="T394" s="79"/>
      <c r="U394" s="79"/>
      <c r="V394" s="79"/>
      <c r="W394" s="79"/>
      <c r="X394" s="79"/>
      <c r="Y394" s="79"/>
      <c r="Z394" s="79"/>
    </row>
    <row r="395" spans="1:26" ht="15.75" customHeight="1" x14ac:dyDescent="0.25">
      <c r="A395" s="79"/>
      <c r="B395" s="79"/>
      <c r="C395" s="400"/>
      <c r="D395" s="400"/>
      <c r="E395" s="400"/>
      <c r="F395" s="400"/>
      <c r="G395" s="79"/>
      <c r="H395" s="79"/>
      <c r="I395" s="79"/>
      <c r="J395" s="396"/>
      <c r="K395" s="399"/>
      <c r="L395" s="396"/>
      <c r="M395" s="396"/>
      <c r="N395" s="396"/>
      <c r="O395" s="396"/>
      <c r="P395" s="396"/>
      <c r="Q395" s="396"/>
      <c r="R395" s="396"/>
      <c r="S395" s="79"/>
      <c r="T395" s="79"/>
      <c r="U395" s="79"/>
      <c r="V395" s="79"/>
      <c r="W395" s="79"/>
      <c r="X395" s="79"/>
      <c r="Y395" s="79"/>
      <c r="Z395" s="79"/>
    </row>
    <row r="396" spans="1:26" ht="15.75" customHeight="1" x14ac:dyDescent="0.25">
      <c r="A396" s="79"/>
      <c r="B396" s="79"/>
      <c r="C396" s="400"/>
      <c r="D396" s="400"/>
      <c r="E396" s="400"/>
      <c r="F396" s="400"/>
      <c r="G396" s="79"/>
      <c r="H396" s="79"/>
      <c r="I396" s="79"/>
      <c r="J396" s="396"/>
      <c r="K396" s="399"/>
      <c r="L396" s="396"/>
      <c r="M396" s="396"/>
      <c r="N396" s="396"/>
      <c r="O396" s="396"/>
      <c r="P396" s="396"/>
      <c r="Q396" s="396"/>
      <c r="R396" s="396"/>
      <c r="S396" s="79"/>
      <c r="T396" s="79"/>
      <c r="U396" s="79"/>
      <c r="V396" s="79"/>
      <c r="W396" s="79"/>
      <c r="X396" s="79"/>
      <c r="Y396" s="79"/>
      <c r="Z396" s="79"/>
    </row>
    <row r="397" spans="1:26" ht="15.75" customHeight="1" x14ac:dyDescent="0.25">
      <c r="A397" s="79"/>
      <c r="B397" s="79"/>
      <c r="C397" s="400"/>
      <c r="D397" s="400"/>
      <c r="E397" s="400"/>
      <c r="F397" s="400"/>
      <c r="G397" s="79"/>
      <c r="H397" s="79"/>
      <c r="I397" s="79"/>
      <c r="J397" s="396"/>
      <c r="K397" s="399"/>
      <c r="L397" s="396"/>
      <c r="M397" s="396"/>
      <c r="N397" s="396"/>
      <c r="O397" s="396"/>
      <c r="P397" s="396"/>
      <c r="Q397" s="396"/>
      <c r="R397" s="396"/>
      <c r="S397" s="79"/>
      <c r="T397" s="79"/>
      <c r="U397" s="79"/>
      <c r="V397" s="79"/>
      <c r="W397" s="79"/>
      <c r="X397" s="79"/>
      <c r="Y397" s="79"/>
      <c r="Z397" s="79"/>
    </row>
    <row r="398" spans="1:26" ht="15.75" customHeight="1" x14ac:dyDescent="0.25">
      <c r="A398" s="79"/>
      <c r="B398" s="79"/>
      <c r="C398" s="400"/>
      <c r="D398" s="400"/>
      <c r="E398" s="400"/>
      <c r="F398" s="400"/>
      <c r="G398" s="79"/>
      <c r="H398" s="79"/>
      <c r="I398" s="79"/>
      <c r="J398" s="396"/>
      <c r="K398" s="399"/>
      <c r="L398" s="396"/>
      <c r="M398" s="396"/>
      <c r="N398" s="396"/>
      <c r="O398" s="396"/>
      <c r="P398" s="396"/>
      <c r="Q398" s="396"/>
      <c r="R398" s="396"/>
      <c r="S398" s="79"/>
      <c r="T398" s="79"/>
      <c r="U398" s="79"/>
      <c r="V398" s="79"/>
      <c r="W398" s="79"/>
      <c r="X398" s="79"/>
      <c r="Y398" s="79"/>
      <c r="Z398" s="79"/>
    </row>
    <row r="399" spans="1:26" ht="15.75" customHeight="1" x14ac:dyDescent="0.25">
      <c r="A399" s="79"/>
      <c r="B399" s="79"/>
      <c r="C399" s="400"/>
      <c r="D399" s="400"/>
      <c r="E399" s="400"/>
      <c r="F399" s="400"/>
      <c r="G399" s="79"/>
      <c r="H399" s="79"/>
      <c r="I399" s="79"/>
      <c r="J399" s="396"/>
      <c r="K399" s="399"/>
      <c r="L399" s="396"/>
      <c r="M399" s="396"/>
      <c r="N399" s="396"/>
      <c r="O399" s="396"/>
      <c r="P399" s="396"/>
      <c r="Q399" s="396"/>
      <c r="R399" s="396"/>
      <c r="S399" s="79"/>
      <c r="T399" s="79"/>
      <c r="U399" s="79"/>
      <c r="V399" s="79"/>
      <c r="W399" s="79"/>
      <c r="X399" s="79"/>
      <c r="Y399" s="79"/>
      <c r="Z399" s="79"/>
    </row>
    <row r="400" spans="1:26" ht="15.75" customHeight="1" x14ac:dyDescent="0.25">
      <c r="A400" s="79"/>
      <c r="B400" s="79"/>
      <c r="C400" s="400"/>
      <c r="D400" s="400"/>
      <c r="E400" s="400"/>
      <c r="F400" s="400"/>
      <c r="G400" s="79"/>
      <c r="H400" s="79"/>
      <c r="I400" s="79"/>
      <c r="J400" s="396"/>
      <c r="K400" s="399"/>
      <c r="L400" s="396"/>
      <c r="M400" s="396"/>
      <c r="N400" s="396"/>
      <c r="O400" s="396"/>
      <c r="P400" s="396"/>
      <c r="Q400" s="396"/>
      <c r="R400" s="396"/>
      <c r="S400" s="79"/>
      <c r="T400" s="79"/>
      <c r="U400" s="79"/>
      <c r="V400" s="79"/>
      <c r="W400" s="79"/>
      <c r="X400" s="79"/>
      <c r="Y400" s="79"/>
      <c r="Z400" s="79"/>
    </row>
    <row r="401" spans="1:26" ht="15.75" customHeight="1" x14ac:dyDescent="0.25">
      <c r="A401" s="79"/>
      <c r="B401" s="79"/>
      <c r="C401" s="400"/>
      <c r="D401" s="400"/>
      <c r="E401" s="400"/>
      <c r="F401" s="400"/>
      <c r="G401" s="79"/>
      <c r="H401" s="79"/>
      <c r="I401" s="79"/>
      <c r="J401" s="396"/>
      <c r="K401" s="399"/>
      <c r="L401" s="396"/>
      <c r="M401" s="396"/>
      <c r="N401" s="396"/>
      <c r="O401" s="396"/>
      <c r="P401" s="396"/>
      <c r="Q401" s="396"/>
      <c r="R401" s="396"/>
      <c r="S401" s="79"/>
      <c r="T401" s="79"/>
      <c r="U401" s="79"/>
      <c r="V401" s="79"/>
      <c r="W401" s="79"/>
      <c r="X401" s="79"/>
      <c r="Y401" s="79"/>
      <c r="Z401" s="79"/>
    </row>
    <row r="402" spans="1:26" ht="15.75" customHeight="1" x14ac:dyDescent="0.25">
      <c r="A402" s="79"/>
      <c r="B402" s="79"/>
      <c r="C402" s="400"/>
      <c r="D402" s="400"/>
      <c r="E402" s="400"/>
      <c r="F402" s="400"/>
      <c r="G402" s="79"/>
      <c r="H402" s="79"/>
      <c r="I402" s="79"/>
      <c r="J402" s="396"/>
      <c r="K402" s="399"/>
      <c r="L402" s="396"/>
      <c r="M402" s="396"/>
      <c r="N402" s="396"/>
      <c r="O402" s="396"/>
      <c r="P402" s="396"/>
      <c r="Q402" s="396"/>
      <c r="R402" s="396"/>
      <c r="S402" s="79"/>
      <c r="T402" s="79"/>
      <c r="U402" s="79"/>
      <c r="V402" s="79"/>
      <c r="W402" s="79"/>
      <c r="X402" s="79"/>
      <c r="Y402" s="79"/>
      <c r="Z402" s="79"/>
    </row>
    <row r="403" spans="1:26" ht="15.75" customHeight="1" x14ac:dyDescent="0.25">
      <c r="A403" s="79"/>
      <c r="B403" s="79"/>
      <c r="C403" s="400"/>
      <c r="D403" s="400"/>
      <c r="E403" s="400"/>
      <c r="F403" s="400"/>
      <c r="G403" s="79"/>
      <c r="H403" s="79"/>
      <c r="I403" s="79"/>
      <c r="J403" s="396"/>
      <c r="K403" s="399"/>
      <c r="L403" s="396"/>
      <c r="M403" s="396"/>
      <c r="N403" s="396"/>
      <c r="O403" s="396"/>
      <c r="P403" s="396"/>
      <c r="Q403" s="396"/>
      <c r="R403" s="396"/>
      <c r="S403" s="79"/>
      <c r="T403" s="79"/>
      <c r="U403" s="79"/>
      <c r="V403" s="79"/>
      <c r="W403" s="79"/>
      <c r="X403" s="79"/>
      <c r="Y403" s="79"/>
      <c r="Z403" s="79"/>
    </row>
    <row r="404" spans="1:26" ht="15.75" customHeight="1" x14ac:dyDescent="0.25">
      <c r="A404" s="79"/>
      <c r="B404" s="79"/>
      <c r="C404" s="400"/>
      <c r="D404" s="400"/>
      <c r="E404" s="400"/>
      <c r="F404" s="400"/>
      <c r="G404" s="79"/>
      <c r="H404" s="79"/>
      <c r="I404" s="79"/>
      <c r="J404" s="396"/>
      <c r="K404" s="399"/>
      <c r="L404" s="396"/>
      <c r="M404" s="396"/>
      <c r="N404" s="396"/>
      <c r="O404" s="396"/>
      <c r="P404" s="396"/>
      <c r="Q404" s="396"/>
      <c r="R404" s="396"/>
      <c r="S404" s="79"/>
      <c r="T404" s="79"/>
      <c r="U404" s="79"/>
      <c r="V404" s="79"/>
      <c r="W404" s="79"/>
      <c r="X404" s="79"/>
      <c r="Y404" s="79"/>
      <c r="Z404" s="79"/>
    </row>
    <row r="405" spans="1:26" ht="15.75" customHeight="1" x14ac:dyDescent="0.25">
      <c r="A405" s="79"/>
      <c r="B405" s="79"/>
      <c r="C405" s="400"/>
      <c r="D405" s="400"/>
      <c r="E405" s="400"/>
      <c r="F405" s="400"/>
      <c r="G405" s="79"/>
      <c r="H405" s="79"/>
      <c r="I405" s="79"/>
      <c r="J405" s="396"/>
      <c r="K405" s="399"/>
      <c r="L405" s="396"/>
      <c r="M405" s="396"/>
      <c r="N405" s="396"/>
      <c r="O405" s="396"/>
      <c r="P405" s="396"/>
      <c r="Q405" s="396"/>
      <c r="R405" s="396"/>
      <c r="S405" s="79"/>
      <c r="T405" s="79"/>
      <c r="U405" s="79"/>
      <c r="V405" s="79"/>
      <c r="W405" s="79"/>
      <c r="X405" s="79"/>
      <c r="Y405" s="79"/>
      <c r="Z405" s="79"/>
    </row>
    <row r="406" spans="1:26" ht="15.75" customHeight="1" x14ac:dyDescent="0.25">
      <c r="A406" s="79"/>
      <c r="B406" s="79"/>
      <c r="C406" s="400"/>
      <c r="D406" s="400"/>
      <c r="E406" s="400"/>
      <c r="F406" s="400"/>
      <c r="G406" s="79"/>
      <c r="H406" s="79"/>
      <c r="I406" s="79"/>
      <c r="J406" s="396"/>
      <c r="K406" s="399"/>
      <c r="L406" s="396"/>
      <c r="M406" s="396"/>
      <c r="N406" s="396"/>
      <c r="O406" s="396"/>
      <c r="P406" s="396"/>
      <c r="Q406" s="396"/>
      <c r="R406" s="396"/>
      <c r="S406" s="79"/>
      <c r="T406" s="79"/>
      <c r="U406" s="79"/>
      <c r="V406" s="79"/>
      <c r="W406" s="79"/>
      <c r="X406" s="79"/>
      <c r="Y406" s="79"/>
      <c r="Z406" s="79"/>
    </row>
    <row r="407" spans="1:26" ht="15.75" customHeight="1" x14ac:dyDescent="0.25">
      <c r="A407" s="79"/>
      <c r="B407" s="79"/>
      <c r="C407" s="400"/>
      <c r="D407" s="400"/>
      <c r="E407" s="400"/>
      <c r="F407" s="400"/>
      <c r="G407" s="79"/>
      <c r="H407" s="79"/>
      <c r="I407" s="79"/>
      <c r="J407" s="396"/>
      <c r="K407" s="399"/>
      <c r="L407" s="396"/>
      <c r="M407" s="396"/>
      <c r="N407" s="396"/>
      <c r="O407" s="396"/>
      <c r="P407" s="396"/>
      <c r="Q407" s="396"/>
      <c r="R407" s="396"/>
      <c r="S407" s="79"/>
      <c r="T407" s="79"/>
      <c r="U407" s="79"/>
      <c r="V407" s="79"/>
      <c r="W407" s="79"/>
      <c r="X407" s="79"/>
      <c r="Y407" s="79"/>
      <c r="Z407" s="79"/>
    </row>
    <row r="408" spans="1:26" ht="15.75" customHeight="1" x14ac:dyDescent="0.25">
      <c r="A408" s="79"/>
      <c r="B408" s="79"/>
      <c r="C408" s="400"/>
      <c r="D408" s="400"/>
      <c r="E408" s="400"/>
      <c r="F408" s="400"/>
      <c r="G408" s="79"/>
      <c r="H408" s="79"/>
      <c r="I408" s="79"/>
      <c r="J408" s="396"/>
      <c r="K408" s="399"/>
      <c r="L408" s="396"/>
      <c r="M408" s="396"/>
      <c r="N408" s="396"/>
      <c r="O408" s="396"/>
      <c r="P408" s="396"/>
      <c r="Q408" s="396"/>
      <c r="R408" s="396"/>
      <c r="S408" s="79"/>
      <c r="T408" s="79"/>
      <c r="U408" s="79"/>
      <c r="V408" s="79"/>
      <c r="W408" s="79"/>
      <c r="X408" s="79"/>
      <c r="Y408" s="79"/>
      <c r="Z408" s="79"/>
    </row>
    <row r="409" spans="1:26" ht="15.75" customHeight="1" x14ac:dyDescent="0.25">
      <c r="A409" s="79"/>
      <c r="B409" s="79"/>
      <c r="C409" s="400"/>
      <c r="D409" s="400"/>
      <c r="E409" s="400"/>
      <c r="F409" s="400"/>
      <c r="G409" s="79"/>
      <c r="H409" s="79"/>
      <c r="I409" s="79"/>
      <c r="J409" s="396"/>
      <c r="K409" s="399"/>
      <c r="L409" s="396"/>
      <c r="M409" s="396"/>
      <c r="N409" s="396"/>
      <c r="O409" s="396"/>
      <c r="P409" s="396"/>
      <c r="Q409" s="396"/>
      <c r="R409" s="396"/>
      <c r="S409" s="79"/>
      <c r="T409" s="79"/>
      <c r="U409" s="79"/>
      <c r="V409" s="79"/>
      <c r="W409" s="79"/>
      <c r="X409" s="79"/>
      <c r="Y409" s="79"/>
      <c r="Z409" s="79"/>
    </row>
    <row r="410" spans="1:26" ht="15.75" customHeight="1" x14ac:dyDescent="0.25">
      <c r="A410" s="79"/>
      <c r="B410" s="79"/>
      <c r="C410" s="400"/>
      <c r="D410" s="400"/>
      <c r="E410" s="400"/>
      <c r="F410" s="400"/>
      <c r="G410" s="79"/>
      <c r="H410" s="79"/>
      <c r="I410" s="79"/>
      <c r="J410" s="396"/>
      <c r="K410" s="399"/>
      <c r="L410" s="396"/>
      <c r="M410" s="396"/>
      <c r="N410" s="396"/>
      <c r="O410" s="396"/>
      <c r="P410" s="396"/>
      <c r="Q410" s="396"/>
      <c r="R410" s="396"/>
      <c r="S410" s="79"/>
      <c r="T410" s="79"/>
      <c r="U410" s="79"/>
      <c r="V410" s="79"/>
      <c r="W410" s="79"/>
      <c r="X410" s="79"/>
      <c r="Y410" s="79"/>
      <c r="Z410" s="79"/>
    </row>
    <row r="411" spans="1:26" ht="15.75" customHeight="1" x14ac:dyDescent="0.25">
      <c r="A411" s="79"/>
      <c r="B411" s="79"/>
      <c r="C411" s="400"/>
      <c r="D411" s="400"/>
      <c r="E411" s="400"/>
      <c r="F411" s="400"/>
      <c r="G411" s="79"/>
      <c r="H411" s="79"/>
      <c r="I411" s="79"/>
      <c r="J411" s="396"/>
      <c r="K411" s="399"/>
      <c r="L411" s="396"/>
      <c r="M411" s="396"/>
      <c r="N411" s="396"/>
      <c r="O411" s="396"/>
      <c r="P411" s="396"/>
      <c r="Q411" s="396"/>
      <c r="R411" s="396"/>
      <c r="S411" s="79"/>
      <c r="T411" s="79"/>
      <c r="U411" s="79"/>
      <c r="V411" s="79"/>
      <c r="W411" s="79"/>
      <c r="X411" s="79"/>
      <c r="Y411" s="79"/>
      <c r="Z411" s="79"/>
    </row>
    <row r="412" spans="1:26" ht="15.75" customHeight="1" x14ac:dyDescent="0.25">
      <c r="A412" s="79"/>
      <c r="B412" s="79"/>
      <c r="C412" s="400"/>
      <c r="D412" s="400"/>
      <c r="E412" s="400"/>
      <c r="F412" s="400"/>
      <c r="G412" s="79"/>
      <c r="H412" s="79"/>
      <c r="I412" s="79"/>
      <c r="J412" s="396"/>
      <c r="K412" s="399"/>
      <c r="L412" s="396"/>
      <c r="M412" s="396"/>
      <c r="N412" s="396"/>
      <c r="O412" s="396"/>
      <c r="P412" s="396"/>
      <c r="Q412" s="396"/>
      <c r="R412" s="396"/>
      <c r="S412" s="79"/>
      <c r="T412" s="79"/>
      <c r="U412" s="79"/>
      <c r="V412" s="79"/>
      <c r="W412" s="79"/>
      <c r="X412" s="79"/>
      <c r="Y412" s="79"/>
      <c r="Z412" s="79"/>
    </row>
    <row r="413" spans="1:26" ht="15.75" customHeight="1" x14ac:dyDescent="0.25">
      <c r="A413" s="79"/>
      <c r="B413" s="79"/>
      <c r="C413" s="400"/>
      <c r="D413" s="400"/>
      <c r="E413" s="400"/>
      <c r="F413" s="400"/>
      <c r="G413" s="79"/>
      <c r="H413" s="79"/>
      <c r="I413" s="79"/>
      <c r="J413" s="396"/>
      <c r="K413" s="399"/>
      <c r="L413" s="396"/>
      <c r="M413" s="396"/>
      <c r="N413" s="396"/>
      <c r="O413" s="396"/>
      <c r="P413" s="396"/>
      <c r="Q413" s="396"/>
      <c r="R413" s="396"/>
      <c r="S413" s="79"/>
      <c r="T413" s="79"/>
      <c r="U413" s="79"/>
      <c r="V413" s="79"/>
      <c r="W413" s="79"/>
      <c r="X413" s="79"/>
      <c r="Y413" s="79"/>
      <c r="Z413" s="79"/>
    </row>
    <row r="414" spans="1:26" ht="15.75" customHeight="1" x14ac:dyDescent="0.25">
      <c r="A414" s="79"/>
      <c r="B414" s="79"/>
      <c r="C414" s="400"/>
      <c r="D414" s="400"/>
      <c r="E414" s="400"/>
      <c r="F414" s="400"/>
      <c r="G414" s="79"/>
      <c r="H414" s="79"/>
      <c r="I414" s="79"/>
      <c r="J414" s="396"/>
      <c r="K414" s="399"/>
      <c r="L414" s="396"/>
      <c r="M414" s="396"/>
      <c r="N414" s="396"/>
      <c r="O414" s="396"/>
      <c r="P414" s="396"/>
      <c r="Q414" s="396"/>
      <c r="R414" s="396"/>
      <c r="S414" s="79"/>
      <c r="T414" s="79"/>
      <c r="U414" s="79"/>
      <c r="V414" s="79"/>
      <c r="W414" s="79"/>
      <c r="X414" s="79"/>
      <c r="Y414" s="79"/>
      <c r="Z414" s="79"/>
    </row>
    <row r="415" spans="1:26" ht="15.75" customHeight="1" x14ac:dyDescent="0.25">
      <c r="A415" s="79"/>
      <c r="B415" s="79"/>
      <c r="C415" s="400"/>
      <c r="D415" s="400"/>
      <c r="E415" s="400"/>
      <c r="F415" s="400"/>
      <c r="G415" s="79"/>
      <c r="H415" s="79"/>
      <c r="I415" s="79"/>
      <c r="J415" s="396"/>
      <c r="K415" s="399"/>
      <c r="L415" s="396"/>
      <c r="M415" s="396"/>
      <c r="N415" s="396"/>
      <c r="O415" s="396"/>
      <c r="P415" s="396"/>
      <c r="Q415" s="396"/>
      <c r="R415" s="396"/>
      <c r="S415" s="79"/>
      <c r="T415" s="79"/>
      <c r="U415" s="79"/>
      <c r="V415" s="79"/>
      <c r="W415" s="79"/>
      <c r="X415" s="79"/>
      <c r="Y415" s="79"/>
      <c r="Z415" s="79"/>
    </row>
    <row r="416" spans="1:26" ht="15.75" customHeight="1" x14ac:dyDescent="0.25">
      <c r="A416" s="79"/>
      <c r="B416" s="79"/>
      <c r="C416" s="400"/>
      <c r="D416" s="400"/>
      <c r="E416" s="400"/>
      <c r="F416" s="400"/>
      <c r="G416" s="79"/>
      <c r="H416" s="79"/>
      <c r="I416" s="79"/>
      <c r="J416" s="396"/>
      <c r="K416" s="399"/>
      <c r="L416" s="396"/>
      <c r="M416" s="396"/>
      <c r="N416" s="396"/>
      <c r="O416" s="396"/>
      <c r="P416" s="396"/>
      <c r="Q416" s="396"/>
      <c r="R416" s="396"/>
      <c r="S416" s="79"/>
      <c r="T416" s="79"/>
      <c r="U416" s="79"/>
      <c r="V416" s="79"/>
      <c r="W416" s="79"/>
      <c r="X416" s="79"/>
      <c r="Y416" s="79"/>
      <c r="Z416" s="79"/>
    </row>
    <row r="417" spans="1:26" ht="15.75" customHeight="1" x14ac:dyDescent="0.25">
      <c r="A417" s="79"/>
      <c r="B417" s="79"/>
      <c r="C417" s="400"/>
      <c r="D417" s="400"/>
      <c r="E417" s="400"/>
      <c r="F417" s="400"/>
      <c r="G417" s="79"/>
      <c r="H417" s="79"/>
      <c r="I417" s="79"/>
      <c r="J417" s="396"/>
      <c r="K417" s="399"/>
      <c r="L417" s="396"/>
      <c r="M417" s="396"/>
      <c r="N417" s="396"/>
      <c r="O417" s="396"/>
      <c r="P417" s="396"/>
      <c r="Q417" s="396"/>
      <c r="R417" s="396"/>
      <c r="S417" s="79"/>
      <c r="T417" s="79"/>
      <c r="U417" s="79"/>
      <c r="V417" s="79"/>
      <c r="W417" s="79"/>
      <c r="X417" s="79"/>
      <c r="Y417" s="79"/>
      <c r="Z417" s="79"/>
    </row>
    <row r="418" spans="1:26" ht="15.75" customHeight="1" x14ac:dyDescent="0.25">
      <c r="A418" s="79"/>
      <c r="B418" s="79"/>
      <c r="C418" s="400"/>
      <c r="D418" s="400"/>
      <c r="E418" s="400"/>
      <c r="F418" s="400"/>
      <c r="G418" s="79"/>
      <c r="H418" s="79"/>
      <c r="I418" s="79"/>
      <c r="J418" s="396"/>
      <c r="K418" s="399"/>
      <c r="L418" s="396"/>
      <c r="M418" s="396"/>
      <c r="N418" s="396"/>
      <c r="O418" s="396"/>
      <c r="P418" s="396"/>
      <c r="Q418" s="396"/>
      <c r="R418" s="396"/>
      <c r="S418" s="79"/>
      <c r="T418" s="79"/>
      <c r="U418" s="79"/>
      <c r="V418" s="79"/>
      <c r="W418" s="79"/>
      <c r="X418" s="79"/>
      <c r="Y418" s="79"/>
      <c r="Z418" s="79"/>
    </row>
    <row r="419" spans="1:26" ht="15.75" customHeight="1" x14ac:dyDescent="0.25">
      <c r="A419" s="79"/>
      <c r="B419" s="79"/>
      <c r="C419" s="400"/>
      <c r="D419" s="400"/>
      <c r="E419" s="400"/>
      <c r="F419" s="400"/>
      <c r="G419" s="79"/>
      <c r="H419" s="79"/>
      <c r="I419" s="79"/>
      <c r="J419" s="396"/>
      <c r="K419" s="399"/>
      <c r="L419" s="396"/>
      <c r="M419" s="396"/>
      <c r="N419" s="396"/>
      <c r="O419" s="396"/>
      <c r="P419" s="396"/>
      <c r="Q419" s="396"/>
      <c r="R419" s="396"/>
      <c r="S419" s="79"/>
      <c r="T419" s="79"/>
      <c r="U419" s="79"/>
      <c r="V419" s="79"/>
      <c r="W419" s="79"/>
      <c r="X419" s="79"/>
      <c r="Y419" s="79"/>
      <c r="Z419" s="79"/>
    </row>
    <row r="420" spans="1:26" ht="15.75" customHeight="1" x14ac:dyDescent="0.25">
      <c r="A420" s="79"/>
      <c r="B420" s="79"/>
      <c r="C420" s="400"/>
      <c r="D420" s="400"/>
      <c r="E420" s="400"/>
      <c r="F420" s="400"/>
      <c r="G420" s="79"/>
      <c r="H420" s="79"/>
      <c r="I420" s="79"/>
      <c r="J420" s="396"/>
      <c r="K420" s="399"/>
      <c r="L420" s="396"/>
      <c r="M420" s="396"/>
      <c r="N420" s="396"/>
      <c r="O420" s="396"/>
      <c r="P420" s="396"/>
      <c r="Q420" s="396"/>
      <c r="R420" s="396"/>
      <c r="S420" s="79"/>
      <c r="T420" s="79"/>
      <c r="U420" s="79"/>
      <c r="V420" s="79"/>
      <c r="W420" s="79"/>
      <c r="X420" s="79"/>
      <c r="Y420" s="79"/>
      <c r="Z420" s="79"/>
    </row>
    <row r="421" spans="1:26" ht="15.75" customHeight="1" x14ac:dyDescent="0.25">
      <c r="A421" s="79"/>
      <c r="B421" s="79"/>
      <c r="C421" s="400"/>
      <c r="D421" s="400"/>
      <c r="E421" s="400"/>
      <c r="F421" s="400"/>
      <c r="G421" s="79"/>
      <c r="H421" s="79"/>
      <c r="I421" s="79"/>
      <c r="J421" s="396"/>
      <c r="K421" s="399"/>
      <c r="L421" s="396"/>
      <c r="M421" s="396"/>
      <c r="N421" s="396"/>
      <c r="O421" s="396"/>
      <c r="P421" s="396"/>
      <c r="Q421" s="396"/>
      <c r="R421" s="396"/>
      <c r="S421" s="79"/>
      <c r="T421" s="79"/>
      <c r="U421" s="79"/>
      <c r="V421" s="79"/>
      <c r="W421" s="79"/>
      <c r="X421" s="79"/>
      <c r="Y421" s="79"/>
      <c r="Z421" s="79"/>
    </row>
    <row r="422" spans="1:26" ht="15.75" customHeight="1" x14ac:dyDescent="0.25">
      <c r="A422" s="79"/>
      <c r="B422" s="79"/>
      <c r="C422" s="400"/>
      <c r="D422" s="400"/>
      <c r="E422" s="400"/>
      <c r="F422" s="400"/>
      <c r="G422" s="79"/>
      <c r="H422" s="79"/>
      <c r="I422" s="79"/>
      <c r="J422" s="396"/>
      <c r="K422" s="399"/>
      <c r="L422" s="396"/>
      <c r="M422" s="396"/>
      <c r="N422" s="396"/>
      <c r="O422" s="396"/>
      <c r="P422" s="396"/>
      <c r="Q422" s="396"/>
      <c r="R422" s="396"/>
      <c r="S422" s="79"/>
      <c r="T422" s="79"/>
      <c r="U422" s="79"/>
      <c r="V422" s="79"/>
      <c r="W422" s="79"/>
      <c r="X422" s="79"/>
      <c r="Y422" s="79"/>
      <c r="Z422" s="79"/>
    </row>
    <row r="423" spans="1:26" ht="15.75" customHeight="1" x14ac:dyDescent="0.25">
      <c r="A423" s="79"/>
      <c r="B423" s="79"/>
      <c r="C423" s="400"/>
      <c r="D423" s="400"/>
      <c r="E423" s="400"/>
      <c r="F423" s="400"/>
      <c r="G423" s="79"/>
      <c r="H423" s="79"/>
      <c r="I423" s="79"/>
      <c r="J423" s="396"/>
      <c r="K423" s="399"/>
      <c r="L423" s="396"/>
      <c r="M423" s="396"/>
      <c r="N423" s="396"/>
      <c r="O423" s="396"/>
      <c r="P423" s="396"/>
      <c r="Q423" s="396"/>
      <c r="R423" s="396"/>
      <c r="S423" s="79"/>
      <c r="T423" s="79"/>
      <c r="U423" s="79"/>
      <c r="V423" s="79"/>
      <c r="W423" s="79"/>
      <c r="X423" s="79"/>
      <c r="Y423" s="79"/>
      <c r="Z423" s="79"/>
    </row>
    <row r="424" spans="1:26" ht="15.75" customHeight="1" x14ac:dyDescent="0.25">
      <c r="A424" s="79"/>
      <c r="B424" s="79"/>
      <c r="C424" s="400"/>
      <c r="D424" s="400"/>
      <c r="E424" s="400"/>
      <c r="F424" s="400"/>
      <c r="G424" s="79"/>
      <c r="H424" s="79"/>
      <c r="I424" s="79"/>
      <c r="J424" s="396"/>
      <c r="K424" s="399"/>
      <c r="L424" s="396"/>
      <c r="M424" s="396"/>
      <c r="N424" s="396"/>
      <c r="O424" s="396"/>
      <c r="P424" s="396"/>
      <c r="Q424" s="396"/>
      <c r="R424" s="396"/>
      <c r="S424" s="79"/>
      <c r="T424" s="79"/>
      <c r="U424" s="79"/>
      <c r="V424" s="79"/>
      <c r="W424" s="79"/>
      <c r="X424" s="79"/>
      <c r="Y424" s="79"/>
      <c r="Z424" s="79"/>
    </row>
    <row r="425" spans="1:26" ht="15.75" customHeight="1" x14ac:dyDescent="0.25">
      <c r="A425" s="79"/>
      <c r="B425" s="79"/>
      <c r="C425" s="400"/>
      <c r="D425" s="400"/>
      <c r="E425" s="400"/>
      <c r="F425" s="400"/>
      <c r="G425" s="79"/>
      <c r="H425" s="79"/>
      <c r="I425" s="79"/>
      <c r="J425" s="396"/>
      <c r="K425" s="399"/>
      <c r="L425" s="396"/>
      <c r="M425" s="396"/>
      <c r="N425" s="396"/>
      <c r="O425" s="396"/>
      <c r="P425" s="396"/>
      <c r="Q425" s="396"/>
      <c r="R425" s="396"/>
      <c r="S425" s="79"/>
      <c r="T425" s="79"/>
      <c r="U425" s="79"/>
      <c r="V425" s="79"/>
      <c r="W425" s="79"/>
      <c r="X425" s="79"/>
      <c r="Y425" s="79"/>
      <c r="Z425" s="79"/>
    </row>
    <row r="426" spans="1:26" ht="15.75" customHeight="1" x14ac:dyDescent="0.25">
      <c r="A426" s="79"/>
      <c r="B426" s="79"/>
      <c r="C426" s="400"/>
      <c r="D426" s="400"/>
      <c r="E426" s="400"/>
      <c r="F426" s="400"/>
      <c r="G426" s="79"/>
      <c r="H426" s="79"/>
      <c r="I426" s="79"/>
      <c r="J426" s="396"/>
      <c r="K426" s="399"/>
      <c r="L426" s="396"/>
      <c r="M426" s="396"/>
      <c r="N426" s="396"/>
      <c r="O426" s="396"/>
      <c r="P426" s="396"/>
      <c r="Q426" s="396"/>
      <c r="R426" s="396"/>
      <c r="S426" s="79"/>
      <c r="T426" s="79"/>
      <c r="U426" s="79"/>
      <c r="V426" s="79"/>
      <c r="W426" s="79"/>
      <c r="X426" s="79"/>
      <c r="Y426" s="79"/>
      <c r="Z426" s="79"/>
    </row>
    <row r="427" spans="1:26" ht="15.75" customHeight="1" x14ac:dyDescent="0.25">
      <c r="A427" s="79"/>
      <c r="B427" s="79"/>
      <c r="C427" s="400"/>
      <c r="D427" s="400"/>
      <c r="E427" s="400"/>
      <c r="F427" s="400"/>
      <c r="G427" s="79"/>
      <c r="H427" s="79"/>
      <c r="I427" s="79"/>
      <c r="J427" s="396"/>
      <c r="K427" s="399"/>
      <c r="L427" s="396"/>
      <c r="M427" s="396"/>
      <c r="N427" s="396"/>
      <c r="O427" s="396"/>
      <c r="P427" s="396"/>
      <c r="Q427" s="396"/>
      <c r="R427" s="396"/>
      <c r="S427" s="79"/>
      <c r="T427" s="79"/>
      <c r="U427" s="79"/>
      <c r="V427" s="79"/>
      <c r="W427" s="79"/>
      <c r="X427" s="79"/>
      <c r="Y427" s="79"/>
      <c r="Z427" s="79"/>
    </row>
    <row r="428" spans="1:26" ht="15.75" customHeight="1" x14ac:dyDescent="0.25">
      <c r="A428" s="79"/>
      <c r="B428" s="79"/>
      <c r="C428" s="400"/>
      <c r="D428" s="400"/>
      <c r="E428" s="400"/>
      <c r="F428" s="400"/>
      <c r="G428" s="79"/>
      <c r="H428" s="79"/>
      <c r="I428" s="79"/>
      <c r="J428" s="396"/>
      <c r="K428" s="399"/>
      <c r="L428" s="396"/>
      <c r="M428" s="396"/>
      <c r="N428" s="396"/>
      <c r="O428" s="396"/>
      <c r="P428" s="396"/>
      <c r="Q428" s="396"/>
      <c r="R428" s="396"/>
      <c r="S428" s="79"/>
      <c r="T428" s="79"/>
      <c r="U428" s="79"/>
      <c r="V428" s="79"/>
      <c r="W428" s="79"/>
      <c r="X428" s="79"/>
      <c r="Y428" s="79"/>
      <c r="Z428" s="79"/>
    </row>
    <row r="429" spans="1:26" ht="15.75" customHeight="1" x14ac:dyDescent="0.25">
      <c r="A429" s="79"/>
      <c r="B429" s="79"/>
      <c r="C429" s="400"/>
      <c r="D429" s="400"/>
      <c r="E429" s="400"/>
      <c r="F429" s="400"/>
      <c r="G429" s="79"/>
      <c r="H429" s="79"/>
      <c r="I429" s="79"/>
      <c r="J429" s="396"/>
      <c r="K429" s="399"/>
      <c r="L429" s="396"/>
      <c r="M429" s="396"/>
      <c r="N429" s="396"/>
      <c r="O429" s="396"/>
      <c r="P429" s="396"/>
      <c r="Q429" s="396"/>
      <c r="R429" s="396"/>
      <c r="S429" s="79"/>
      <c r="T429" s="79"/>
      <c r="U429" s="79"/>
      <c r="V429" s="79"/>
      <c r="W429" s="79"/>
      <c r="X429" s="79"/>
      <c r="Y429" s="79"/>
      <c r="Z429" s="79"/>
    </row>
    <row r="430" spans="1:26" ht="15.75" customHeight="1" x14ac:dyDescent="0.25">
      <c r="A430" s="79"/>
      <c r="B430" s="79"/>
      <c r="C430" s="400"/>
      <c r="D430" s="400"/>
      <c r="E430" s="400"/>
      <c r="F430" s="400"/>
      <c r="G430" s="79"/>
      <c r="H430" s="79"/>
      <c r="I430" s="79"/>
      <c r="J430" s="396"/>
      <c r="K430" s="399"/>
      <c r="L430" s="396"/>
      <c r="M430" s="396"/>
      <c r="N430" s="396"/>
      <c r="O430" s="396"/>
      <c r="P430" s="396"/>
      <c r="Q430" s="396"/>
      <c r="R430" s="396"/>
      <c r="S430" s="79"/>
      <c r="T430" s="79"/>
      <c r="U430" s="79"/>
      <c r="V430" s="79"/>
      <c r="W430" s="79"/>
      <c r="X430" s="79"/>
      <c r="Y430" s="79"/>
      <c r="Z430" s="79"/>
    </row>
    <row r="431" spans="1:26" ht="15.75" customHeight="1" x14ac:dyDescent="0.25">
      <c r="A431" s="79"/>
      <c r="B431" s="79"/>
      <c r="C431" s="400"/>
      <c r="D431" s="400"/>
      <c r="E431" s="400"/>
      <c r="F431" s="400"/>
      <c r="G431" s="79"/>
      <c r="H431" s="79"/>
      <c r="I431" s="79"/>
      <c r="J431" s="396"/>
      <c r="K431" s="399"/>
      <c r="L431" s="396"/>
      <c r="M431" s="396"/>
      <c r="N431" s="396"/>
      <c r="O431" s="396"/>
      <c r="P431" s="396"/>
      <c r="Q431" s="396"/>
      <c r="R431" s="396"/>
      <c r="S431" s="79"/>
      <c r="T431" s="79"/>
      <c r="U431" s="79"/>
      <c r="V431" s="79"/>
      <c r="W431" s="79"/>
      <c r="X431" s="79"/>
      <c r="Y431" s="79"/>
      <c r="Z431" s="79"/>
    </row>
    <row r="432" spans="1:26" ht="15.75" customHeight="1" x14ac:dyDescent="0.25">
      <c r="A432" s="79"/>
      <c r="B432" s="79"/>
      <c r="C432" s="400"/>
      <c r="D432" s="400"/>
      <c r="E432" s="400"/>
      <c r="F432" s="400"/>
      <c r="G432" s="79"/>
      <c r="H432" s="79"/>
      <c r="I432" s="79"/>
      <c r="J432" s="396"/>
      <c r="K432" s="399"/>
      <c r="L432" s="396"/>
      <c r="M432" s="396"/>
      <c r="N432" s="396"/>
      <c r="O432" s="396"/>
      <c r="P432" s="396"/>
      <c r="Q432" s="396"/>
      <c r="R432" s="396"/>
      <c r="S432" s="79"/>
      <c r="T432" s="79"/>
      <c r="U432" s="79"/>
      <c r="V432" s="79"/>
      <c r="W432" s="79"/>
      <c r="X432" s="79"/>
      <c r="Y432" s="79"/>
      <c r="Z432" s="79"/>
    </row>
    <row r="433" spans="1:26" ht="15.75" customHeight="1" x14ac:dyDescent="0.25">
      <c r="A433" s="79"/>
      <c r="B433" s="79"/>
      <c r="C433" s="400"/>
      <c r="D433" s="400"/>
      <c r="E433" s="400"/>
      <c r="F433" s="400"/>
      <c r="G433" s="79"/>
      <c r="H433" s="79"/>
      <c r="I433" s="79"/>
      <c r="J433" s="396"/>
      <c r="K433" s="399"/>
      <c r="L433" s="396"/>
      <c r="M433" s="396"/>
      <c r="N433" s="396"/>
      <c r="O433" s="396"/>
      <c r="P433" s="396"/>
      <c r="Q433" s="396"/>
      <c r="R433" s="396"/>
      <c r="S433" s="79"/>
      <c r="T433" s="79"/>
      <c r="U433" s="79"/>
      <c r="V433" s="79"/>
      <c r="W433" s="79"/>
      <c r="X433" s="79"/>
      <c r="Y433" s="79"/>
      <c r="Z433" s="79"/>
    </row>
    <row r="434" spans="1:26" ht="15.75" customHeight="1" x14ac:dyDescent="0.25">
      <c r="A434" s="79"/>
      <c r="B434" s="79"/>
      <c r="C434" s="400"/>
      <c r="D434" s="400"/>
      <c r="E434" s="400"/>
      <c r="F434" s="400"/>
      <c r="G434" s="79"/>
      <c r="H434" s="79"/>
      <c r="I434" s="79"/>
      <c r="J434" s="396"/>
      <c r="K434" s="399"/>
      <c r="L434" s="396"/>
      <c r="M434" s="396"/>
      <c r="N434" s="396"/>
      <c r="O434" s="396"/>
      <c r="P434" s="396"/>
      <c r="Q434" s="396"/>
      <c r="R434" s="396"/>
      <c r="S434" s="79"/>
      <c r="T434" s="79"/>
      <c r="U434" s="79"/>
      <c r="V434" s="79"/>
      <c r="W434" s="79"/>
      <c r="X434" s="79"/>
      <c r="Y434" s="79"/>
      <c r="Z434" s="79"/>
    </row>
    <row r="435" spans="1:26" ht="15.75" customHeight="1" x14ac:dyDescent="0.25">
      <c r="A435" s="79"/>
      <c r="B435" s="79"/>
      <c r="C435" s="400"/>
      <c r="D435" s="400"/>
      <c r="E435" s="400"/>
      <c r="F435" s="400"/>
      <c r="G435" s="79"/>
      <c r="H435" s="79"/>
      <c r="I435" s="79"/>
      <c r="J435" s="396"/>
      <c r="K435" s="399"/>
      <c r="L435" s="396"/>
      <c r="M435" s="396"/>
      <c r="N435" s="396"/>
      <c r="O435" s="396"/>
      <c r="P435" s="396"/>
      <c r="Q435" s="396"/>
      <c r="R435" s="396"/>
      <c r="S435" s="79"/>
      <c r="T435" s="79"/>
      <c r="U435" s="79"/>
      <c r="V435" s="79"/>
      <c r="W435" s="79"/>
      <c r="X435" s="79"/>
      <c r="Y435" s="79"/>
      <c r="Z435" s="79"/>
    </row>
    <row r="436" spans="1:26" ht="15.75" customHeight="1" x14ac:dyDescent="0.25">
      <c r="A436" s="79"/>
      <c r="B436" s="79"/>
      <c r="C436" s="400"/>
      <c r="D436" s="400"/>
      <c r="E436" s="400"/>
      <c r="F436" s="400"/>
      <c r="G436" s="79"/>
      <c r="H436" s="79"/>
      <c r="I436" s="79"/>
      <c r="J436" s="396"/>
      <c r="K436" s="399"/>
      <c r="L436" s="396"/>
      <c r="M436" s="396"/>
      <c r="N436" s="396"/>
      <c r="O436" s="396"/>
      <c r="P436" s="396"/>
      <c r="Q436" s="396"/>
      <c r="R436" s="396"/>
      <c r="S436" s="79"/>
      <c r="T436" s="79"/>
      <c r="U436" s="79"/>
      <c r="V436" s="79"/>
      <c r="W436" s="79"/>
      <c r="X436" s="79"/>
      <c r="Y436" s="79"/>
      <c r="Z436" s="79"/>
    </row>
    <row r="437" spans="1:26" ht="15.75" customHeight="1" x14ac:dyDescent="0.25">
      <c r="A437" s="79"/>
      <c r="B437" s="79"/>
      <c r="C437" s="400"/>
      <c r="D437" s="400"/>
      <c r="E437" s="400"/>
      <c r="F437" s="400"/>
      <c r="G437" s="79"/>
      <c r="H437" s="79"/>
      <c r="I437" s="79"/>
      <c r="J437" s="396"/>
      <c r="K437" s="399"/>
      <c r="L437" s="396"/>
      <c r="M437" s="396"/>
      <c r="N437" s="396"/>
      <c r="O437" s="396"/>
      <c r="P437" s="396"/>
      <c r="Q437" s="396"/>
      <c r="R437" s="396"/>
      <c r="S437" s="79"/>
      <c r="T437" s="79"/>
      <c r="U437" s="79"/>
      <c r="V437" s="79"/>
      <c r="W437" s="79"/>
      <c r="X437" s="79"/>
      <c r="Y437" s="79"/>
      <c r="Z437" s="79"/>
    </row>
    <row r="438" spans="1:26" ht="15.75" customHeight="1" x14ac:dyDescent="0.25">
      <c r="A438" s="79"/>
      <c r="B438" s="79"/>
      <c r="C438" s="400"/>
      <c r="D438" s="400"/>
      <c r="E438" s="400"/>
      <c r="F438" s="400"/>
      <c r="G438" s="79"/>
      <c r="H438" s="79"/>
      <c r="I438" s="79"/>
      <c r="J438" s="396"/>
      <c r="K438" s="399"/>
      <c r="L438" s="396"/>
      <c r="M438" s="396"/>
      <c r="N438" s="396"/>
      <c r="O438" s="396"/>
      <c r="P438" s="396"/>
      <c r="Q438" s="396"/>
      <c r="R438" s="396"/>
      <c r="S438" s="79"/>
      <c r="T438" s="79"/>
      <c r="U438" s="79"/>
      <c r="V438" s="79"/>
      <c r="W438" s="79"/>
      <c r="X438" s="79"/>
      <c r="Y438" s="79"/>
      <c r="Z438" s="79"/>
    </row>
    <row r="439" spans="1:26" ht="15.75" customHeight="1" x14ac:dyDescent="0.25">
      <c r="A439" s="79"/>
      <c r="B439" s="79"/>
      <c r="C439" s="400"/>
      <c r="D439" s="400"/>
      <c r="E439" s="400"/>
      <c r="F439" s="400"/>
      <c r="G439" s="79"/>
      <c r="H439" s="79"/>
      <c r="I439" s="79"/>
      <c r="J439" s="396"/>
      <c r="K439" s="399"/>
      <c r="L439" s="396"/>
      <c r="M439" s="396"/>
      <c r="N439" s="396"/>
      <c r="O439" s="396"/>
      <c r="P439" s="396"/>
      <c r="Q439" s="396"/>
      <c r="R439" s="396"/>
      <c r="S439" s="79"/>
      <c r="T439" s="79"/>
      <c r="U439" s="79"/>
      <c r="V439" s="79"/>
      <c r="W439" s="79"/>
      <c r="X439" s="79"/>
      <c r="Y439" s="79"/>
      <c r="Z439" s="79"/>
    </row>
    <row r="440" spans="1:26" ht="15.75" customHeight="1" x14ac:dyDescent="0.25">
      <c r="A440" s="79"/>
      <c r="B440" s="79"/>
      <c r="C440" s="400"/>
      <c r="D440" s="400"/>
      <c r="E440" s="400"/>
      <c r="F440" s="400"/>
      <c r="G440" s="79"/>
      <c r="H440" s="79"/>
      <c r="I440" s="79"/>
      <c r="J440" s="396"/>
      <c r="K440" s="399"/>
      <c r="L440" s="396"/>
      <c r="M440" s="396"/>
      <c r="N440" s="396"/>
      <c r="O440" s="396"/>
      <c r="P440" s="396"/>
      <c r="Q440" s="396"/>
      <c r="R440" s="396"/>
      <c r="S440" s="79"/>
      <c r="T440" s="79"/>
      <c r="U440" s="79"/>
      <c r="V440" s="79"/>
      <c r="W440" s="79"/>
      <c r="X440" s="79"/>
      <c r="Y440" s="79"/>
      <c r="Z440" s="79"/>
    </row>
    <row r="441" spans="1:26" ht="15.75" customHeight="1" x14ac:dyDescent="0.25">
      <c r="A441" s="79"/>
      <c r="B441" s="79"/>
      <c r="C441" s="400"/>
      <c r="D441" s="400"/>
      <c r="E441" s="400"/>
      <c r="F441" s="400"/>
      <c r="G441" s="79"/>
      <c r="H441" s="79"/>
      <c r="I441" s="79"/>
      <c r="J441" s="396"/>
      <c r="K441" s="399"/>
      <c r="L441" s="396"/>
      <c r="M441" s="396"/>
      <c r="N441" s="396"/>
      <c r="O441" s="396"/>
      <c r="P441" s="396"/>
      <c r="Q441" s="396"/>
      <c r="R441" s="396"/>
      <c r="S441" s="79"/>
      <c r="T441" s="79"/>
      <c r="U441" s="79"/>
      <c r="V441" s="79"/>
      <c r="W441" s="79"/>
      <c r="X441" s="79"/>
      <c r="Y441" s="79"/>
      <c r="Z441" s="79"/>
    </row>
    <row r="442" spans="1:26" ht="15.75" customHeight="1" x14ac:dyDescent="0.25">
      <c r="A442" s="79"/>
      <c r="B442" s="79"/>
      <c r="C442" s="400"/>
      <c r="D442" s="400"/>
      <c r="E442" s="400"/>
      <c r="F442" s="400"/>
      <c r="G442" s="79"/>
      <c r="H442" s="79"/>
      <c r="I442" s="79"/>
      <c r="J442" s="396"/>
      <c r="K442" s="399"/>
      <c r="L442" s="396"/>
      <c r="M442" s="396"/>
      <c r="N442" s="396"/>
      <c r="O442" s="396"/>
      <c r="P442" s="396"/>
      <c r="Q442" s="396"/>
      <c r="R442" s="396"/>
      <c r="S442" s="79"/>
      <c r="T442" s="79"/>
      <c r="U442" s="79"/>
      <c r="V442" s="79"/>
      <c r="W442" s="79"/>
      <c r="X442" s="79"/>
      <c r="Y442" s="79"/>
      <c r="Z442" s="79"/>
    </row>
    <row r="443" spans="1:26" ht="15.75" customHeight="1" x14ac:dyDescent="0.25">
      <c r="A443" s="79"/>
      <c r="B443" s="79"/>
      <c r="C443" s="400"/>
      <c r="D443" s="400"/>
      <c r="E443" s="400"/>
      <c r="F443" s="400"/>
      <c r="G443" s="79"/>
      <c r="H443" s="79"/>
      <c r="I443" s="79"/>
      <c r="J443" s="396"/>
      <c r="K443" s="399"/>
      <c r="L443" s="396"/>
      <c r="M443" s="396"/>
      <c r="N443" s="396"/>
      <c r="O443" s="396"/>
      <c r="P443" s="396"/>
      <c r="Q443" s="396"/>
      <c r="R443" s="396"/>
      <c r="S443" s="79"/>
      <c r="T443" s="79"/>
      <c r="U443" s="79"/>
      <c r="V443" s="79"/>
      <c r="W443" s="79"/>
      <c r="X443" s="79"/>
      <c r="Y443" s="79"/>
      <c r="Z443" s="79"/>
    </row>
    <row r="444" spans="1:26" ht="15.75" customHeight="1" x14ac:dyDescent="0.25">
      <c r="A444" s="79"/>
      <c r="B444" s="79"/>
      <c r="C444" s="400"/>
      <c r="D444" s="400"/>
      <c r="E444" s="400"/>
      <c r="F444" s="400"/>
      <c r="G444" s="79"/>
      <c r="H444" s="79"/>
      <c r="I444" s="79"/>
      <c r="J444" s="396"/>
      <c r="K444" s="399"/>
      <c r="L444" s="396"/>
      <c r="M444" s="396"/>
      <c r="N444" s="396"/>
      <c r="O444" s="396"/>
      <c r="P444" s="396"/>
      <c r="Q444" s="396"/>
      <c r="R444" s="396"/>
      <c r="S444" s="79"/>
      <c r="T444" s="79"/>
      <c r="U444" s="79"/>
      <c r="V444" s="79"/>
      <c r="W444" s="79"/>
      <c r="X444" s="79"/>
      <c r="Y444" s="79"/>
      <c r="Z444" s="79"/>
    </row>
    <row r="445" spans="1:26" ht="15.75" customHeight="1" x14ac:dyDescent="0.25">
      <c r="A445" s="79"/>
      <c r="B445" s="79"/>
      <c r="C445" s="400"/>
      <c r="D445" s="400"/>
      <c r="E445" s="400"/>
      <c r="F445" s="400"/>
      <c r="G445" s="79"/>
      <c r="H445" s="79"/>
      <c r="I445" s="79"/>
      <c r="J445" s="396"/>
      <c r="K445" s="399"/>
      <c r="L445" s="396"/>
      <c r="M445" s="396"/>
      <c r="N445" s="396"/>
      <c r="O445" s="396"/>
      <c r="P445" s="396"/>
      <c r="Q445" s="396"/>
      <c r="R445" s="396"/>
      <c r="S445" s="79"/>
      <c r="T445" s="79"/>
      <c r="U445" s="79"/>
      <c r="V445" s="79"/>
      <c r="W445" s="79"/>
      <c r="X445" s="79"/>
      <c r="Y445" s="79"/>
      <c r="Z445" s="79"/>
    </row>
    <row r="446" spans="1:26" ht="15.75" customHeight="1" x14ac:dyDescent="0.25">
      <c r="A446" s="79"/>
      <c r="B446" s="79"/>
      <c r="C446" s="400"/>
      <c r="D446" s="400"/>
      <c r="E446" s="400"/>
      <c r="F446" s="400"/>
      <c r="G446" s="79"/>
      <c r="H446" s="79"/>
      <c r="I446" s="79"/>
      <c r="J446" s="396"/>
      <c r="K446" s="399"/>
      <c r="L446" s="396"/>
      <c r="M446" s="396"/>
      <c r="N446" s="396"/>
      <c r="O446" s="396"/>
      <c r="P446" s="396"/>
      <c r="Q446" s="396"/>
      <c r="R446" s="396"/>
      <c r="S446" s="79"/>
      <c r="T446" s="79"/>
      <c r="U446" s="79"/>
      <c r="V446" s="79"/>
      <c r="W446" s="79"/>
      <c r="X446" s="79"/>
      <c r="Y446" s="79"/>
      <c r="Z446" s="79"/>
    </row>
    <row r="447" spans="1:26" ht="15.75" customHeight="1" x14ac:dyDescent="0.25">
      <c r="A447" s="79"/>
      <c r="B447" s="79"/>
      <c r="C447" s="400"/>
      <c r="D447" s="400"/>
      <c r="E447" s="400"/>
      <c r="F447" s="400"/>
      <c r="G447" s="79"/>
      <c r="H447" s="79"/>
      <c r="I447" s="79"/>
      <c r="J447" s="396"/>
      <c r="K447" s="399"/>
      <c r="L447" s="396"/>
      <c r="M447" s="396"/>
      <c r="N447" s="396"/>
      <c r="O447" s="396"/>
      <c r="P447" s="396"/>
      <c r="Q447" s="396"/>
      <c r="R447" s="396"/>
      <c r="S447" s="79"/>
      <c r="T447" s="79"/>
      <c r="U447" s="79"/>
      <c r="V447" s="79"/>
      <c r="W447" s="79"/>
      <c r="X447" s="79"/>
      <c r="Y447" s="79"/>
      <c r="Z447" s="79"/>
    </row>
    <row r="448" spans="1:26" ht="15.75" customHeight="1" x14ac:dyDescent="0.25">
      <c r="A448" s="79"/>
      <c r="B448" s="79"/>
      <c r="C448" s="400"/>
      <c r="D448" s="400"/>
      <c r="E448" s="400"/>
      <c r="F448" s="400"/>
      <c r="G448" s="79"/>
      <c r="H448" s="79"/>
      <c r="I448" s="79"/>
      <c r="J448" s="396"/>
      <c r="K448" s="399"/>
      <c r="L448" s="396"/>
      <c r="M448" s="396"/>
      <c r="N448" s="396"/>
      <c r="O448" s="396"/>
      <c r="P448" s="396"/>
      <c r="Q448" s="396"/>
      <c r="R448" s="396"/>
      <c r="S448" s="79"/>
      <c r="T448" s="79"/>
      <c r="U448" s="79"/>
      <c r="V448" s="79"/>
      <c r="W448" s="79"/>
      <c r="X448" s="79"/>
      <c r="Y448" s="79"/>
      <c r="Z448" s="79"/>
    </row>
    <row r="449" spans="1:26" ht="15.75" customHeight="1" x14ac:dyDescent="0.25">
      <c r="A449" s="79"/>
      <c r="B449" s="79"/>
      <c r="C449" s="400"/>
      <c r="D449" s="400"/>
      <c r="E449" s="400"/>
      <c r="F449" s="400"/>
      <c r="G449" s="79"/>
      <c r="H449" s="79"/>
      <c r="I449" s="79"/>
      <c r="J449" s="396"/>
      <c r="K449" s="399"/>
      <c r="L449" s="396"/>
      <c r="M449" s="396"/>
      <c r="N449" s="396"/>
      <c r="O449" s="396"/>
      <c r="P449" s="396"/>
      <c r="Q449" s="396"/>
      <c r="R449" s="396"/>
      <c r="S449" s="79"/>
      <c r="T449" s="79"/>
      <c r="U449" s="79"/>
      <c r="V449" s="79"/>
      <c r="W449" s="79"/>
      <c r="X449" s="79"/>
      <c r="Y449" s="79"/>
      <c r="Z449" s="79"/>
    </row>
    <row r="450" spans="1:26" ht="15.75" customHeight="1" x14ac:dyDescent="0.25">
      <c r="A450" s="79"/>
      <c r="B450" s="79"/>
      <c r="C450" s="400"/>
      <c r="D450" s="400"/>
      <c r="E450" s="400"/>
      <c r="F450" s="400"/>
      <c r="G450" s="79"/>
      <c r="H450" s="79"/>
      <c r="I450" s="79"/>
      <c r="J450" s="396"/>
      <c r="K450" s="399"/>
      <c r="L450" s="396"/>
      <c r="M450" s="396"/>
      <c r="N450" s="396"/>
      <c r="O450" s="396"/>
      <c r="P450" s="396"/>
      <c r="Q450" s="396"/>
      <c r="R450" s="396"/>
      <c r="S450" s="79"/>
      <c r="T450" s="79"/>
      <c r="U450" s="79"/>
      <c r="V450" s="79"/>
      <c r="W450" s="79"/>
      <c r="X450" s="79"/>
      <c r="Y450" s="79"/>
      <c r="Z450" s="79"/>
    </row>
    <row r="451" spans="1:26" ht="15.75" customHeight="1" x14ac:dyDescent="0.25">
      <c r="A451" s="79"/>
      <c r="B451" s="79"/>
      <c r="C451" s="400"/>
      <c r="D451" s="400"/>
      <c r="E451" s="400"/>
      <c r="F451" s="400"/>
      <c r="G451" s="79"/>
      <c r="H451" s="79"/>
      <c r="I451" s="79"/>
      <c r="J451" s="396"/>
      <c r="K451" s="399"/>
      <c r="L451" s="396"/>
      <c r="M451" s="396"/>
      <c r="N451" s="396"/>
      <c r="O451" s="396"/>
      <c r="P451" s="396"/>
      <c r="Q451" s="396"/>
      <c r="R451" s="396"/>
      <c r="S451" s="79"/>
      <c r="T451" s="79"/>
      <c r="U451" s="79"/>
      <c r="V451" s="79"/>
      <c r="W451" s="79"/>
      <c r="X451" s="79"/>
      <c r="Y451" s="79"/>
      <c r="Z451" s="79"/>
    </row>
    <row r="452" spans="1:26" ht="15.75" customHeight="1" x14ac:dyDescent="0.25">
      <c r="A452" s="79"/>
      <c r="B452" s="79"/>
      <c r="C452" s="400"/>
      <c r="D452" s="400"/>
      <c r="E452" s="400"/>
      <c r="F452" s="400"/>
      <c r="G452" s="79"/>
      <c r="H452" s="79"/>
      <c r="I452" s="79"/>
      <c r="J452" s="396"/>
      <c r="K452" s="399"/>
      <c r="L452" s="396"/>
      <c r="M452" s="396"/>
      <c r="N452" s="396"/>
      <c r="O452" s="396"/>
      <c r="P452" s="396"/>
      <c r="Q452" s="396"/>
      <c r="R452" s="396"/>
      <c r="S452" s="79"/>
      <c r="T452" s="79"/>
      <c r="U452" s="79"/>
      <c r="V452" s="79"/>
      <c r="W452" s="79"/>
      <c r="X452" s="79"/>
      <c r="Y452" s="79"/>
      <c r="Z452" s="79"/>
    </row>
    <row r="453" spans="1:26" ht="15.75" customHeight="1" x14ac:dyDescent="0.25">
      <c r="A453" s="79"/>
      <c r="B453" s="79"/>
      <c r="C453" s="400"/>
      <c r="D453" s="400"/>
      <c r="E453" s="400"/>
      <c r="F453" s="400"/>
      <c r="G453" s="79"/>
      <c r="H453" s="79"/>
      <c r="I453" s="79"/>
      <c r="J453" s="396"/>
      <c r="K453" s="399"/>
      <c r="L453" s="396"/>
      <c r="M453" s="396"/>
      <c r="N453" s="396"/>
      <c r="O453" s="396"/>
      <c r="P453" s="396"/>
      <c r="Q453" s="396"/>
      <c r="R453" s="396"/>
      <c r="S453" s="79"/>
      <c r="T453" s="79"/>
      <c r="U453" s="79"/>
      <c r="V453" s="79"/>
      <c r="W453" s="79"/>
      <c r="X453" s="79"/>
      <c r="Y453" s="79"/>
      <c r="Z453" s="79"/>
    </row>
    <row r="454" spans="1:26" ht="15.75" customHeight="1" x14ac:dyDescent="0.25">
      <c r="A454" s="79"/>
      <c r="B454" s="79"/>
      <c r="C454" s="400"/>
      <c r="D454" s="400"/>
      <c r="E454" s="400"/>
      <c r="F454" s="400"/>
      <c r="G454" s="79"/>
      <c r="H454" s="79"/>
      <c r="I454" s="79"/>
      <c r="J454" s="396"/>
      <c r="K454" s="399"/>
      <c r="L454" s="396"/>
      <c r="M454" s="396"/>
      <c r="N454" s="396"/>
      <c r="O454" s="396"/>
      <c r="P454" s="396"/>
      <c r="Q454" s="396"/>
      <c r="R454" s="396"/>
      <c r="S454" s="79"/>
      <c r="T454" s="79"/>
      <c r="U454" s="79"/>
      <c r="V454" s="79"/>
      <c r="W454" s="79"/>
      <c r="X454" s="79"/>
      <c r="Y454" s="79"/>
      <c r="Z454" s="79"/>
    </row>
    <row r="455" spans="1:26" ht="15.75" customHeight="1" x14ac:dyDescent="0.25">
      <c r="A455" s="79"/>
      <c r="B455" s="79"/>
      <c r="C455" s="400"/>
      <c r="D455" s="400"/>
      <c r="E455" s="400"/>
      <c r="F455" s="400"/>
      <c r="G455" s="79"/>
      <c r="H455" s="79"/>
      <c r="I455" s="79"/>
      <c r="J455" s="396"/>
      <c r="K455" s="399"/>
      <c r="L455" s="396"/>
      <c r="M455" s="396"/>
      <c r="N455" s="396"/>
      <c r="O455" s="396"/>
      <c r="P455" s="396"/>
      <c r="Q455" s="396"/>
      <c r="R455" s="396"/>
      <c r="S455" s="79"/>
      <c r="T455" s="79"/>
      <c r="U455" s="79"/>
      <c r="V455" s="79"/>
      <c r="W455" s="79"/>
      <c r="X455" s="79"/>
      <c r="Y455" s="79"/>
      <c r="Z455" s="79"/>
    </row>
    <row r="456" spans="1:26" ht="15.75" customHeight="1" x14ac:dyDescent="0.25">
      <c r="A456" s="79"/>
      <c r="B456" s="79"/>
      <c r="C456" s="400"/>
      <c r="D456" s="400"/>
      <c r="E456" s="400"/>
      <c r="F456" s="400"/>
      <c r="G456" s="79"/>
      <c r="H456" s="79"/>
      <c r="I456" s="79"/>
      <c r="J456" s="396"/>
      <c r="K456" s="399"/>
      <c r="L456" s="396"/>
      <c r="M456" s="396"/>
      <c r="N456" s="396"/>
      <c r="O456" s="396"/>
      <c r="P456" s="396"/>
      <c r="Q456" s="396"/>
      <c r="R456" s="396"/>
      <c r="S456" s="79"/>
      <c r="T456" s="79"/>
      <c r="U456" s="79"/>
      <c r="V456" s="79"/>
      <c r="W456" s="79"/>
      <c r="X456" s="79"/>
      <c r="Y456" s="79"/>
      <c r="Z456" s="79"/>
    </row>
    <row r="457" spans="1:26" ht="15.75" customHeight="1" x14ac:dyDescent="0.25">
      <c r="A457" s="79"/>
      <c r="B457" s="79"/>
      <c r="C457" s="400"/>
      <c r="D457" s="400"/>
      <c r="E457" s="400"/>
      <c r="F457" s="400"/>
      <c r="G457" s="79"/>
      <c r="H457" s="79"/>
      <c r="I457" s="79"/>
      <c r="J457" s="396"/>
      <c r="K457" s="399"/>
      <c r="L457" s="396"/>
      <c r="M457" s="396"/>
      <c r="N457" s="396"/>
      <c r="O457" s="396"/>
      <c r="P457" s="396"/>
      <c r="Q457" s="396"/>
      <c r="R457" s="396"/>
      <c r="S457" s="79"/>
      <c r="T457" s="79"/>
      <c r="U457" s="79"/>
      <c r="V457" s="79"/>
      <c r="W457" s="79"/>
      <c r="X457" s="79"/>
      <c r="Y457" s="79"/>
      <c r="Z457" s="79"/>
    </row>
    <row r="458" spans="1:26" ht="15.75" customHeight="1" x14ac:dyDescent="0.25">
      <c r="A458" s="79"/>
      <c r="B458" s="79"/>
      <c r="C458" s="400"/>
      <c r="D458" s="400"/>
      <c r="E458" s="400"/>
      <c r="F458" s="400"/>
      <c r="G458" s="79"/>
      <c r="H458" s="79"/>
      <c r="I458" s="79"/>
      <c r="J458" s="396"/>
      <c r="K458" s="399"/>
      <c r="L458" s="396"/>
      <c r="M458" s="396"/>
      <c r="N458" s="396"/>
      <c r="O458" s="396"/>
      <c r="P458" s="396"/>
      <c r="Q458" s="396"/>
      <c r="R458" s="396"/>
      <c r="S458" s="79"/>
      <c r="T458" s="79"/>
      <c r="U458" s="79"/>
      <c r="V458" s="79"/>
      <c r="W458" s="79"/>
      <c r="X458" s="79"/>
      <c r="Y458" s="79"/>
      <c r="Z458" s="79"/>
    </row>
    <row r="459" spans="1:26" ht="15.75" customHeight="1" x14ac:dyDescent="0.25">
      <c r="A459" s="79"/>
      <c r="B459" s="79"/>
      <c r="C459" s="400"/>
      <c r="D459" s="400"/>
      <c r="E459" s="400"/>
      <c r="F459" s="400"/>
      <c r="G459" s="79"/>
      <c r="H459" s="79"/>
      <c r="I459" s="79"/>
      <c r="J459" s="396"/>
      <c r="K459" s="399"/>
      <c r="L459" s="396"/>
      <c r="M459" s="396"/>
      <c r="N459" s="396"/>
      <c r="O459" s="396"/>
      <c r="P459" s="396"/>
      <c r="Q459" s="396"/>
      <c r="R459" s="396"/>
      <c r="S459" s="79"/>
      <c r="T459" s="79"/>
      <c r="U459" s="79"/>
      <c r="V459" s="79"/>
      <c r="W459" s="79"/>
      <c r="X459" s="79"/>
      <c r="Y459" s="79"/>
      <c r="Z459" s="79"/>
    </row>
    <row r="460" spans="1:26" ht="15.75" customHeight="1" x14ac:dyDescent="0.25">
      <c r="A460" s="79"/>
      <c r="B460" s="79"/>
      <c r="C460" s="400"/>
      <c r="D460" s="400"/>
      <c r="E460" s="400"/>
      <c r="F460" s="400"/>
      <c r="G460" s="79"/>
      <c r="H460" s="79"/>
      <c r="I460" s="79"/>
      <c r="J460" s="396"/>
      <c r="K460" s="399"/>
      <c r="L460" s="396"/>
      <c r="M460" s="396"/>
      <c r="N460" s="396"/>
      <c r="O460" s="396"/>
      <c r="P460" s="396"/>
      <c r="Q460" s="396"/>
      <c r="R460" s="396"/>
      <c r="S460" s="79"/>
      <c r="T460" s="79"/>
      <c r="U460" s="79"/>
      <c r="V460" s="79"/>
      <c r="W460" s="79"/>
      <c r="X460" s="79"/>
      <c r="Y460" s="79"/>
      <c r="Z460" s="79"/>
    </row>
    <row r="461" spans="1:26" ht="15.75" customHeight="1" x14ac:dyDescent="0.25">
      <c r="A461" s="79"/>
      <c r="B461" s="79"/>
      <c r="C461" s="400"/>
      <c r="D461" s="400"/>
      <c r="E461" s="400"/>
      <c r="F461" s="400"/>
      <c r="G461" s="79"/>
      <c r="H461" s="79"/>
      <c r="I461" s="79"/>
      <c r="J461" s="396"/>
      <c r="K461" s="399"/>
      <c r="L461" s="396"/>
      <c r="M461" s="396"/>
      <c r="N461" s="396"/>
      <c r="O461" s="396"/>
      <c r="P461" s="396"/>
      <c r="Q461" s="396"/>
      <c r="R461" s="396"/>
      <c r="S461" s="79"/>
      <c r="T461" s="79"/>
      <c r="U461" s="79"/>
      <c r="V461" s="79"/>
      <c r="W461" s="79"/>
      <c r="X461" s="79"/>
      <c r="Y461" s="79"/>
      <c r="Z461" s="79"/>
    </row>
    <row r="462" spans="1:26" ht="15.75" customHeight="1" x14ac:dyDescent="0.25">
      <c r="A462" s="79"/>
      <c r="B462" s="79"/>
      <c r="C462" s="400"/>
      <c r="D462" s="400"/>
      <c r="E462" s="400"/>
      <c r="F462" s="400"/>
      <c r="G462" s="79"/>
      <c r="H462" s="79"/>
      <c r="I462" s="79"/>
      <c r="J462" s="396"/>
      <c r="K462" s="399"/>
      <c r="L462" s="396"/>
      <c r="M462" s="396"/>
      <c r="N462" s="396"/>
      <c r="O462" s="396"/>
      <c r="P462" s="396"/>
      <c r="Q462" s="396"/>
      <c r="R462" s="396"/>
      <c r="S462" s="79"/>
      <c r="T462" s="79"/>
      <c r="U462" s="79"/>
      <c r="V462" s="79"/>
      <c r="W462" s="79"/>
      <c r="X462" s="79"/>
      <c r="Y462" s="79"/>
      <c r="Z462" s="79"/>
    </row>
    <row r="463" spans="1:26" ht="15.75" customHeight="1" x14ac:dyDescent="0.25">
      <c r="A463" s="79"/>
      <c r="B463" s="79"/>
      <c r="C463" s="400"/>
      <c r="D463" s="400"/>
      <c r="E463" s="400"/>
      <c r="F463" s="400"/>
      <c r="G463" s="79"/>
      <c r="H463" s="79"/>
      <c r="I463" s="79"/>
      <c r="J463" s="396"/>
      <c r="K463" s="399"/>
      <c r="L463" s="396"/>
      <c r="M463" s="396"/>
      <c r="N463" s="396"/>
      <c r="O463" s="396"/>
      <c r="P463" s="396"/>
      <c r="Q463" s="396"/>
      <c r="R463" s="396"/>
      <c r="S463" s="79"/>
      <c r="T463" s="79"/>
      <c r="U463" s="79"/>
      <c r="V463" s="79"/>
      <c r="W463" s="79"/>
      <c r="X463" s="79"/>
      <c r="Y463" s="79"/>
      <c r="Z463" s="79"/>
    </row>
    <row r="464" spans="1:26" ht="15.75" customHeight="1" x14ac:dyDescent="0.25">
      <c r="A464" s="79"/>
      <c r="B464" s="79"/>
      <c r="C464" s="400"/>
      <c r="D464" s="400"/>
      <c r="E464" s="400"/>
      <c r="F464" s="400"/>
      <c r="G464" s="79"/>
      <c r="H464" s="79"/>
      <c r="I464" s="79"/>
      <c r="J464" s="396"/>
      <c r="K464" s="399"/>
      <c r="L464" s="396"/>
      <c r="M464" s="396"/>
      <c r="N464" s="396"/>
      <c r="O464" s="396"/>
      <c r="P464" s="396"/>
      <c r="Q464" s="396"/>
      <c r="R464" s="396"/>
      <c r="S464" s="79"/>
      <c r="T464" s="79"/>
      <c r="U464" s="79"/>
      <c r="V464" s="79"/>
      <c r="W464" s="79"/>
      <c r="X464" s="79"/>
      <c r="Y464" s="79"/>
      <c r="Z464" s="79"/>
    </row>
    <row r="465" spans="1:26" ht="15.75" customHeight="1" x14ac:dyDescent="0.25">
      <c r="A465" s="79"/>
      <c r="B465" s="79"/>
      <c r="C465" s="400"/>
      <c r="D465" s="400"/>
      <c r="E465" s="400"/>
      <c r="F465" s="400"/>
      <c r="G465" s="79"/>
      <c r="H465" s="79"/>
      <c r="I465" s="79"/>
      <c r="J465" s="396"/>
      <c r="K465" s="399"/>
      <c r="L465" s="396"/>
      <c r="M465" s="396"/>
      <c r="N465" s="396"/>
      <c r="O465" s="396"/>
      <c r="P465" s="396"/>
      <c r="Q465" s="396"/>
      <c r="R465" s="396"/>
      <c r="S465" s="79"/>
      <c r="T465" s="79"/>
      <c r="U465" s="79"/>
      <c r="V465" s="79"/>
      <c r="W465" s="79"/>
      <c r="X465" s="79"/>
      <c r="Y465" s="79"/>
      <c r="Z465" s="79"/>
    </row>
    <row r="466" spans="1:26" ht="15.75" customHeight="1" x14ac:dyDescent="0.25">
      <c r="A466" s="79"/>
      <c r="B466" s="79"/>
      <c r="C466" s="400"/>
      <c r="D466" s="400"/>
      <c r="E466" s="400"/>
      <c r="F466" s="400"/>
      <c r="G466" s="79"/>
      <c r="H466" s="79"/>
      <c r="I466" s="79"/>
      <c r="J466" s="396"/>
      <c r="K466" s="399"/>
      <c r="L466" s="396"/>
      <c r="M466" s="396"/>
      <c r="N466" s="396"/>
      <c r="O466" s="396"/>
      <c r="P466" s="396"/>
      <c r="Q466" s="396"/>
      <c r="R466" s="396"/>
      <c r="S466" s="79"/>
      <c r="T466" s="79"/>
      <c r="U466" s="79"/>
      <c r="V466" s="79"/>
      <c r="W466" s="79"/>
      <c r="X466" s="79"/>
      <c r="Y466" s="79"/>
      <c r="Z466" s="79"/>
    </row>
    <row r="467" spans="1:26" ht="15.75" customHeight="1" x14ac:dyDescent="0.25">
      <c r="A467" s="79"/>
      <c r="B467" s="79"/>
      <c r="C467" s="400"/>
      <c r="D467" s="400"/>
      <c r="E467" s="400"/>
      <c r="F467" s="400"/>
      <c r="G467" s="79"/>
      <c r="H467" s="79"/>
      <c r="I467" s="79"/>
      <c r="J467" s="396"/>
      <c r="K467" s="399"/>
      <c r="L467" s="396"/>
      <c r="M467" s="396"/>
      <c r="N467" s="396"/>
      <c r="O467" s="396"/>
      <c r="P467" s="396"/>
      <c r="Q467" s="396"/>
      <c r="R467" s="396"/>
      <c r="S467" s="79"/>
      <c r="T467" s="79"/>
      <c r="U467" s="79"/>
      <c r="V467" s="79"/>
      <c r="W467" s="79"/>
      <c r="X467" s="79"/>
      <c r="Y467" s="79"/>
      <c r="Z467" s="79"/>
    </row>
    <row r="468" spans="1:26" ht="15.75" customHeight="1" x14ac:dyDescent="0.25">
      <c r="A468" s="79"/>
      <c r="B468" s="79"/>
      <c r="C468" s="400"/>
      <c r="D468" s="400"/>
      <c r="E468" s="400"/>
      <c r="F468" s="400"/>
      <c r="G468" s="79"/>
      <c r="H468" s="79"/>
      <c r="I468" s="79"/>
      <c r="J468" s="396"/>
      <c r="K468" s="399"/>
      <c r="L468" s="396"/>
      <c r="M468" s="396"/>
      <c r="N468" s="396"/>
      <c r="O468" s="396"/>
      <c r="P468" s="396"/>
      <c r="Q468" s="396"/>
      <c r="R468" s="396"/>
      <c r="S468" s="79"/>
      <c r="T468" s="79"/>
      <c r="U468" s="79"/>
      <c r="V468" s="79"/>
      <c r="W468" s="79"/>
      <c r="X468" s="79"/>
      <c r="Y468" s="79"/>
      <c r="Z468" s="79"/>
    </row>
    <row r="469" spans="1:26" ht="15.75" customHeight="1" x14ac:dyDescent="0.25">
      <c r="A469" s="79"/>
      <c r="B469" s="79"/>
      <c r="C469" s="400"/>
      <c r="D469" s="400"/>
      <c r="E469" s="400"/>
      <c r="F469" s="400"/>
      <c r="G469" s="79"/>
      <c r="H469" s="79"/>
      <c r="I469" s="79"/>
      <c r="J469" s="396"/>
      <c r="K469" s="399"/>
      <c r="L469" s="396"/>
      <c r="M469" s="396"/>
      <c r="N469" s="396"/>
      <c r="O469" s="396"/>
      <c r="P469" s="396"/>
      <c r="Q469" s="396"/>
      <c r="R469" s="396"/>
      <c r="S469" s="79"/>
      <c r="T469" s="79"/>
      <c r="U469" s="79"/>
      <c r="V469" s="79"/>
      <c r="W469" s="79"/>
      <c r="X469" s="79"/>
      <c r="Y469" s="79"/>
      <c r="Z469" s="79"/>
    </row>
    <row r="470" spans="1:26" ht="15.75" customHeight="1" x14ac:dyDescent="0.25">
      <c r="A470" s="79"/>
      <c r="B470" s="79"/>
      <c r="C470" s="400"/>
      <c r="D470" s="400"/>
      <c r="E470" s="400"/>
      <c r="F470" s="400"/>
      <c r="G470" s="79"/>
      <c r="H470" s="79"/>
      <c r="I470" s="79"/>
      <c r="J470" s="396"/>
      <c r="K470" s="399"/>
      <c r="L470" s="396"/>
      <c r="M470" s="396"/>
      <c r="N470" s="396"/>
      <c r="O470" s="396"/>
      <c r="P470" s="396"/>
      <c r="Q470" s="396"/>
      <c r="R470" s="396"/>
      <c r="S470" s="79"/>
      <c r="T470" s="79"/>
      <c r="U470" s="79"/>
      <c r="V470" s="79"/>
      <c r="W470" s="79"/>
      <c r="X470" s="79"/>
      <c r="Y470" s="79"/>
      <c r="Z470" s="79"/>
    </row>
    <row r="471" spans="1:26" ht="15.75" customHeight="1" x14ac:dyDescent="0.25">
      <c r="A471" s="79"/>
      <c r="B471" s="79"/>
      <c r="C471" s="400"/>
      <c r="D471" s="400"/>
      <c r="E471" s="400"/>
      <c r="F471" s="400"/>
      <c r="G471" s="79"/>
      <c r="H471" s="79"/>
      <c r="I471" s="79"/>
      <c r="J471" s="396"/>
      <c r="K471" s="399"/>
      <c r="L471" s="396"/>
      <c r="M471" s="396"/>
      <c r="N471" s="396"/>
      <c r="O471" s="396"/>
      <c r="P471" s="396"/>
      <c r="Q471" s="396"/>
      <c r="R471" s="396"/>
      <c r="S471" s="79"/>
      <c r="T471" s="79"/>
      <c r="U471" s="79"/>
      <c r="V471" s="79"/>
      <c r="W471" s="79"/>
      <c r="X471" s="79"/>
      <c r="Y471" s="79"/>
      <c r="Z471" s="79"/>
    </row>
    <row r="472" spans="1:26" ht="15.75" customHeight="1" x14ac:dyDescent="0.25">
      <c r="A472" s="79"/>
      <c r="B472" s="79"/>
      <c r="C472" s="400"/>
      <c r="D472" s="400"/>
      <c r="E472" s="400"/>
      <c r="F472" s="400"/>
      <c r="G472" s="79"/>
      <c r="H472" s="79"/>
      <c r="I472" s="79"/>
      <c r="J472" s="396"/>
      <c r="K472" s="399"/>
      <c r="L472" s="396"/>
      <c r="M472" s="396"/>
      <c r="N472" s="396"/>
      <c r="O472" s="396"/>
      <c r="P472" s="396"/>
      <c r="Q472" s="396"/>
      <c r="R472" s="396"/>
      <c r="S472" s="79"/>
      <c r="T472" s="79"/>
      <c r="U472" s="79"/>
      <c r="V472" s="79"/>
      <c r="W472" s="79"/>
      <c r="X472" s="79"/>
      <c r="Y472" s="79"/>
      <c r="Z472" s="79"/>
    </row>
    <row r="473" spans="1:26" ht="15.75" customHeight="1" x14ac:dyDescent="0.25">
      <c r="A473" s="79"/>
      <c r="B473" s="79"/>
      <c r="C473" s="400"/>
      <c r="D473" s="400"/>
      <c r="E473" s="400"/>
      <c r="F473" s="400"/>
      <c r="G473" s="79"/>
      <c r="H473" s="79"/>
      <c r="I473" s="79"/>
      <c r="J473" s="396"/>
      <c r="K473" s="399"/>
      <c r="L473" s="396"/>
      <c r="M473" s="396"/>
      <c r="N473" s="396"/>
      <c r="O473" s="396"/>
      <c r="P473" s="396"/>
      <c r="Q473" s="396"/>
      <c r="R473" s="396"/>
      <c r="S473" s="79"/>
      <c r="T473" s="79"/>
      <c r="U473" s="79"/>
      <c r="V473" s="79"/>
      <c r="W473" s="79"/>
      <c r="X473" s="79"/>
      <c r="Y473" s="79"/>
      <c r="Z473" s="79"/>
    </row>
    <row r="474" spans="1:26" ht="15.75" customHeight="1" x14ac:dyDescent="0.25">
      <c r="A474" s="79"/>
      <c r="B474" s="79"/>
      <c r="C474" s="400"/>
      <c r="D474" s="400"/>
      <c r="E474" s="400"/>
      <c r="F474" s="400"/>
      <c r="G474" s="79"/>
      <c r="H474" s="79"/>
      <c r="I474" s="79"/>
      <c r="J474" s="396"/>
      <c r="K474" s="399"/>
      <c r="L474" s="396"/>
      <c r="M474" s="396"/>
      <c r="N474" s="396"/>
      <c r="O474" s="396"/>
      <c r="P474" s="396"/>
      <c r="Q474" s="396"/>
      <c r="R474" s="396"/>
      <c r="S474" s="79"/>
      <c r="T474" s="79"/>
      <c r="U474" s="79"/>
      <c r="V474" s="79"/>
      <c r="W474" s="79"/>
      <c r="X474" s="79"/>
      <c r="Y474" s="79"/>
      <c r="Z474" s="79"/>
    </row>
    <row r="475" spans="1:26" ht="15.75" customHeight="1" x14ac:dyDescent="0.25">
      <c r="A475" s="79"/>
      <c r="B475" s="79"/>
      <c r="C475" s="400"/>
      <c r="D475" s="400"/>
      <c r="E475" s="400"/>
      <c r="F475" s="400"/>
      <c r="G475" s="79"/>
      <c r="H475" s="79"/>
      <c r="I475" s="79"/>
      <c r="J475" s="396"/>
      <c r="K475" s="399"/>
      <c r="L475" s="396"/>
      <c r="M475" s="396"/>
      <c r="N475" s="396"/>
      <c r="O475" s="396"/>
      <c r="P475" s="396"/>
      <c r="Q475" s="396"/>
      <c r="R475" s="396"/>
      <c r="S475" s="79"/>
      <c r="T475" s="79"/>
      <c r="U475" s="79"/>
      <c r="V475" s="79"/>
      <c r="W475" s="79"/>
      <c r="X475" s="79"/>
      <c r="Y475" s="79"/>
      <c r="Z475" s="79"/>
    </row>
    <row r="476" spans="1:26" ht="15.75" customHeight="1" x14ac:dyDescent="0.25">
      <c r="A476" s="79"/>
      <c r="B476" s="79"/>
      <c r="C476" s="400"/>
      <c r="D476" s="400"/>
      <c r="E476" s="400"/>
      <c r="F476" s="400"/>
      <c r="G476" s="79"/>
      <c r="H476" s="79"/>
      <c r="I476" s="79"/>
      <c r="J476" s="396"/>
      <c r="K476" s="399"/>
      <c r="L476" s="396"/>
      <c r="M476" s="396"/>
      <c r="N476" s="396"/>
      <c r="O476" s="396"/>
      <c r="P476" s="396"/>
      <c r="Q476" s="396"/>
      <c r="R476" s="396"/>
      <c r="S476" s="79"/>
      <c r="T476" s="79"/>
      <c r="U476" s="79"/>
      <c r="V476" s="79"/>
      <c r="W476" s="79"/>
      <c r="X476" s="79"/>
      <c r="Y476" s="79"/>
      <c r="Z476" s="79"/>
    </row>
    <row r="477" spans="1:26" ht="15.75" customHeight="1" x14ac:dyDescent="0.25">
      <c r="A477" s="79"/>
      <c r="B477" s="79"/>
      <c r="C477" s="400"/>
      <c r="D477" s="400"/>
      <c r="E477" s="400"/>
      <c r="F477" s="400"/>
      <c r="G477" s="79"/>
      <c r="H477" s="79"/>
      <c r="I477" s="79"/>
      <c r="J477" s="396"/>
      <c r="K477" s="399"/>
      <c r="L477" s="396"/>
      <c r="M477" s="396"/>
      <c r="N477" s="396"/>
      <c r="O477" s="396"/>
      <c r="P477" s="396"/>
      <c r="Q477" s="396"/>
      <c r="R477" s="396"/>
      <c r="S477" s="79"/>
      <c r="T477" s="79"/>
      <c r="U477" s="79"/>
      <c r="V477" s="79"/>
      <c r="W477" s="79"/>
      <c r="X477" s="79"/>
      <c r="Y477" s="79"/>
      <c r="Z477" s="79"/>
    </row>
    <row r="478" spans="1:26" ht="15.75" customHeight="1" x14ac:dyDescent="0.25">
      <c r="A478" s="79"/>
      <c r="B478" s="79"/>
      <c r="C478" s="400"/>
      <c r="D478" s="400"/>
      <c r="E478" s="400"/>
      <c r="F478" s="400"/>
      <c r="G478" s="79"/>
      <c r="H478" s="79"/>
      <c r="I478" s="79"/>
      <c r="J478" s="396"/>
      <c r="K478" s="399"/>
      <c r="L478" s="396"/>
      <c r="M478" s="396"/>
      <c r="N478" s="396"/>
      <c r="O478" s="396"/>
      <c r="P478" s="396"/>
      <c r="Q478" s="396"/>
      <c r="R478" s="396"/>
      <c r="S478" s="79"/>
      <c r="T478" s="79"/>
      <c r="U478" s="79"/>
      <c r="V478" s="79"/>
      <c r="W478" s="79"/>
      <c r="X478" s="79"/>
      <c r="Y478" s="79"/>
      <c r="Z478" s="79"/>
    </row>
    <row r="479" spans="1:26" ht="15.75" customHeight="1" x14ac:dyDescent="0.25">
      <c r="A479" s="79"/>
      <c r="B479" s="79"/>
      <c r="C479" s="400"/>
      <c r="D479" s="400"/>
      <c r="E479" s="400"/>
      <c r="F479" s="400"/>
      <c r="G479" s="79"/>
      <c r="H479" s="79"/>
      <c r="I479" s="79"/>
      <c r="J479" s="396"/>
      <c r="K479" s="399"/>
      <c r="L479" s="396"/>
      <c r="M479" s="396"/>
      <c r="N479" s="396"/>
      <c r="O479" s="396"/>
      <c r="P479" s="396"/>
      <c r="Q479" s="396"/>
      <c r="R479" s="396"/>
      <c r="S479" s="79"/>
      <c r="T479" s="79"/>
      <c r="U479" s="79"/>
      <c r="V479" s="79"/>
      <c r="W479" s="79"/>
      <c r="X479" s="79"/>
      <c r="Y479" s="79"/>
      <c r="Z479" s="79"/>
    </row>
    <row r="480" spans="1:26" ht="15.75" customHeight="1" x14ac:dyDescent="0.25">
      <c r="A480" s="79"/>
      <c r="B480" s="79"/>
      <c r="C480" s="400"/>
      <c r="D480" s="400"/>
      <c r="E480" s="400"/>
      <c r="F480" s="400"/>
      <c r="G480" s="79"/>
      <c r="H480" s="79"/>
      <c r="I480" s="79"/>
      <c r="J480" s="396"/>
      <c r="K480" s="399"/>
      <c r="L480" s="396"/>
      <c r="M480" s="396"/>
      <c r="N480" s="396"/>
      <c r="O480" s="396"/>
      <c r="P480" s="396"/>
      <c r="Q480" s="396"/>
      <c r="R480" s="396"/>
      <c r="S480" s="79"/>
      <c r="T480" s="79"/>
      <c r="U480" s="79"/>
      <c r="V480" s="79"/>
      <c r="W480" s="79"/>
      <c r="X480" s="79"/>
      <c r="Y480" s="79"/>
      <c r="Z480" s="79"/>
    </row>
    <row r="481" spans="1:26" ht="15.75" customHeight="1" x14ac:dyDescent="0.25">
      <c r="A481" s="79"/>
      <c r="B481" s="79"/>
      <c r="C481" s="400"/>
      <c r="D481" s="400"/>
      <c r="E481" s="400"/>
      <c r="F481" s="400"/>
      <c r="G481" s="79"/>
      <c r="H481" s="79"/>
      <c r="I481" s="79"/>
      <c r="J481" s="396"/>
      <c r="K481" s="399"/>
      <c r="L481" s="396"/>
      <c r="M481" s="396"/>
      <c r="N481" s="396"/>
      <c r="O481" s="396"/>
      <c r="P481" s="396"/>
      <c r="Q481" s="396"/>
      <c r="R481" s="396"/>
      <c r="S481" s="79"/>
      <c r="T481" s="79"/>
      <c r="U481" s="79"/>
      <c r="V481" s="79"/>
      <c r="W481" s="79"/>
      <c r="X481" s="79"/>
      <c r="Y481" s="79"/>
      <c r="Z481" s="79"/>
    </row>
    <row r="482" spans="1:26" ht="15.75" customHeight="1" x14ac:dyDescent="0.25">
      <c r="A482" s="79"/>
      <c r="B482" s="79"/>
      <c r="C482" s="400"/>
      <c r="D482" s="400"/>
      <c r="E482" s="400"/>
      <c r="F482" s="400"/>
      <c r="G482" s="79"/>
      <c r="H482" s="79"/>
      <c r="I482" s="79"/>
      <c r="J482" s="396"/>
      <c r="K482" s="399"/>
      <c r="L482" s="396"/>
      <c r="M482" s="396"/>
      <c r="N482" s="396"/>
      <c r="O482" s="396"/>
      <c r="P482" s="396"/>
      <c r="Q482" s="396"/>
      <c r="R482" s="396"/>
      <c r="S482" s="79"/>
      <c r="T482" s="79"/>
      <c r="U482" s="79"/>
      <c r="V482" s="79"/>
      <c r="W482" s="79"/>
      <c r="X482" s="79"/>
      <c r="Y482" s="79"/>
      <c r="Z482" s="79"/>
    </row>
    <row r="483" spans="1:26" ht="15.75" customHeight="1" x14ac:dyDescent="0.25">
      <c r="A483" s="79"/>
      <c r="B483" s="79"/>
      <c r="C483" s="400"/>
      <c r="D483" s="400"/>
      <c r="E483" s="400"/>
      <c r="F483" s="400"/>
      <c r="G483" s="79"/>
      <c r="H483" s="79"/>
      <c r="I483" s="79"/>
      <c r="J483" s="396"/>
      <c r="K483" s="399"/>
      <c r="L483" s="396"/>
      <c r="M483" s="396"/>
      <c r="N483" s="396"/>
      <c r="O483" s="396"/>
      <c r="P483" s="396"/>
      <c r="Q483" s="396"/>
      <c r="R483" s="396"/>
      <c r="S483" s="79"/>
      <c r="T483" s="79"/>
      <c r="U483" s="79"/>
      <c r="V483" s="79"/>
      <c r="W483" s="79"/>
      <c r="X483" s="79"/>
      <c r="Y483" s="79"/>
      <c r="Z483" s="79"/>
    </row>
    <row r="484" spans="1:26" ht="15.75" customHeight="1" x14ac:dyDescent="0.25">
      <c r="A484" s="79"/>
      <c r="B484" s="79"/>
      <c r="C484" s="400"/>
      <c r="D484" s="400"/>
      <c r="E484" s="400"/>
      <c r="F484" s="400"/>
      <c r="G484" s="79"/>
      <c r="H484" s="79"/>
      <c r="I484" s="79"/>
      <c r="J484" s="396"/>
      <c r="K484" s="399"/>
      <c r="L484" s="396"/>
      <c r="M484" s="396"/>
      <c r="N484" s="396"/>
      <c r="O484" s="396"/>
      <c r="P484" s="396"/>
      <c r="Q484" s="396"/>
      <c r="R484" s="396"/>
      <c r="S484" s="79"/>
      <c r="T484" s="79"/>
      <c r="U484" s="79"/>
      <c r="V484" s="79"/>
      <c r="W484" s="79"/>
      <c r="X484" s="79"/>
      <c r="Y484" s="79"/>
      <c r="Z484" s="79"/>
    </row>
    <row r="485" spans="1:26" ht="15.75" customHeight="1" x14ac:dyDescent="0.25">
      <c r="A485" s="79"/>
      <c r="B485" s="79"/>
      <c r="C485" s="400"/>
      <c r="D485" s="400"/>
      <c r="E485" s="400"/>
      <c r="F485" s="400"/>
      <c r="G485" s="79"/>
      <c r="H485" s="79"/>
      <c r="I485" s="79"/>
      <c r="J485" s="396"/>
      <c r="K485" s="399"/>
      <c r="L485" s="396"/>
      <c r="M485" s="396"/>
      <c r="N485" s="396"/>
      <c r="O485" s="396"/>
      <c r="P485" s="396"/>
      <c r="Q485" s="396"/>
      <c r="R485" s="396"/>
      <c r="S485" s="79"/>
      <c r="T485" s="79"/>
      <c r="U485" s="79"/>
      <c r="V485" s="79"/>
      <c r="W485" s="79"/>
      <c r="X485" s="79"/>
      <c r="Y485" s="79"/>
      <c r="Z485" s="79"/>
    </row>
    <row r="486" spans="1:26" ht="15.75" customHeight="1" x14ac:dyDescent="0.25">
      <c r="A486" s="79"/>
      <c r="B486" s="79"/>
      <c r="C486" s="400"/>
      <c r="D486" s="400"/>
      <c r="E486" s="400"/>
      <c r="F486" s="400"/>
      <c r="G486" s="79"/>
      <c r="H486" s="79"/>
      <c r="I486" s="79"/>
      <c r="J486" s="396"/>
      <c r="K486" s="399"/>
      <c r="L486" s="396"/>
      <c r="M486" s="396"/>
      <c r="N486" s="396"/>
      <c r="O486" s="396"/>
      <c r="P486" s="396"/>
      <c r="Q486" s="396"/>
      <c r="R486" s="396"/>
      <c r="S486" s="79"/>
      <c r="T486" s="79"/>
      <c r="U486" s="79"/>
      <c r="V486" s="79"/>
      <c r="W486" s="79"/>
      <c r="X486" s="79"/>
      <c r="Y486" s="79"/>
      <c r="Z486" s="79"/>
    </row>
    <row r="487" spans="1:26" ht="15.75" customHeight="1" x14ac:dyDescent="0.25">
      <c r="A487" s="79"/>
      <c r="B487" s="79"/>
      <c r="C487" s="400"/>
      <c r="D487" s="400"/>
      <c r="E487" s="400"/>
      <c r="F487" s="400"/>
      <c r="G487" s="79"/>
      <c r="H487" s="79"/>
      <c r="I487" s="79"/>
      <c r="J487" s="396"/>
      <c r="K487" s="399"/>
      <c r="L487" s="396"/>
      <c r="M487" s="396"/>
      <c r="N487" s="396"/>
      <c r="O487" s="396"/>
      <c r="P487" s="396"/>
      <c r="Q487" s="396"/>
      <c r="R487" s="396"/>
      <c r="S487" s="79"/>
      <c r="T487" s="79"/>
      <c r="U487" s="79"/>
      <c r="V487" s="79"/>
      <c r="W487" s="79"/>
      <c r="X487" s="79"/>
      <c r="Y487" s="79"/>
      <c r="Z487" s="79"/>
    </row>
    <row r="488" spans="1:26" ht="15.75" customHeight="1" x14ac:dyDescent="0.25">
      <c r="A488" s="79"/>
      <c r="B488" s="79"/>
      <c r="C488" s="400"/>
      <c r="D488" s="400"/>
      <c r="E488" s="400"/>
      <c r="F488" s="400"/>
      <c r="G488" s="79"/>
      <c r="H488" s="79"/>
      <c r="I488" s="79"/>
      <c r="J488" s="396"/>
      <c r="K488" s="399"/>
      <c r="L488" s="396"/>
      <c r="M488" s="396"/>
      <c r="N488" s="396"/>
      <c r="O488" s="396"/>
      <c r="P488" s="396"/>
      <c r="Q488" s="396"/>
      <c r="R488" s="396"/>
      <c r="S488" s="79"/>
      <c r="T488" s="79"/>
      <c r="U488" s="79"/>
      <c r="V488" s="79"/>
      <c r="W488" s="79"/>
      <c r="X488" s="79"/>
      <c r="Y488" s="79"/>
      <c r="Z488" s="79"/>
    </row>
    <row r="489" spans="1:26" ht="15.75" customHeight="1" x14ac:dyDescent="0.25">
      <c r="A489" s="79"/>
      <c r="B489" s="79"/>
      <c r="C489" s="400"/>
      <c r="D489" s="400"/>
      <c r="E489" s="400"/>
      <c r="F489" s="400"/>
      <c r="G489" s="79"/>
      <c r="H489" s="79"/>
      <c r="I489" s="79"/>
      <c r="J489" s="396"/>
      <c r="K489" s="399"/>
      <c r="L489" s="396"/>
      <c r="M489" s="396"/>
      <c r="N489" s="396"/>
      <c r="O489" s="396"/>
      <c r="P489" s="396"/>
      <c r="Q489" s="396"/>
      <c r="R489" s="396"/>
      <c r="S489" s="79"/>
      <c r="T489" s="79"/>
      <c r="U489" s="79"/>
      <c r="V489" s="79"/>
      <c r="W489" s="79"/>
      <c r="X489" s="79"/>
      <c r="Y489" s="79"/>
      <c r="Z489" s="79"/>
    </row>
    <row r="490" spans="1:26" ht="15.75" customHeight="1" x14ac:dyDescent="0.25">
      <c r="A490" s="79"/>
      <c r="B490" s="79"/>
      <c r="C490" s="400"/>
      <c r="D490" s="400"/>
      <c r="E490" s="400"/>
      <c r="F490" s="400"/>
      <c r="G490" s="79"/>
      <c r="H490" s="79"/>
      <c r="I490" s="79"/>
      <c r="J490" s="396"/>
      <c r="K490" s="399"/>
      <c r="L490" s="396"/>
      <c r="M490" s="396"/>
      <c r="N490" s="396"/>
      <c r="O490" s="396"/>
      <c r="P490" s="396"/>
      <c r="Q490" s="396"/>
      <c r="R490" s="396"/>
      <c r="S490" s="79"/>
      <c r="T490" s="79"/>
      <c r="U490" s="79"/>
      <c r="V490" s="79"/>
      <c r="W490" s="79"/>
      <c r="X490" s="79"/>
      <c r="Y490" s="79"/>
      <c r="Z490" s="79"/>
    </row>
    <row r="491" spans="1:26" ht="15.75" customHeight="1" x14ac:dyDescent="0.25">
      <c r="A491" s="79"/>
      <c r="B491" s="79"/>
      <c r="C491" s="400"/>
      <c r="D491" s="400"/>
      <c r="E491" s="400"/>
      <c r="F491" s="400"/>
      <c r="G491" s="79"/>
      <c r="H491" s="79"/>
      <c r="I491" s="79"/>
      <c r="J491" s="396"/>
      <c r="K491" s="399"/>
      <c r="L491" s="396"/>
      <c r="M491" s="396"/>
      <c r="N491" s="396"/>
      <c r="O491" s="396"/>
      <c r="P491" s="396"/>
      <c r="Q491" s="396"/>
      <c r="R491" s="396"/>
      <c r="S491" s="79"/>
      <c r="T491" s="79"/>
      <c r="U491" s="79"/>
      <c r="V491" s="79"/>
      <c r="W491" s="79"/>
      <c r="X491" s="79"/>
      <c r="Y491" s="79"/>
      <c r="Z491" s="79"/>
    </row>
    <row r="492" spans="1:26" ht="15.75" customHeight="1" x14ac:dyDescent="0.25">
      <c r="A492" s="79"/>
      <c r="B492" s="79"/>
      <c r="C492" s="400"/>
      <c r="D492" s="400"/>
      <c r="E492" s="400"/>
      <c r="F492" s="400"/>
      <c r="G492" s="79"/>
      <c r="H492" s="79"/>
      <c r="I492" s="79"/>
      <c r="J492" s="396"/>
      <c r="K492" s="399"/>
      <c r="L492" s="396"/>
      <c r="M492" s="396"/>
      <c r="N492" s="396"/>
      <c r="O492" s="396"/>
      <c r="P492" s="396"/>
      <c r="Q492" s="396"/>
      <c r="R492" s="396"/>
      <c r="S492" s="79"/>
      <c r="T492" s="79"/>
      <c r="U492" s="79"/>
      <c r="V492" s="79"/>
      <c r="W492" s="79"/>
      <c r="X492" s="79"/>
      <c r="Y492" s="79"/>
      <c r="Z492" s="79"/>
    </row>
    <row r="493" spans="1:26" ht="15.75" customHeight="1" x14ac:dyDescent="0.25">
      <c r="A493" s="79"/>
      <c r="B493" s="79"/>
      <c r="C493" s="400"/>
      <c r="D493" s="400"/>
      <c r="E493" s="400"/>
      <c r="F493" s="400"/>
      <c r="G493" s="79"/>
      <c r="H493" s="79"/>
      <c r="I493" s="79"/>
      <c r="J493" s="396"/>
      <c r="K493" s="399"/>
      <c r="L493" s="396"/>
      <c r="M493" s="396"/>
      <c r="N493" s="396"/>
      <c r="O493" s="396"/>
      <c r="P493" s="396"/>
      <c r="Q493" s="396"/>
      <c r="R493" s="396"/>
      <c r="S493" s="79"/>
      <c r="T493" s="79"/>
      <c r="U493" s="79"/>
      <c r="V493" s="79"/>
      <c r="W493" s="79"/>
      <c r="X493" s="79"/>
      <c r="Y493" s="79"/>
      <c r="Z493" s="79"/>
    </row>
    <row r="494" spans="1:26" ht="15.75" customHeight="1" x14ac:dyDescent="0.25">
      <c r="A494" s="79"/>
      <c r="B494" s="79"/>
      <c r="C494" s="400"/>
      <c r="D494" s="400"/>
      <c r="E494" s="400"/>
      <c r="F494" s="400"/>
      <c r="G494" s="79"/>
      <c r="H494" s="79"/>
      <c r="I494" s="79"/>
      <c r="J494" s="396"/>
      <c r="K494" s="399"/>
      <c r="L494" s="396"/>
      <c r="M494" s="396"/>
      <c r="N494" s="396"/>
      <c r="O494" s="396"/>
      <c r="P494" s="396"/>
      <c r="Q494" s="396"/>
      <c r="R494" s="396"/>
      <c r="S494" s="79"/>
      <c r="T494" s="79"/>
      <c r="U494" s="79"/>
      <c r="V494" s="79"/>
      <c r="W494" s="79"/>
      <c r="X494" s="79"/>
      <c r="Y494" s="79"/>
      <c r="Z494" s="79"/>
    </row>
    <row r="495" spans="1:26" ht="15.75" customHeight="1" x14ac:dyDescent="0.25">
      <c r="A495" s="79"/>
      <c r="B495" s="79"/>
      <c r="C495" s="400"/>
      <c r="D495" s="400"/>
      <c r="E495" s="400"/>
      <c r="F495" s="400"/>
      <c r="G495" s="79"/>
      <c r="H495" s="79"/>
      <c r="I495" s="79"/>
      <c r="J495" s="396"/>
      <c r="K495" s="399"/>
      <c r="L495" s="396"/>
      <c r="M495" s="396"/>
      <c r="N495" s="396"/>
      <c r="O495" s="396"/>
      <c r="P495" s="396"/>
      <c r="Q495" s="396"/>
      <c r="R495" s="396"/>
      <c r="S495" s="79"/>
      <c r="T495" s="79"/>
      <c r="U495" s="79"/>
      <c r="V495" s="79"/>
      <c r="W495" s="79"/>
      <c r="X495" s="79"/>
      <c r="Y495" s="79"/>
      <c r="Z495" s="79"/>
    </row>
    <row r="496" spans="1:26" ht="15.75" customHeight="1" x14ac:dyDescent="0.25">
      <c r="A496" s="79"/>
      <c r="B496" s="79"/>
      <c r="C496" s="400"/>
      <c r="D496" s="400"/>
      <c r="E496" s="400"/>
      <c r="F496" s="400"/>
      <c r="G496" s="79"/>
      <c r="H496" s="79"/>
      <c r="I496" s="79"/>
      <c r="J496" s="396"/>
      <c r="K496" s="399"/>
      <c r="L496" s="396"/>
      <c r="M496" s="396"/>
      <c r="N496" s="396"/>
      <c r="O496" s="396"/>
      <c r="P496" s="396"/>
      <c r="Q496" s="396"/>
      <c r="R496" s="396"/>
      <c r="S496" s="79"/>
      <c r="T496" s="79"/>
      <c r="U496" s="79"/>
      <c r="V496" s="79"/>
      <c r="W496" s="79"/>
      <c r="X496" s="79"/>
      <c r="Y496" s="79"/>
      <c r="Z496" s="79"/>
    </row>
    <row r="497" spans="1:26" ht="15.75" customHeight="1" x14ac:dyDescent="0.25">
      <c r="A497" s="79"/>
      <c r="B497" s="79"/>
      <c r="C497" s="400"/>
      <c r="D497" s="400"/>
      <c r="E497" s="400"/>
      <c r="F497" s="400"/>
      <c r="G497" s="79"/>
      <c r="H497" s="79"/>
      <c r="I497" s="79"/>
      <c r="J497" s="396"/>
      <c r="K497" s="399"/>
      <c r="L497" s="396"/>
      <c r="M497" s="396"/>
      <c r="N497" s="396"/>
      <c r="O497" s="396"/>
      <c r="P497" s="396"/>
      <c r="Q497" s="396"/>
      <c r="R497" s="396"/>
      <c r="S497" s="79"/>
      <c r="T497" s="79"/>
      <c r="U497" s="79"/>
      <c r="V497" s="79"/>
      <c r="W497" s="79"/>
      <c r="X497" s="79"/>
      <c r="Y497" s="79"/>
      <c r="Z497" s="79"/>
    </row>
    <row r="498" spans="1:26" ht="15.75" customHeight="1" x14ac:dyDescent="0.25">
      <c r="A498" s="79"/>
      <c r="B498" s="79"/>
      <c r="C498" s="400"/>
      <c r="D498" s="400"/>
      <c r="E498" s="400"/>
      <c r="F498" s="400"/>
      <c r="G498" s="79"/>
      <c r="H498" s="79"/>
      <c r="I498" s="79"/>
      <c r="J498" s="396"/>
      <c r="K498" s="399"/>
      <c r="L498" s="396"/>
      <c r="M498" s="396"/>
      <c r="N498" s="396"/>
      <c r="O498" s="396"/>
      <c r="P498" s="396"/>
      <c r="Q498" s="396"/>
      <c r="R498" s="396"/>
      <c r="S498" s="79"/>
      <c r="T498" s="79"/>
      <c r="U498" s="79"/>
      <c r="V498" s="79"/>
      <c r="W498" s="79"/>
      <c r="X498" s="79"/>
      <c r="Y498" s="79"/>
      <c r="Z498" s="79"/>
    </row>
    <row r="499" spans="1:26" ht="15.75" customHeight="1" x14ac:dyDescent="0.25">
      <c r="A499" s="79"/>
      <c r="B499" s="79"/>
      <c r="C499" s="400"/>
      <c r="D499" s="400"/>
      <c r="E499" s="400"/>
      <c r="F499" s="400"/>
      <c r="G499" s="79"/>
      <c r="H499" s="79"/>
      <c r="I499" s="79"/>
      <c r="J499" s="396"/>
      <c r="K499" s="399"/>
      <c r="L499" s="396"/>
      <c r="M499" s="396"/>
      <c r="N499" s="396"/>
      <c r="O499" s="396"/>
      <c r="P499" s="396"/>
      <c r="Q499" s="396"/>
      <c r="R499" s="396"/>
      <c r="S499" s="79"/>
      <c r="T499" s="79"/>
      <c r="U499" s="79"/>
      <c r="V499" s="79"/>
      <c r="W499" s="79"/>
      <c r="X499" s="79"/>
      <c r="Y499" s="79"/>
      <c r="Z499" s="79"/>
    </row>
    <row r="500" spans="1:26" ht="15.75" customHeight="1" x14ac:dyDescent="0.25">
      <c r="A500" s="79"/>
      <c r="B500" s="79"/>
      <c r="C500" s="400"/>
      <c r="D500" s="400"/>
      <c r="E500" s="400"/>
      <c r="F500" s="400"/>
      <c r="G500" s="79"/>
      <c r="H500" s="79"/>
      <c r="I500" s="79"/>
      <c r="J500" s="396"/>
      <c r="K500" s="399"/>
      <c r="L500" s="396"/>
      <c r="M500" s="396"/>
      <c r="N500" s="396"/>
      <c r="O500" s="396"/>
      <c r="P500" s="396"/>
      <c r="Q500" s="396"/>
      <c r="R500" s="396"/>
      <c r="S500" s="79"/>
      <c r="T500" s="79"/>
      <c r="U500" s="79"/>
      <c r="V500" s="79"/>
      <c r="W500" s="79"/>
      <c r="X500" s="79"/>
      <c r="Y500" s="79"/>
      <c r="Z500" s="79"/>
    </row>
    <row r="501" spans="1:26" ht="15.75" customHeight="1" x14ac:dyDescent="0.25">
      <c r="A501" s="79"/>
      <c r="B501" s="79"/>
      <c r="C501" s="400"/>
      <c r="D501" s="400"/>
      <c r="E501" s="400"/>
      <c r="F501" s="400"/>
      <c r="G501" s="79"/>
      <c r="H501" s="79"/>
      <c r="I501" s="79"/>
      <c r="J501" s="396"/>
      <c r="K501" s="399"/>
      <c r="L501" s="396"/>
      <c r="M501" s="396"/>
      <c r="N501" s="396"/>
      <c r="O501" s="396"/>
      <c r="P501" s="396"/>
      <c r="Q501" s="396"/>
      <c r="R501" s="396"/>
      <c r="S501" s="79"/>
      <c r="T501" s="79"/>
      <c r="U501" s="79"/>
      <c r="V501" s="79"/>
      <c r="W501" s="79"/>
      <c r="X501" s="79"/>
      <c r="Y501" s="79"/>
      <c r="Z501" s="79"/>
    </row>
    <row r="502" spans="1:26" ht="15.75" customHeight="1" x14ac:dyDescent="0.25">
      <c r="A502" s="79"/>
      <c r="B502" s="79"/>
      <c r="C502" s="400"/>
      <c r="D502" s="400"/>
      <c r="E502" s="400"/>
      <c r="F502" s="400"/>
      <c r="G502" s="79"/>
      <c r="H502" s="79"/>
      <c r="I502" s="79"/>
      <c r="J502" s="396"/>
      <c r="K502" s="399"/>
      <c r="L502" s="396"/>
      <c r="M502" s="396"/>
      <c r="N502" s="396"/>
      <c r="O502" s="396"/>
      <c r="P502" s="396"/>
      <c r="Q502" s="396"/>
      <c r="R502" s="396"/>
      <c r="S502" s="79"/>
      <c r="T502" s="79"/>
      <c r="U502" s="79"/>
      <c r="V502" s="79"/>
      <c r="W502" s="79"/>
      <c r="X502" s="79"/>
      <c r="Y502" s="79"/>
      <c r="Z502" s="79"/>
    </row>
    <row r="503" spans="1:26" ht="15.75" customHeight="1" x14ac:dyDescent="0.25">
      <c r="A503" s="79"/>
      <c r="B503" s="79"/>
      <c r="C503" s="400"/>
      <c r="D503" s="400"/>
      <c r="E503" s="400"/>
      <c r="F503" s="400"/>
      <c r="G503" s="79"/>
      <c r="H503" s="79"/>
      <c r="I503" s="79"/>
      <c r="J503" s="396"/>
      <c r="K503" s="399"/>
      <c r="L503" s="396"/>
      <c r="M503" s="396"/>
      <c r="N503" s="396"/>
      <c r="O503" s="396"/>
      <c r="P503" s="396"/>
      <c r="Q503" s="396"/>
      <c r="R503" s="396"/>
      <c r="S503" s="79"/>
      <c r="T503" s="79"/>
      <c r="U503" s="79"/>
      <c r="V503" s="79"/>
      <c r="W503" s="79"/>
      <c r="X503" s="79"/>
      <c r="Y503" s="79"/>
      <c r="Z503" s="79"/>
    </row>
    <row r="504" spans="1:26" ht="15.75" customHeight="1" x14ac:dyDescent="0.25">
      <c r="A504" s="79"/>
      <c r="B504" s="79"/>
      <c r="C504" s="400"/>
      <c r="D504" s="400"/>
      <c r="E504" s="400"/>
      <c r="F504" s="400"/>
      <c r="G504" s="79"/>
      <c r="H504" s="79"/>
      <c r="I504" s="79"/>
      <c r="J504" s="396"/>
      <c r="K504" s="399"/>
      <c r="L504" s="396"/>
      <c r="M504" s="396"/>
      <c r="N504" s="396"/>
      <c r="O504" s="396"/>
      <c r="P504" s="396"/>
      <c r="Q504" s="396"/>
      <c r="R504" s="396"/>
      <c r="S504" s="79"/>
      <c r="T504" s="79"/>
      <c r="U504" s="79"/>
      <c r="V504" s="79"/>
      <c r="W504" s="79"/>
      <c r="X504" s="79"/>
      <c r="Y504" s="79"/>
      <c r="Z504" s="79"/>
    </row>
    <row r="505" spans="1:26" ht="15.75" customHeight="1" x14ac:dyDescent="0.25">
      <c r="A505" s="79"/>
      <c r="B505" s="79"/>
      <c r="C505" s="400"/>
      <c r="D505" s="400"/>
      <c r="E505" s="400"/>
      <c r="F505" s="400"/>
      <c r="G505" s="79"/>
      <c r="H505" s="79"/>
      <c r="I505" s="79"/>
      <c r="J505" s="396"/>
      <c r="K505" s="399"/>
      <c r="L505" s="396"/>
      <c r="M505" s="396"/>
      <c r="N505" s="396"/>
      <c r="O505" s="396"/>
      <c r="P505" s="396"/>
      <c r="Q505" s="396"/>
      <c r="R505" s="396"/>
      <c r="S505" s="79"/>
      <c r="T505" s="79"/>
      <c r="U505" s="79"/>
      <c r="V505" s="79"/>
      <c r="W505" s="79"/>
      <c r="X505" s="79"/>
      <c r="Y505" s="79"/>
      <c r="Z505" s="79"/>
    </row>
    <row r="506" spans="1:26" ht="15.75" customHeight="1" x14ac:dyDescent="0.25">
      <c r="A506" s="79"/>
      <c r="B506" s="79"/>
      <c r="C506" s="400"/>
      <c r="D506" s="400"/>
      <c r="E506" s="400"/>
      <c r="F506" s="400"/>
      <c r="G506" s="79"/>
      <c r="H506" s="79"/>
      <c r="I506" s="79"/>
      <c r="J506" s="396"/>
      <c r="K506" s="399"/>
      <c r="L506" s="396"/>
      <c r="M506" s="396"/>
      <c r="N506" s="396"/>
      <c r="O506" s="396"/>
      <c r="P506" s="396"/>
      <c r="Q506" s="396"/>
      <c r="R506" s="396"/>
      <c r="S506" s="79"/>
      <c r="T506" s="79"/>
      <c r="U506" s="79"/>
      <c r="V506" s="79"/>
      <c r="W506" s="79"/>
      <c r="X506" s="79"/>
      <c r="Y506" s="79"/>
      <c r="Z506" s="79"/>
    </row>
    <row r="507" spans="1:26" ht="15.75" customHeight="1" x14ac:dyDescent="0.25">
      <c r="A507" s="79"/>
      <c r="B507" s="79"/>
      <c r="C507" s="400"/>
      <c r="D507" s="400"/>
      <c r="E507" s="400"/>
      <c r="F507" s="400"/>
      <c r="G507" s="79"/>
      <c r="H507" s="79"/>
      <c r="I507" s="79"/>
      <c r="J507" s="396"/>
      <c r="K507" s="399"/>
      <c r="L507" s="396"/>
      <c r="M507" s="396"/>
      <c r="N507" s="396"/>
      <c r="O507" s="396"/>
      <c r="P507" s="396"/>
      <c r="Q507" s="396"/>
      <c r="R507" s="396"/>
      <c r="S507" s="79"/>
      <c r="T507" s="79"/>
      <c r="U507" s="79"/>
      <c r="V507" s="79"/>
      <c r="W507" s="79"/>
      <c r="X507" s="79"/>
      <c r="Y507" s="79"/>
      <c r="Z507" s="79"/>
    </row>
    <row r="508" spans="1:26" ht="15.75" customHeight="1" x14ac:dyDescent="0.25">
      <c r="A508" s="79"/>
      <c r="B508" s="79"/>
      <c r="C508" s="400"/>
      <c r="D508" s="400"/>
      <c r="E508" s="400"/>
      <c r="F508" s="400"/>
      <c r="G508" s="79"/>
      <c r="H508" s="79"/>
      <c r="I508" s="79"/>
      <c r="J508" s="396"/>
      <c r="K508" s="399"/>
      <c r="L508" s="396"/>
      <c r="M508" s="396"/>
      <c r="N508" s="396"/>
      <c r="O508" s="396"/>
      <c r="P508" s="396"/>
      <c r="Q508" s="396"/>
      <c r="R508" s="396"/>
      <c r="S508" s="79"/>
      <c r="T508" s="79"/>
      <c r="U508" s="79"/>
      <c r="V508" s="79"/>
      <c r="W508" s="79"/>
      <c r="X508" s="79"/>
      <c r="Y508" s="79"/>
      <c r="Z508" s="79"/>
    </row>
    <row r="509" spans="1:26" ht="15.75" customHeight="1" x14ac:dyDescent="0.25">
      <c r="A509" s="79"/>
      <c r="B509" s="79"/>
      <c r="C509" s="400"/>
      <c r="D509" s="400"/>
      <c r="E509" s="400"/>
      <c r="F509" s="400"/>
      <c r="G509" s="79"/>
      <c r="H509" s="79"/>
      <c r="I509" s="79"/>
      <c r="J509" s="396"/>
      <c r="K509" s="399"/>
      <c r="L509" s="396"/>
      <c r="M509" s="396"/>
      <c r="N509" s="396"/>
      <c r="O509" s="396"/>
      <c r="P509" s="396"/>
      <c r="Q509" s="396"/>
      <c r="R509" s="396"/>
      <c r="S509" s="79"/>
      <c r="T509" s="79"/>
      <c r="U509" s="79"/>
      <c r="V509" s="79"/>
      <c r="W509" s="79"/>
      <c r="X509" s="79"/>
      <c r="Y509" s="79"/>
      <c r="Z509" s="79"/>
    </row>
    <row r="510" spans="1:26" ht="15.75" customHeight="1" x14ac:dyDescent="0.25">
      <c r="A510" s="79"/>
      <c r="B510" s="79"/>
      <c r="C510" s="400"/>
      <c r="D510" s="400"/>
      <c r="E510" s="400"/>
      <c r="F510" s="400"/>
      <c r="G510" s="79"/>
      <c r="H510" s="79"/>
      <c r="I510" s="79"/>
      <c r="J510" s="396"/>
      <c r="K510" s="399"/>
      <c r="L510" s="396"/>
      <c r="M510" s="396"/>
      <c r="N510" s="396"/>
      <c r="O510" s="396"/>
      <c r="P510" s="396"/>
      <c r="Q510" s="396"/>
      <c r="R510" s="396"/>
      <c r="S510" s="79"/>
      <c r="T510" s="79"/>
      <c r="U510" s="79"/>
      <c r="V510" s="79"/>
      <c r="W510" s="79"/>
      <c r="X510" s="79"/>
      <c r="Y510" s="79"/>
      <c r="Z510" s="79"/>
    </row>
    <row r="511" spans="1:26" ht="15.75" customHeight="1" x14ac:dyDescent="0.25">
      <c r="A511" s="79"/>
      <c r="B511" s="79"/>
      <c r="C511" s="400"/>
      <c r="D511" s="400"/>
      <c r="E511" s="400"/>
      <c r="F511" s="400"/>
      <c r="G511" s="79"/>
      <c r="H511" s="79"/>
      <c r="I511" s="79"/>
      <c r="J511" s="396"/>
      <c r="K511" s="399"/>
      <c r="L511" s="396"/>
      <c r="M511" s="396"/>
      <c r="N511" s="396"/>
      <c r="O511" s="396"/>
      <c r="P511" s="396"/>
      <c r="Q511" s="396"/>
      <c r="R511" s="396"/>
      <c r="S511" s="79"/>
      <c r="T511" s="79"/>
      <c r="U511" s="79"/>
      <c r="V511" s="79"/>
      <c r="W511" s="79"/>
      <c r="X511" s="79"/>
      <c r="Y511" s="79"/>
      <c r="Z511" s="79"/>
    </row>
    <row r="512" spans="1:26" ht="15.75" customHeight="1" x14ac:dyDescent="0.25">
      <c r="A512" s="79"/>
      <c r="B512" s="79"/>
      <c r="C512" s="400"/>
      <c r="D512" s="400"/>
      <c r="E512" s="400"/>
      <c r="F512" s="400"/>
      <c r="G512" s="79"/>
      <c r="H512" s="79"/>
      <c r="I512" s="79"/>
      <c r="J512" s="396"/>
      <c r="K512" s="399"/>
      <c r="L512" s="396"/>
      <c r="M512" s="396"/>
      <c r="N512" s="396"/>
      <c r="O512" s="396"/>
      <c r="P512" s="396"/>
      <c r="Q512" s="396"/>
      <c r="R512" s="396"/>
      <c r="S512" s="79"/>
      <c r="T512" s="79"/>
      <c r="U512" s="79"/>
      <c r="V512" s="79"/>
      <c r="W512" s="79"/>
      <c r="X512" s="79"/>
      <c r="Y512" s="79"/>
      <c r="Z512" s="79"/>
    </row>
    <row r="513" spans="1:26" ht="15.75" customHeight="1" x14ac:dyDescent="0.25">
      <c r="A513" s="79"/>
      <c r="B513" s="79"/>
      <c r="C513" s="400"/>
      <c r="D513" s="400"/>
      <c r="E513" s="400"/>
      <c r="F513" s="400"/>
      <c r="G513" s="79"/>
      <c r="H513" s="79"/>
      <c r="I513" s="79"/>
      <c r="J513" s="396"/>
      <c r="K513" s="399"/>
      <c r="L513" s="396"/>
      <c r="M513" s="396"/>
      <c r="N513" s="396"/>
      <c r="O513" s="396"/>
      <c r="P513" s="396"/>
      <c r="Q513" s="396"/>
      <c r="R513" s="396"/>
      <c r="S513" s="79"/>
      <c r="T513" s="79"/>
      <c r="U513" s="79"/>
      <c r="V513" s="79"/>
      <c r="W513" s="79"/>
      <c r="X513" s="79"/>
      <c r="Y513" s="79"/>
      <c r="Z513" s="79"/>
    </row>
    <row r="514" spans="1:26" ht="15.75" customHeight="1" x14ac:dyDescent="0.25">
      <c r="A514" s="79"/>
      <c r="B514" s="79"/>
      <c r="C514" s="400"/>
      <c r="D514" s="400"/>
      <c r="E514" s="400"/>
      <c r="F514" s="400"/>
      <c r="G514" s="79"/>
      <c r="H514" s="79"/>
      <c r="I514" s="79"/>
      <c r="J514" s="396"/>
      <c r="K514" s="399"/>
      <c r="L514" s="396"/>
      <c r="M514" s="396"/>
      <c r="N514" s="396"/>
      <c r="O514" s="396"/>
      <c r="P514" s="396"/>
      <c r="Q514" s="396"/>
      <c r="R514" s="396"/>
      <c r="S514" s="79"/>
      <c r="T514" s="79"/>
      <c r="U514" s="79"/>
      <c r="V514" s="79"/>
      <c r="W514" s="79"/>
      <c r="X514" s="79"/>
      <c r="Y514" s="79"/>
      <c r="Z514" s="79"/>
    </row>
    <row r="515" spans="1:26" ht="15.75" customHeight="1" x14ac:dyDescent="0.25">
      <c r="A515" s="79"/>
      <c r="B515" s="79"/>
      <c r="C515" s="400"/>
      <c r="D515" s="400"/>
      <c r="E515" s="400"/>
      <c r="F515" s="400"/>
      <c r="G515" s="79"/>
      <c r="H515" s="79"/>
      <c r="I515" s="79"/>
      <c r="J515" s="396"/>
      <c r="K515" s="399"/>
      <c r="L515" s="396"/>
      <c r="M515" s="396"/>
      <c r="N515" s="396"/>
      <c r="O515" s="396"/>
      <c r="P515" s="396"/>
      <c r="Q515" s="396"/>
      <c r="R515" s="396"/>
      <c r="S515" s="79"/>
      <c r="T515" s="79"/>
      <c r="U515" s="79"/>
      <c r="V515" s="79"/>
      <c r="W515" s="79"/>
      <c r="X515" s="79"/>
      <c r="Y515" s="79"/>
      <c r="Z515" s="79"/>
    </row>
    <row r="516" spans="1:26" ht="15.75" customHeight="1" x14ac:dyDescent="0.25">
      <c r="A516" s="79"/>
      <c r="B516" s="79"/>
      <c r="C516" s="400"/>
      <c r="D516" s="400"/>
      <c r="E516" s="400"/>
      <c r="F516" s="400"/>
      <c r="G516" s="79"/>
      <c r="H516" s="79"/>
      <c r="I516" s="79"/>
      <c r="J516" s="396"/>
      <c r="K516" s="399"/>
      <c r="L516" s="396"/>
      <c r="M516" s="396"/>
      <c r="N516" s="396"/>
      <c r="O516" s="396"/>
      <c r="P516" s="396"/>
      <c r="Q516" s="396"/>
      <c r="R516" s="396"/>
      <c r="S516" s="79"/>
      <c r="T516" s="79"/>
      <c r="U516" s="79"/>
      <c r="V516" s="79"/>
      <c r="W516" s="79"/>
      <c r="X516" s="79"/>
      <c r="Y516" s="79"/>
      <c r="Z516" s="79"/>
    </row>
    <row r="517" spans="1:26" ht="15.75" customHeight="1" x14ac:dyDescent="0.25">
      <c r="A517" s="79"/>
      <c r="B517" s="79"/>
      <c r="C517" s="400"/>
      <c r="D517" s="400"/>
      <c r="E517" s="400"/>
      <c r="F517" s="400"/>
      <c r="G517" s="79"/>
      <c r="H517" s="79"/>
      <c r="I517" s="79"/>
      <c r="J517" s="396"/>
      <c r="K517" s="399"/>
      <c r="L517" s="396"/>
      <c r="M517" s="396"/>
      <c r="N517" s="396"/>
      <c r="O517" s="396"/>
      <c r="P517" s="396"/>
      <c r="Q517" s="396"/>
      <c r="R517" s="396"/>
      <c r="S517" s="79"/>
      <c r="T517" s="79"/>
      <c r="U517" s="79"/>
      <c r="V517" s="79"/>
      <c r="W517" s="79"/>
      <c r="X517" s="79"/>
      <c r="Y517" s="79"/>
      <c r="Z517" s="79"/>
    </row>
    <row r="518" spans="1:26" ht="15.75" customHeight="1" x14ac:dyDescent="0.25">
      <c r="A518" s="79"/>
      <c r="B518" s="79"/>
      <c r="C518" s="400"/>
      <c r="D518" s="400"/>
      <c r="E518" s="400"/>
      <c r="F518" s="400"/>
      <c r="G518" s="79"/>
      <c r="H518" s="79"/>
      <c r="I518" s="79"/>
      <c r="J518" s="396"/>
      <c r="K518" s="399"/>
      <c r="L518" s="396"/>
      <c r="M518" s="396"/>
      <c r="N518" s="396"/>
      <c r="O518" s="396"/>
      <c r="P518" s="396"/>
      <c r="Q518" s="396"/>
      <c r="R518" s="396"/>
      <c r="S518" s="79"/>
      <c r="T518" s="79"/>
      <c r="U518" s="79"/>
      <c r="V518" s="79"/>
      <c r="W518" s="79"/>
      <c r="X518" s="79"/>
      <c r="Y518" s="79"/>
      <c r="Z518" s="79"/>
    </row>
    <row r="519" spans="1:26" ht="15.75" customHeight="1" x14ac:dyDescent="0.25">
      <c r="A519" s="79"/>
      <c r="B519" s="79"/>
      <c r="C519" s="400"/>
      <c r="D519" s="400"/>
      <c r="E519" s="400"/>
      <c r="F519" s="400"/>
      <c r="G519" s="79"/>
      <c r="H519" s="79"/>
      <c r="I519" s="79"/>
      <c r="J519" s="396"/>
      <c r="K519" s="399"/>
      <c r="L519" s="396"/>
      <c r="M519" s="396"/>
      <c r="N519" s="396"/>
      <c r="O519" s="396"/>
      <c r="P519" s="396"/>
      <c r="Q519" s="396"/>
      <c r="R519" s="396"/>
      <c r="S519" s="79"/>
      <c r="T519" s="79"/>
      <c r="U519" s="79"/>
      <c r="V519" s="79"/>
      <c r="W519" s="79"/>
      <c r="X519" s="79"/>
      <c r="Y519" s="79"/>
      <c r="Z519" s="79"/>
    </row>
    <row r="520" spans="1:26" ht="15.75" customHeight="1" x14ac:dyDescent="0.25">
      <c r="A520" s="79"/>
      <c r="B520" s="79"/>
      <c r="C520" s="400"/>
      <c r="D520" s="400"/>
      <c r="E520" s="400"/>
      <c r="F520" s="400"/>
      <c r="G520" s="79"/>
      <c r="H520" s="79"/>
      <c r="I520" s="79"/>
      <c r="J520" s="396"/>
      <c r="K520" s="399"/>
      <c r="L520" s="396"/>
      <c r="M520" s="396"/>
      <c r="N520" s="396"/>
      <c r="O520" s="396"/>
      <c r="P520" s="396"/>
      <c r="Q520" s="396"/>
      <c r="R520" s="396"/>
      <c r="S520" s="79"/>
      <c r="T520" s="79"/>
      <c r="U520" s="79"/>
      <c r="V520" s="79"/>
      <c r="W520" s="79"/>
      <c r="X520" s="79"/>
      <c r="Y520" s="79"/>
      <c r="Z520" s="79"/>
    </row>
    <row r="521" spans="1:26" ht="15.75" customHeight="1" x14ac:dyDescent="0.25">
      <c r="A521" s="79"/>
      <c r="B521" s="79"/>
      <c r="C521" s="400"/>
      <c r="D521" s="400"/>
      <c r="E521" s="400"/>
      <c r="F521" s="400"/>
      <c r="G521" s="79"/>
      <c r="H521" s="79"/>
      <c r="I521" s="79"/>
      <c r="J521" s="396"/>
      <c r="K521" s="399"/>
      <c r="L521" s="396"/>
      <c r="M521" s="396"/>
      <c r="N521" s="396"/>
      <c r="O521" s="396"/>
      <c r="P521" s="396"/>
      <c r="Q521" s="396"/>
      <c r="R521" s="396"/>
      <c r="S521" s="79"/>
      <c r="T521" s="79"/>
      <c r="U521" s="79"/>
      <c r="V521" s="79"/>
      <c r="W521" s="79"/>
      <c r="X521" s="79"/>
      <c r="Y521" s="79"/>
      <c r="Z521" s="79"/>
    </row>
    <row r="522" spans="1:26" ht="15.75" customHeight="1" x14ac:dyDescent="0.25">
      <c r="A522" s="79"/>
      <c r="B522" s="79"/>
      <c r="C522" s="400"/>
      <c r="D522" s="400"/>
      <c r="E522" s="400"/>
      <c r="F522" s="400"/>
      <c r="G522" s="79"/>
      <c r="H522" s="79"/>
      <c r="I522" s="79"/>
      <c r="J522" s="396"/>
      <c r="K522" s="399"/>
      <c r="L522" s="396"/>
      <c r="M522" s="396"/>
      <c r="N522" s="396"/>
      <c r="O522" s="396"/>
      <c r="P522" s="396"/>
      <c r="Q522" s="396"/>
      <c r="R522" s="396"/>
      <c r="S522" s="79"/>
      <c r="T522" s="79"/>
      <c r="U522" s="79"/>
      <c r="V522" s="79"/>
      <c r="W522" s="79"/>
      <c r="X522" s="79"/>
      <c r="Y522" s="79"/>
      <c r="Z522" s="79"/>
    </row>
    <row r="523" spans="1:26" ht="15.75" customHeight="1" x14ac:dyDescent="0.25">
      <c r="A523" s="79"/>
      <c r="B523" s="79"/>
      <c r="C523" s="400"/>
      <c r="D523" s="400"/>
      <c r="E523" s="400"/>
      <c r="F523" s="400"/>
      <c r="G523" s="79"/>
      <c r="H523" s="79"/>
      <c r="I523" s="79"/>
      <c r="J523" s="396"/>
      <c r="K523" s="399"/>
      <c r="L523" s="396"/>
      <c r="M523" s="396"/>
      <c r="N523" s="396"/>
      <c r="O523" s="396"/>
      <c r="P523" s="396"/>
      <c r="Q523" s="396"/>
      <c r="R523" s="396"/>
      <c r="S523" s="79"/>
      <c r="T523" s="79"/>
      <c r="U523" s="79"/>
      <c r="V523" s="79"/>
      <c r="W523" s="79"/>
      <c r="X523" s="79"/>
      <c r="Y523" s="79"/>
      <c r="Z523" s="79"/>
    </row>
    <row r="524" spans="1:26" ht="15.75" customHeight="1" x14ac:dyDescent="0.25">
      <c r="A524" s="79"/>
      <c r="B524" s="79"/>
      <c r="C524" s="400"/>
      <c r="D524" s="400"/>
      <c r="E524" s="400"/>
      <c r="F524" s="400"/>
      <c r="G524" s="79"/>
      <c r="H524" s="79"/>
      <c r="I524" s="79"/>
      <c r="J524" s="396"/>
      <c r="K524" s="399"/>
      <c r="L524" s="396"/>
      <c r="M524" s="396"/>
      <c r="N524" s="396"/>
      <c r="O524" s="396"/>
      <c r="P524" s="396"/>
      <c r="Q524" s="396"/>
      <c r="R524" s="396"/>
      <c r="S524" s="79"/>
      <c r="T524" s="79"/>
      <c r="U524" s="79"/>
      <c r="V524" s="79"/>
      <c r="W524" s="79"/>
      <c r="X524" s="79"/>
      <c r="Y524" s="79"/>
      <c r="Z524" s="79"/>
    </row>
    <row r="525" spans="1:26" ht="15.75" customHeight="1" x14ac:dyDescent="0.25">
      <c r="A525" s="79"/>
      <c r="B525" s="79"/>
      <c r="C525" s="400"/>
      <c r="D525" s="400"/>
      <c r="E525" s="400"/>
      <c r="F525" s="400"/>
      <c r="G525" s="79"/>
      <c r="H525" s="79"/>
      <c r="I525" s="79"/>
      <c r="J525" s="396"/>
      <c r="K525" s="399"/>
      <c r="L525" s="396"/>
      <c r="M525" s="396"/>
      <c r="N525" s="396"/>
      <c r="O525" s="396"/>
      <c r="P525" s="396"/>
      <c r="Q525" s="396"/>
      <c r="R525" s="396"/>
      <c r="S525" s="79"/>
      <c r="T525" s="79"/>
      <c r="U525" s="79"/>
      <c r="V525" s="79"/>
      <c r="W525" s="79"/>
      <c r="X525" s="79"/>
      <c r="Y525" s="79"/>
      <c r="Z525" s="79"/>
    </row>
    <row r="526" spans="1:26" ht="15.75" customHeight="1" x14ac:dyDescent="0.25">
      <c r="A526" s="79"/>
      <c r="B526" s="79"/>
      <c r="C526" s="400"/>
      <c r="D526" s="400"/>
      <c r="E526" s="400"/>
      <c r="F526" s="400"/>
      <c r="G526" s="79"/>
      <c r="H526" s="79"/>
      <c r="I526" s="79"/>
      <c r="J526" s="396"/>
      <c r="K526" s="399"/>
      <c r="L526" s="396"/>
      <c r="M526" s="396"/>
      <c r="N526" s="396"/>
      <c r="O526" s="396"/>
      <c r="P526" s="396"/>
      <c r="Q526" s="396"/>
      <c r="R526" s="396"/>
      <c r="S526" s="79"/>
      <c r="T526" s="79"/>
      <c r="U526" s="79"/>
      <c r="V526" s="79"/>
      <c r="W526" s="79"/>
      <c r="X526" s="79"/>
      <c r="Y526" s="79"/>
      <c r="Z526" s="79"/>
    </row>
    <row r="527" spans="1:26" ht="15.75" customHeight="1" x14ac:dyDescent="0.25">
      <c r="A527" s="79"/>
      <c r="B527" s="79"/>
      <c r="C527" s="400"/>
      <c r="D527" s="400"/>
      <c r="E527" s="400"/>
      <c r="F527" s="400"/>
      <c r="G527" s="79"/>
      <c r="H527" s="79"/>
      <c r="I527" s="79"/>
      <c r="J527" s="396"/>
      <c r="K527" s="399"/>
      <c r="L527" s="396"/>
      <c r="M527" s="396"/>
      <c r="N527" s="396"/>
      <c r="O527" s="396"/>
      <c r="P527" s="396"/>
      <c r="Q527" s="396"/>
      <c r="R527" s="396"/>
      <c r="S527" s="79"/>
      <c r="T527" s="79"/>
      <c r="U527" s="79"/>
      <c r="V527" s="79"/>
      <c r="W527" s="79"/>
      <c r="X527" s="79"/>
      <c r="Y527" s="79"/>
      <c r="Z527" s="79"/>
    </row>
    <row r="528" spans="1:26" ht="15.75" customHeight="1" x14ac:dyDescent="0.25">
      <c r="A528" s="79"/>
      <c r="B528" s="79"/>
      <c r="C528" s="400"/>
      <c r="D528" s="400"/>
      <c r="E528" s="400"/>
      <c r="F528" s="400"/>
      <c r="G528" s="79"/>
      <c r="H528" s="79"/>
      <c r="I528" s="79"/>
      <c r="J528" s="396"/>
      <c r="K528" s="399"/>
      <c r="L528" s="396"/>
      <c r="M528" s="396"/>
      <c r="N528" s="396"/>
      <c r="O528" s="396"/>
      <c r="P528" s="396"/>
      <c r="Q528" s="396"/>
      <c r="R528" s="396"/>
      <c r="S528" s="79"/>
      <c r="T528" s="79"/>
      <c r="U528" s="79"/>
      <c r="V528" s="79"/>
      <c r="W528" s="79"/>
      <c r="X528" s="79"/>
      <c r="Y528" s="79"/>
      <c r="Z528" s="79"/>
    </row>
    <row r="529" spans="1:26" ht="15.75" customHeight="1" x14ac:dyDescent="0.25">
      <c r="A529" s="79"/>
      <c r="B529" s="79"/>
      <c r="C529" s="400"/>
      <c r="D529" s="400"/>
      <c r="E529" s="400"/>
      <c r="F529" s="400"/>
      <c r="G529" s="79"/>
      <c r="H529" s="79"/>
      <c r="I529" s="79"/>
      <c r="J529" s="396"/>
      <c r="K529" s="399"/>
      <c r="L529" s="396"/>
      <c r="M529" s="396"/>
      <c r="N529" s="396"/>
      <c r="O529" s="396"/>
      <c r="P529" s="396"/>
      <c r="Q529" s="396"/>
      <c r="R529" s="396"/>
      <c r="S529" s="79"/>
      <c r="T529" s="79"/>
      <c r="U529" s="79"/>
      <c r="V529" s="79"/>
      <c r="W529" s="79"/>
      <c r="X529" s="79"/>
      <c r="Y529" s="79"/>
      <c r="Z529" s="79"/>
    </row>
    <row r="530" spans="1:26" ht="15.75" customHeight="1" x14ac:dyDescent="0.25">
      <c r="A530" s="79"/>
      <c r="B530" s="79"/>
      <c r="C530" s="400"/>
      <c r="D530" s="400"/>
      <c r="E530" s="400"/>
      <c r="F530" s="400"/>
      <c r="G530" s="79"/>
      <c r="H530" s="79"/>
      <c r="I530" s="79"/>
      <c r="J530" s="396"/>
      <c r="K530" s="399"/>
      <c r="L530" s="396"/>
      <c r="M530" s="396"/>
      <c r="N530" s="396"/>
      <c r="O530" s="396"/>
      <c r="P530" s="396"/>
      <c r="Q530" s="396"/>
      <c r="R530" s="396"/>
      <c r="S530" s="79"/>
      <c r="T530" s="79"/>
      <c r="U530" s="79"/>
      <c r="V530" s="79"/>
      <c r="W530" s="79"/>
      <c r="X530" s="79"/>
      <c r="Y530" s="79"/>
      <c r="Z530" s="79"/>
    </row>
    <row r="531" spans="1:26" ht="15.75" customHeight="1" x14ac:dyDescent="0.25">
      <c r="A531" s="79"/>
      <c r="B531" s="79"/>
      <c r="C531" s="400"/>
      <c r="D531" s="400"/>
      <c r="E531" s="400"/>
      <c r="F531" s="400"/>
      <c r="G531" s="79"/>
      <c r="H531" s="79"/>
      <c r="I531" s="79"/>
      <c r="J531" s="396"/>
      <c r="K531" s="399"/>
      <c r="L531" s="396"/>
      <c r="M531" s="396"/>
      <c r="N531" s="396"/>
      <c r="O531" s="396"/>
      <c r="P531" s="396"/>
      <c r="Q531" s="396"/>
      <c r="R531" s="396"/>
      <c r="S531" s="79"/>
      <c r="T531" s="79"/>
      <c r="U531" s="79"/>
      <c r="V531" s="79"/>
      <c r="W531" s="79"/>
      <c r="X531" s="79"/>
      <c r="Y531" s="79"/>
      <c r="Z531" s="79"/>
    </row>
    <row r="532" spans="1:26" ht="15.75" customHeight="1" x14ac:dyDescent="0.25">
      <c r="A532" s="79"/>
      <c r="B532" s="79"/>
      <c r="C532" s="400"/>
      <c r="D532" s="400"/>
      <c r="E532" s="400"/>
      <c r="F532" s="400"/>
      <c r="G532" s="79"/>
      <c r="H532" s="79"/>
      <c r="I532" s="79"/>
      <c r="J532" s="396"/>
      <c r="K532" s="399"/>
      <c r="L532" s="396"/>
      <c r="M532" s="396"/>
      <c r="N532" s="396"/>
      <c r="O532" s="396"/>
      <c r="P532" s="396"/>
      <c r="Q532" s="396"/>
      <c r="R532" s="396"/>
      <c r="S532" s="79"/>
      <c r="T532" s="79"/>
      <c r="U532" s="79"/>
      <c r="V532" s="79"/>
      <c r="W532" s="79"/>
      <c r="X532" s="79"/>
      <c r="Y532" s="79"/>
      <c r="Z532" s="79"/>
    </row>
    <row r="533" spans="1:26" ht="15.75" customHeight="1" x14ac:dyDescent="0.25">
      <c r="A533" s="79"/>
      <c r="B533" s="79"/>
      <c r="C533" s="400"/>
      <c r="D533" s="400"/>
      <c r="E533" s="400"/>
      <c r="F533" s="400"/>
      <c r="G533" s="79"/>
      <c r="H533" s="79"/>
      <c r="I533" s="79"/>
      <c r="J533" s="396"/>
      <c r="K533" s="399"/>
      <c r="L533" s="396"/>
      <c r="M533" s="396"/>
      <c r="N533" s="396"/>
      <c r="O533" s="396"/>
      <c r="P533" s="396"/>
      <c r="Q533" s="396"/>
      <c r="R533" s="396"/>
      <c r="S533" s="79"/>
      <c r="T533" s="79"/>
      <c r="U533" s="79"/>
      <c r="V533" s="79"/>
      <c r="W533" s="79"/>
      <c r="X533" s="79"/>
      <c r="Y533" s="79"/>
      <c r="Z533" s="79"/>
    </row>
    <row r="534" spans="1:26" ht="15.75" customHeight="1" x14ac:dyDescent="0.25">
      <c r="A534" s="79"/>
      <c r="B534" s="79"/>
      <c r="C534" s="400"/>
      <c r="D534" s="400"/>
      <c r="E534" s="400"/>
      <c r="F534" s="400"/>
      <c r="G534" s="79"/>
      <c r="H534" s="79"/>
      <c r="I534" s="79"/>
      <c r="J534" s="396"/>
      <c r="K534" s="399"/>
      <c r="L534" s="396"/>
      <c r="M534" s="396"/>
      <c r="N534" s="396"/>
      <c r="O534" s="396"/>
      <c r="P534" s="396"/>
      <c r="Q534" s="396"/>
      <c r="R534" s="396"/>
      <c r="S534" s="79"/>
      <c r="T534" s="79"/>
      <c r="U534" s="79"/>
      <c r="V534" s="79"/>
      <c r="W534" s="79"/>
      <c r="X534" s="79"/>
      <c r="Y534" s="79"/>
      <c r="Z534" s="79"/>
    </row>
    <row r="535" spans="1:26" ht="15.75" customHeight="1" x14ac:dyDescent="0.25">
      <c r="A535" s="79"/>
      <c r="B535" s="79"/>
      <c r="C535" s="400"/>
      <c r="D535" s="400"/>
      <c r="E535" s="400"/>
      <c r="F535" s="400"/>
      <c r="G535" s="79"/>
      <c r="H535" s="79"/>
      <c r="I535" s="79"/>
      <c r="J535" s="396"/>
      <c r="K535" s="399"/>
      <c r="L535" s="396"/>
      <c r="M535" s="396"/>
      <c r="N535" s="396"/>
      <c r="O535" s="396"/>
      <c r="P535" s="396"/>
      <c r="Q535" s="396"/>
      <c r="R535" s="396"/>
      <c r="S535" s="79"/>
      <c r="T535" s="79"/>
      <c r="U535" s="79"/>
      <c r="V535" s="79"/>
      <c r="W535" s="79"/>
      <c r="X535" s="79"/>
      <c r="Y535" s="79"/>
      <c r="Z535" s="79"/>
    </row>
    <row r="536" spans="1:26" ht="15.75" customHeight="1" x14ac:dyDescent="0.25">
      <c r="A536" s="79"/>
      <c r="B536" s="79"/>
      <c r="C536" s="400"/>
      <c r="D536" s="400"/>
      <c r="E536" s="400"/>
      <c r="F536" s="400"/>
      <c r="G536" s="79"/>
      <c r="H536" s="79"/>
      <c r="I536" s="79"/>
      <c r="J536" s="396"/>
      <c r="K536" s="399"/>
      <c r="L536" s="396"/>
      <c r="M536" s="396"/>
      <c r="N536" s="396"/>
      <c r="O536" s="396"/>
      <c r="P536" s="396"/>
      <c r="Q536" s="396"/>
      <c r="R536" s="396"/>
      <c r="S536" s="79"/>
      <c r="T536" s="79"/>
      <c r="U536" s="79"/>
      <c r="V536" s="79"/>
      <c r="W536" s="79"/>
      <c r="X536" s="79"/>
      <c r="Y536" s="79"/>
      <c r="Z536" s="79"/>
    </row>
    <row r="537" spans="1:26" ht="15.75" customHeight="1" x14ac:dyDescent="0.25">
      <c r="A537" s="79"/>
      <c r="B537" s="79"/>
      <c r="C537" s="400"/>
      <c r="D537" s="400"/>
      <c r="E537" s="400"/>
      <c r="F537" s="400"/>
      <c r="G537" s="79"/>
      <c r="H537" s="79"/>
      <c r="I537" s="79"/>
      <c r="J537" s="396"/>
      <c r="K537" s="399"/>
      <c r="L537" s="396"/>
      <c r="M537" s="396"/>
      <c r="N537" s="396"/>
      <c r="O537" s="396"/>
      <c r="P537" s="396"/>
      <c r="Q537" s="396"/>
      <c r="R537" s="396"/>
      <c r="S537" s="79"/>
      <c r="T537" s="79"/>
      <c r="U537" s="79"/>
      <c r="V537" s="79"/>
      <c r="W537" s="79"/>
      <c r="X537" s="79"/>
      <c r="Y537" s="79"/>
      <c r="Z537" s="79"/>
    </row>
    <row r="538" spans="1:26" ht="15.75" customHeight="1" x14ac:dyDescent="0.25">
      <c r="A538" s="79"/>
      <c r="B538" s="79"/>
      <c r="C538" s="400"/>
      <c r="D538" s="400"/>
      <c r="E538" s="400"/>
      <c r="F538" s="400"/>
      <c r="G538" s="79"/>
      <c r="H538" s="79"/>
      <c r="I538" s="79"/>
      <c r="J538" s="396"/>
      <c r="K538" s="399"/>
      <c r="L538" s="396"/>
      <c r="M538" s="396"/>
      <c r="N538" s="396"/>
      <c r="O538" s="396"/>
      <c r="P538" s="396"/>
      <c r="Q538" s="396"/>
      <c r="R538" s="396"/>
      <c r="S538" s="79"/>
      <c r="T538" s="79"/>
      <c r="U538" s="79"/>
      <c r="V538" s="79"/>
      <c r="W538" s="79"/>
      <c r="X538" s="79"/>
      <c r="Y538" s="79"/>
      <c r="Z538" s="79"/>
    </row>
    <row r="539" spans="1:26" ht="15.75" customHeight="1" x14ac:dyDescent="0.25">
      <c r="A539" s="79"/>
      <c r="B539" s="79"/>
      <c r="C539" s="400"/>
      <c r="D539" s="400"/>
      <c r="E539" s="400"/>
      <c r="F539" s="400"/>
      <c r="G539" s="79"/>
      <c r="H539" s="79"/>
      <c r="I539" s="79"/>
      <c r="J539" s="396"/>
      <c r="K539" s="399"/>
      <c r="L539" s="396"/>
      <c r="M539" s="396"/>
      <c r="N539" s="396"/>
      <c r="O539" s="396"/>
      <c r="P539" s="396"/>
      <c r="Q539" s="396"/>
      <c r="R539" s="396"/>
      <c r="S539" s="79"/>
      <c r="T539" s="79"/>
      <c r="U539" s="79"/>
      <c r="V539" s="79"/>
      <c r="W539" s="79"/>
      <c r="X539" s="79"/>
      <c r="Y539" s="79"/>
      <c r="Z539" s="79"/>
    </row>
    <row r="540" spans="1:26" ht="15.75" customHeight="1" x14ac:dyDescent="0.25">
      <c r="A540" s="79"/>
      <c r="B540" s="79"/>
      <c r="C540" s="400"/>
      <c r="D540" s="400"/>
      <c r="E540" s="400"/>
      <c r="F540" s="400"/>
      <c r="G540" s="79"/>
      <c r="H540" s="79"/>
      <c r="I540" s="79"/>
      <c r="J540" s="396"/>
      <c r="K540" s="399"/>
      <c r="L540" s="396"/>
      <c r="M540" s="396"/>
      <c r="N540" s="396"/>
      <c r="O540" s="396"/>
      <c r="P540" s="396"/>
      <c r="Q540" s="396"/>
      <c r="R540" s="396"/>
      <c r="S540" s="79"/>
      <c r="T540" s="79"/>
      <c r="U540" s="79"/>
      <c r="V540" s="79"/>
      <c r="W540" s="79"/>
      <c r="X540" s="79"/>
      <c r="Y540" s="79"/>
      <c r="Z540" s="79"/>
    </row>
    <row r="541" spans="1:26" ht="15.75" customHeight="1" x14ac:dyDescent="0.25">
      <c r="A541" s="79"/>
      <c r="B541" s="79"/>
      <c r="C541" s="400"/>
      <c r="D541" s="400"/>
      <c r="E541" s="400"/>
      <c r="F541" s="400"/>
      <c r="G541" s="79"/>
      <c r="H541" s="79"/>
      <c r="I541" s="79"/>
      <c r="J541" s="396"/>
      <c r="K541" s="399"/>
      <c r="L541" s="396"/>
      <c r="M541" s="396"/>
      <c r="N541" s="396"/>
      <c r="O541" s="396"/>
      <c r="P541" s="396"/>
      <c r="Q541" s="396"/>
      <c r="R541" s="396"/>
      <c r="S541" s="79"/>
      <c r="T541" s="79"/>
      <c r="U541" s="79"/>
      <c r="V541" s="79"/>
      <c r="W541" s="79"/>
      <c r="X541" s="79"/>
      <c r="Y541" s="79"/>
      <c r="Z541" s="79"/>
    </row>
    <row r="542" spans="1:26" ht="15.75" customHeight="1" x14ac:dyDescent="0.25">
      <c r="A542" s="79"/>
      <c r="B542" s="79"/>
      <c r="C542" s="400"/>
      <c r="D542" s="400"/>
      <c r="E542" s="400"/>
      <c r="F542" s="400"/>
      <c r="G542" s="79"/>
      <c r="H542" s="79"/>
      <c r="I542" s="79"/>
      <c r="J542" s="396"/>
      <c r="K542" s="399"/>
      <c r="L542" s="396"/>
      <c r="M542" s="396"/>
      <c r="N542" s="396"/>
      <c r="O542" s="396"/>
      <c r="P542" s="396"/>
      <c r="Q542" s="396"/>
      <c r="R542" s="396"/>
      <c r="S542" s="79"/>
      <c r="T542" s="79"/>
      <c r="U542" s="79"/>
      <c r="V542" s="79"/>
      <c r="W542" s="79"/>
      <c r="X542" s="79"/>
      <c r="Y542" s="79"/>
      <c r="Z542" s="79"/>
    </row>
    <row r="543" spans="1:26" ht="15.75" customHeight="1" x14ac:dyDescent="0.25">
      <c r="A543" s="79"/>
      <c r="B543" s="79"/>
      <c r="C543" s="400"/>
      <c r="D543" s="400"/>
      <c r="E543" s="400"/>
      <c r="F543" s="400"/>
      <c r="G543" s="79"/>
      <c r="H543" s="79"/>
      <c r="I543" s="79"/>
      <c r="J543" s="396"/>
      <c r="K543" s="399"/>
      <c r="L543" s="396"/>
      <c r="M543" s="396"/>
      <c r="N543" s="396"/>
      <c r="O543" s="396"/>
      <c r="P543" s="396"/>
      <c r="Q543" s="396"/>
      <c r="R543" s="396"/>
      <c r="S543" s="79"/>
      <c r="T543" s="79"/>
      <c r="U543" s="79"/>
      <c r="V543" s="79"/>
      <c r="W543" s="79"/>
      <c r="X543" s="79"/>
      <c r="Y543" s="79"/>
      <c r="Z543" s="79"/>
    </row>
    <row r="544" spans="1:26" ht="15.75" customHeight="1" x14ac:dyDescent="0.25">
      <c r="A544" s="79"/>
      <c r="B544" s="79"/>
      <c r="C544" s="400"/>
      <c r="D544" s="400"/>
      <c r="E544" s="400"/>
      <c r="F544" s="400"/>
      <c r="G544" s="79"/>
      <c r="H544" s="79"/>
      <c r="I544" s="79"/>
      <c r="J544" s="396"/>
      <c r="K544" s="399"/>
      <c r="L544" s="396"/>
      <c r="M544" s="396"/>
      <c r="N544" s="396"/>
      <c r="O544" s="396"/>
      <c r="P544" s="396"/>
      <c r="Q544" s="396"/>
      <c r="R544" s="396"/>
      <c r="S544" s="79"/>
      <c r="T544" s="79"/>
      <c r="U544" s="79"/>
      <c r="V544" s="79"/>
      <c r="W544" s="79"/>
      <c r="X544" s="79"/>
      <c r="Y544" s="79"/>
      <c r="Z544" s="79"/>
    </row>
    <row r="545" spans="1:26" ht="15.75" customHeight="1" x14ac:dyDescent="0.25">
      <c r="A545" s="79"/>
      <c r="B545" s="79"/>
      <c r="C545" s="400"/>
      <c r="D545" s="400"/>
      <c r="E545" s="400"/>
      <c r="F545" s="400"/>
      <c r="G545" s="79"/>
      <c r="H545" s="79"/>
      <c r="I545" s="79"/>
      <c r="J545" s="396"/>
      <c r="K545" s="399"/>
      <c r="L545" s="396"/>
      <c r="M545" s="396"/>
      <c r="N545" s="396"/>
      <c r="O545" s="396"/>
      <c r="P545" s="396"/>
      <c r="Q545" s="396"/>
      <c r="R545" s="396"/>
      <c r="S545" s="79"/>
      <c r="T545" s="79"/>
      <c r="U545" s="79"/>
      <c r="V545" s="79"/>
      <c r="W545" s="79"/>
      <c r="X545" s="79"/>
      <c r="Y545" s="79"/>
      <c r="Z545" s="79"/>
    </row>
    <row r="546" spans="1:26" ht="15.75" customHeight="1" x14ac:dyDescent="0.25">
      <c r="A546" s="79"/>
      <c r="B546" s="79"/>
      <c r="C546" s="400"/>
      <c r="D546" s="400"/>
      <c r="E546" s="400"/>
      <c r="F546" s="400"/>
      <c r="G546" s="79"/>
      <c r="H546" s="79"/>
      <c r="I546" s="79"/>
      <c r="J546" s="396"/>
      <c r="K546" s="399"/>
      <c r="L546" s="396"/>
      <c r="M546" s="396"/>
      <c r="N546" s="396"/>
      <c r="O546" s="396"/>
      <c r="P546" s="396"/>
      <c r="Q546" s="396"/>
      <c r="R546" s="396"/>
      <c r="S546" s="79"/>
      <c r="T546" s="79"/>
      <c r="U546" s="79"/>
      <c r="V546" s="79"/>
      <c r="W546" s="79"/>
      <c r="X546" s="79"/>
      <c r="Y546" s="79"/>
      <c r="Z546" s="79"/>
    </row>
    <row r="547" spans="1:26" ht="15.75" customHeight="1" x14ac:dyDescent="0.25">
      <c r="A547" s="79"/>
      <c r="B547" s="79"/>
      <c r="C547" s="400"/>
      <c r="D547" s="400"/>
      <c r="E547" s="400"/>
      <c r="F547" s="400"/>
      <c r="G547" s="79"/>
      <c r="H547" s="79"/>
      <c r="I547" s="79"/>
      <c r="J547" s="396"/>
      <c r="K547" s="399"/>
      <c r="L547" s="396"/>
      <c r="M547" s="396"/>
      <c r="N547" s="396"/>
      <c r="O547" s="396"/>
      <c r="P547" s="396"/>
      <c r="Q547" s="396"/>
      <c r="R547" s="396"/>
      <c r="S547" s="79"/>
      <c r="T547" s="79"/>
      <c r="U547" s="79"/>
      <c r="V547" s="79"/>
      <c r="W547" s="79"/>
      <c r="X547" s="79"/>
      <c r="Y547" s="79"/>
      <c r="Z547" s="79"/>
    </row>
    <row r="548" spans="1:26" ht="15.75" customHeight="1" x14ac:dyDescent="0.25">
      <c r="A548" s="79"/>
      <c r="B548" s="79"/>
      <c r="C548" s="400"/>
      <c r="D548" s="400"/>
      <c r="E548" s="400"/>
      <c r="F548" s="400"/>
      <c r="G548" s="79"/>
      <c r="H548" s="79"/>
      <c r="I548" s="79"/>
      <c r="J548" s="396"/>
      <c r="K548" s="399"/>
      <c r="L548" s="396"/>
      <c r="M548" s="396"/>
      <c r="N548" s="396"/>
      <c r="O548" s="396"/>
      <c r="P548" s="396"/>
      <c r="Q548" s="396"/>
      <c r="R548" s="396"/>
      <c r="S548" s="79"/>
      <c r="T548" s="79"/>
      <c r="U548" s="79"/>
      <c r="V548" s="79"/>
      <c r="W548" s="79"/>
      <c r="X548" s="79"/>
      <c r="Y548" s="79"/>
      <c r="Z548" s="79"/>
    </row>
    <row r="549" spans="1:26" ht="15.75" customHeight="1" x14ac:dyDescent="0.25">
      <c r="A549" s="79"/>
      <c r="B549" s="79"/>
      <c r="C549" s="400"/>
      <c r="D549" s="400"/>
      <c r="E549" s="400"/>
      <c r="F549" s="400"/>
      <c r="G549" s="79"/>
      <c r="H549" s="79"/>
      <c r="I549" s="79"/>
      <c r="J549" s="396"/>
      <c r="K549" s="399"/>
      <c r="L549" s="396"/>
      <c r="M549" s="396"/>
      <c r="N549" s="396"/>
      <c r="O549" s="396"/>
      <c r="P549" s="396"/>
      <c r="Q549" s="396"/>
      <c r="R549" s="396"/>
      <c r="S549" s="79"/>
      <c r="T549" s="79"/>
      <c r="U549" s="79"/>
      <c r="V549" s="79"/>
      <c r="W549" s="79"/>
      <c r="X549" s="79"/>
      <c r="Y549" s="79"/>
      <c r="Z549" s="79"/>
    </row>
    <row r="550" spans="1:26" ht="15.75" customHeight="1" x14ac:dyDescent="0.25">
      <c r="A550" s="79"/>
      <c r="B550" s="79"/>
      <c r="C550" s="400"/>
      <c r="D550" s="400"/>
      <c r="E550" s="400"/>
      <c r="F550" s="400"/>
      <c r="G550" s="79"/>
      <c r="H550" s="79"/>
      <c r="I550" s="79"/>
      <c r="J550" s="396"/>
      <c r="K550" s="399"/>
      <c r="L550" s="396"/>
      <c r="M550" s="396"/>
      <c r="N550" s="396"/>
      <c r="O550" s="396"/>
      <c r="P550" s="396"/>
      <c r="Q550" s="396"/>
      <c r="R550" s="396"/>
      <c r="S550" s="79"/>
      <c r="T550" s="79"/>
      <c r="U550" s="79"/>
      <c r="V550" s="79"/>
      <c r="W550" s="79"/>
      <c r="X550" s="79"/>
      <c r="Y550" s="79"/>
      <c r="Z550" s="79"/>
    </row>
    <row r="551" spans="1:26" ht="15.75" customHeight="1" x14ac:dyDescent="0.25">
      <c r="A551" s="79"/>
      <c r="B551" s="79"/>
      <c r="C551" s="400"/>
      <c r="D551" s="400"/>
      <c r="E551" s="400"/>
      <c r="F551" s="400"/>
      <c r="G551" s="79"/>
      <c r="H551" s="79"/>
      <c r="I551" s="79"/>
      <c r="J551" s="396"/>
      <c r="K551" s="399"/>
      <c r="L551" s="396"/>
      <c r="M551" s="396"/>
      <c r="N551" s="396"/>
      <c r="O551" s="396"/>
      <c r="P551" s="396"/>
      <c r="Q551" s="396"/>
      <c r="R551" s="396"/>
      <c r="S551" s="79"/>
      <c r="T551" s="79"/>
      <c r="U551" s="79"/>
      <c r="V551" s="79"/>
      <c r="W551" s="79"/>
      <c r="X551" s="79"/>
      <c r="Y551" s="79"/>
      <c r="Z551" s="79"/>
    </row>
    <row r="552" spans="1:26" ht="15.75" customHeight="1" x14ac:dyDescent="0.25">
      <c r="A552" s="79"/>
      <c r="B552" s="79"/>
      <c r="C552" s="400"/>
      <c r="D552" s="400"/>
      <c r="E552" s="400"/>
      <c r="F552" s="400"/>
      <c r="G552" s="79"/>
      <c r="H552" s="79"/>
      <c r="I552" s="79"/>
      <c r="J552" s="396"/>
      <c r="K552" s="399"/>
      <c r="L552" s="396"/>
      <c r="M552" s="396"/>
      <c r="N552" s="396"/>
      <c r="O552" s="396"/>
      <c r="P552" s="396"/>
      <c r="Q552" s="396"/>
      <c r="R552" s="396"/>
      <c r="S552" s="79"/>
      <c r="T552" s="79"/>
      <c r="U552" s="79"/>
      <c r="V552" s="79"/>
      <c r="W552" s="79"/>
      <c r="X552" s="79"/>
      <c r="Y552" s="79"/>
      <c r="Z552" s="79"/>
    </row>
    <row r="553" spans="1:26" ht="15.75" customHeight="1" x14ac:dyDescent="0.25">
      <c r="A553" s="79"/>
      <c r="B553" s="79"/>
      <c r="C553" s="400"/>
      <c r="D553" s="400"/>
      <c r="E553" s="400"/>
      <c r="F553" s="400"/>
      <c r="G553" s="79"/>
      <c r="H553" s="79"/>
      <c r="I553" s="79"/>
      <c r="J553" s="396"/>
      <c r="K553" s="399"/>
      <c r="L553" s="396"/>
      <c r="M553" s="396"/>
      <c r="N553" s="396"/>
      <c r="O553" s="396"/>
      <c r="P553" s="396"/>
      <c r="Q553" s="396"/>
      <c r="R553" s="396"/>
      <c r="S553" s="79"/>
      <c r="T553" s="79"/>
      <c r="U553" s="79"/>
      <c r="V553" s="79"/>
      <c r="W553" s="79"/>
      <c r="X553" s="79"/>
      <c r="Y553" s="79"/>
      <c r="Z553" s="79"/>
    </row>
    <row r="554" spans="1:26" ht="15.75" customHeight="1" x14ac:dyDescent="0.25">
      <c r="A554" s="79"/>
      <c r="B554" s="79"/>
      <c r="C554" s="400"/>
      <c r="D554" s="400"/>
      <c r="E554" s="400"/>
      <c r="F554" s="400"/>
      <c r="G554" s="79"/>
      <c r="H554" s="79"/>
      <c r="I554" s="79"/>
      <c r="J554" s="396"/>
      <c r="K554" s="399"/>
      <c r="L554" s="396"/>
      <c r="M554" s="396"/>
      <c r="N554" s="396"/>
      <c r="O554" s="396"/>
      <c r="P554" s="396"/>
      <c r="Q554" s="396"/>
      <c r="R554" s="396"/>
      <c r="S554" s="79"/>
      <c r="T554" s="79"/>
      <c r="U554" s="79"/>
      <c r="V554" s="79"/>
      <c r="W554" s="79"/>
      <c r="X554" s="79"/>
      <c r="Y554" s="79"/>
      <c r="Z554" s="79"/>
    </row>
    <row r="555" spans="1:26" ht="15.75" customHeight="1" x14ac:dyDescent="0.25">
      <c r="A555" s="79"/>
      <c r="B555" s="79"/>
      <c r="C555" s="400"/>
      <c r="D555" s="400"/>
      <c r="E555" s="400"/>
      <c r="F555" s="400"/>
      <c r="G555" s="79"/>
      <c r="H555" s="79"/>
      <c r="I555" s="79"/>
      <c r="J555" s="396"/>
      <c r="K555" s="399"/>
      <c r="L555" s="396"/>
      <c r="M555" s="396"/>
      <c r="N555" s="396"/>
      <c r="O555" s="396"/>
      <c r="P555" s="396"/>
      <c r="Q555" s="396"/>
      <c r="R555" s="396"/>
      <c r="S555" s="79"/>
      <c r="T555" s="79"/>
      <c r="U555" s="79"/>
      <c r="V555" s="79"/>
      <c r="W555" s="79"/>
      <c r="X555" s="79"/>
      <c r="Y555" s="79"/>
      <c r="Z555" s="79"/>
    </row>
    <row r="556" spans="1:26" ht="15.75" customHeight="1" x14ac:dyDescent="0.25">
      <c r="A556" s="79"/>
      <c r="B556" s="79"/>
      <c r="C556" s="400"/>
      <c r="D556" s="400"/>
      <c r="E556" s="400"/>
      <c r="F556" s="400"/>
      <c r="G556" s="79"/>
      <c r="H556" s="79"/>
      <c r="I556" s="79"/>
      <c r="J556" s="396"/>
      <c r="K556" s="399"/>
      <c r="L556" s="396"/>
      <c r="M556" s="396"/>
      <c r="N556" s="396"/>
      <c r="O556" s="396"/>
      <c r="P556" s="396"/>
      <c r="Q556" s="396"/>
      <c r="R556" s="396"/>
      <c r="S556" s="79"/>
      <c r="T556" s="79"/>
      <c r="U556" s="79"/>
      <c r="V556" s="79"/>
      <c r="W556" s="79"/>
      <c r="X556" s="79"/>
      <c r="Y556" s="79"/>
      <c r="Z556" s="79"/>
    </row>
    <row r="557" spans="1:26" ht="15.75" customHeight="1" x14ac:dyDescent="0.25">
      <c r="A557" s="79"/>
      <c r="B557" s="79"/>
      <c r="C557" s="400"/>
      <c r="D557" s="400"/>
      <c r="E557" s="400"/>
      <c r="F557" s="400"/>
      <c r="G557" s="79"/>
      <c r="H557" s="79"/>
      <c r="I557" s="79"/>
      <c r="J557" s="396"/>
      <c r="K557" s="399"/>
      <c r="L557" s="396"/>
      <c r="M557" s="396"/>
      <c r="N557" s="396"/>
      <c r="O557" s="396"/>
      <c r="P557" s="396"/>
      <c r="Q557" s="396"/>
      <c r="R557" s="396"/>
      <c r="S557" s="79"/>
      <c r="T557" s="79"/>
      <c r="U557" s="79"/>
      <c r="V557" s="79"/>
      <c r="W557" s="79"/>
      <c r="X557" s="79"/>
      <c r="Y557" s="79"/>
      <c r="Z557" s="79"/>
    </row>
    <row r="558" spans="1:26" ht="15.75" customHeight="1" x14ac:dyDescent="0.25">
      <c r="A558" s="79"/>
      <c r="B558" s="79"/>
      <c r="C558" s="400"/>
      <c r="D558" s="400"/>
      <c r="E558" s="400"/>
      <c r="F558" s="400"/>
      <c r="G558" s="79"/>
      <c r="H558" s="79"/>
      <c r="I558" s="79"/>
      <c r="J558" s="396"/>
      <c r="K558" s="399"/>
      <c r="L558" s="396"/>
      <c r="M558" s="396"/>
      <c r="N558" s="396"/>
      <c r="O558" s="396"/>
      <c r="P558" s="396"/>
      <c r="Q558" s="396"/>
      <c r="R558" s="396"/>
      <c r="S558" s="79"/>
      <c r="T558" s="79"/>
      <c r="U558" s="79"/>
      <c r="V558" s="79"/>
      <c r="W558" s="79"/>
      <c r="X558" s="79"/>
      <c r="Y558" s="79"/>
      <c r="Z558" s="79"/>
    </row>
    <row r="559" spans="1:26" ht="15.75" customHeight="1" x14ac:dyDescent="0.25">
      <c r="A559" s="79"/>
      <c r="B559" s="79"/>
      <c r="C559" s="400"/>
      <c r="D559" s="400"/>
      <c r="E559" s="400"/>
      <c r="F559" s="400"/>
      <c r="G559" s="79"/>
      <c r="H559" s="79"/>
      <c r="I559" s="79"/>
      <c r="J559" s="396"/>
      <c r="K559" s="399"/>
      <c r="L559" s="396"/>
      <c r="M559" s="396"/>
      <c r="N559" s="396"/>
      <c r="O559" s="396"/>
      <c r="P559" s="396"/>
      <c r="Q559" s="396"/>
      <c r="R559" s="396"/>
      <c r="S559" s="79"/>
      <c r="T559" s="79"/>
      <c r="U559" s="79"/>
      <c r="V559" s="79"/>
      <c r="W559" s="79"/>
      <c r="X559" s="79"/>
      <c r="Y559" s="79"/>
      <c r="Z559" s="79"/>
    </row>
    <row r="560" spans="1:26" ht="15.75" customHeight="1" x14ac:dyDescent="0.25">
      <c r="A560" s="79"/>
      <c r="B560" s="79"/>
      <c r="C560" s="400"/>
      <c r="D560" s="400"/>
      <c r="E560" s="400"/>
      <c r="F560" s="400"/>
      <c r="G560" s="79"/>
      <c r="H560" s="79"/>
      <c r="I560" s="79"/>
      <c r="J560" s="396"/>
      <c r="K560" s="399"/>
      <c r="L560" s="396"/>
      <c r="M560" s="396"/>
      <c r="N560" s="396"/>
      <c r="O560" s="396"/>
      <c r="P560" s="396"/>
      <c r="Q560" s="396"/>
      <c r="R560" s="396"/>
      <c r="S560" s="79"/>
      <c r="T560" s="79"/>
      <c r="U560" s="79"/>
      <c r="V560" s="79"/>
      <c r="W560" s="79"/>
      <c r="X560" s="79"/>
      <c r="Y560" s="79"/>
      <c r="Z560" s="79"/>
    </row>
    <row r="561" spans="1:26" ht="15.75" customHeight="1" x14ac:dyDescent="0.25">
      <c r="A561" s="79"/>
      <c r="B561" s="79"/>
      <c r="C561" s="400"/>
      <c r="D561" s="400"/>
      <c r="E561" s="400"/>
      <c r="F561" s="400"/>
      <c r="G561" s="79"/>
      <c r="H561" s="79"/>
      <c r="I561" s="79"/>
      <c r="J561" s="396"/>
      <c r="K561" s="399"/>
      <c r="L561" s="396"/>
      <c r="M561" s="396"/>
      <c r="N561" s="396"/>
      <c r="O561" s="396"/>
      <c r="P561" s="396"/>
      <c r="Q561" s="396"/>
      <c r="R561" s="396"/>
      <c r="S561" s="79"/>
      <c r="T561" s="79"/>
      <c r="U561" s="79"/>
      <c r="V561" s="79"/>
      <c r="W561" s="79"/>
      <c r="X561" s="79"/>
      <c r="Y561" s="79"/>
      <c r="Z561" s="79"/>
    </row>
    <row r="562" spans="1:26" ht="15.75" customHeight="1" x14ac:dyDescent="0.25">
      <c r="A562" s="79"/>
      <c r="B562" s="79"/>
      <c r="C562" s="400"/>
      <c r="D562" s="400"/>
      <c r="E562" s="400"/>
      <c r="F562" s="400"/>
      <c r="G562" s="79"/>
      <c r="H562" s="79"/>
      <c r="I562" s="79"/>
      <c r="J562" s="396"/>
      <c r="K562" s="399"/>
      <c r="L562" s="396"/>
      <c r="M562" s="396"/>
      <c r="N562" s="396"/>
      <c r="O562" s="396"/>
      <c r="P562" s="396"/>
      <c r="Q562" s="396"/>
      <c r="R562" s="396"/>
      <c r="S562" s="79"/>
      <c r="T562" s="79"/>
      <c r="U562" s="79"/>
      <c r="V562" s="79"/>
      <c r="W562" s="79"/>
      <c r="X562" s="79"/>
      <c r="Y562" s="79"/>
      <c r="Z562" s="79"/>
    </row>
    <row r="563" spans="1:26" ht="15.75" customHeight="1" x14ac:dyDescent="0.25">
      <c r="A563" s="79"/>
      <c r="B563" s="79"/>
      <c r="C563" s="400"/>
      <c r="D563" s="400"/>
      <c r="E563" s="400"/>
      <c r="F563" s="400"/>
      <c r="G563" s="79"/>
      <c r="H563" s="79"/>
      <c r="I563" s="79"/>
      <c r="J563" s="396"/>
      <c r="K563" s="399"/>
      <c r="L563" s="396"/>
      <c r="M563" s="396"/>
      <c r="N563" s="396"/>
      <c r="O563" s="396"/>
      <c r="P563" s="396"/>
      <c r="Q563" s="396"/>
      <c r="R563" s="396"/>
      <c r="S563" s="79"/>
      <c r="T563" s="79"/>
      <c r="U563" s="79"/>
      <c r="V563" s="79"/>
      <c r="W563" s="79"/>
      <c r="X563" s="79"/>
      <c r="Y563" s="79"/>
      <c r="Z563" s="79"/>
    </row>
    <row r="564" spans="1:26" ht="15.75" customHeight="1" x14ac:dyDescent="0.25">
      <c r="A564" s="79"/>
      <c r="B564" s="79"/>
      <c r="C564" s="400"/>
      <c r="D564" s="400"/>
      <c r="E564" s="400"/>
      <c r="F564" s="400"/>
      <c r="G564" s="79"/>
      <c r="H564" s="79"/>
      <c r="I564" s="79"/>
      <c r="J564" s="396"/>
      <c r="K564" s="399"/>
      <c r="L564" s="396"/>
      <c r="M564" s="396"/>
      <c r="N564" s="396"/>
      <c r="O564" s="396"/>
      <c r="P564" s="396"/>
      <c r="Q564" s="396"/>
      <c r="R564" s="396"/>
      <c r="S564" s="79"/>
      <c r="T564" s="79"/>
      <c r="U564" s="79"/>
      <c r="V564" s="79"/>
      <c r="W564" s="79"/>
      <c r="X564" s="79"/>
      <c r="Y564" s="79"/>
      <c r="Z564" s="79"/>
    </row>
    <row r="565" spans="1:26" ht="15.75" customHeight="1" x14ac:dyDescent="0.25">
      <c r="A565" s="79"/>
      <c r="B565" s="79"/>
      <c r="C565" s="400"/>
      <c r="D565" s="400"/>
      <c r="E565" s="400"/>
      <c r="F565" s="400"/>
      <c r="G565" s="79"/>
      <c r="H565" s="79"/>
      <c r="I565" s="79"/>
      <c r="J565" s="396"/>
      <c r="K565" s="399"/>
      <c r="L565" s="396"/>
      <c r="M565" s="396"/>
      <c r="N565" s="396"/>
      <c r="O565" s="396"/>
      <c r="P565" s="396"/>
      <c r="Q565" s="396"/>
      <c r="R565" s="396"/>
      <c r="S565" s="79"/>
      <c r="T565" s="79"/>
      <c r="U565" s="79"/>
      <c r="V565" s="79"/>
      <c r="W565" s="79"/>
      <c r="X565" s="79"/>
      <c r="Y565" s="79"/>
      <c r="Z565" s="79"/>
    </row>
    <row r="566" spans="1:26" ht="15.75" customHeight="1" x14ac:dyDescent="0.25">
      <c r="A566" s="79"/>
      <c r="B566" s="79"/>
      <c r="C566" s="400"/>
      <c r="D566" s="400"/>
      <c r="E566" s="400"/>
      <c r="F566" s="400"/>
      <c r="G566" s="79"/>
      <c r="H566" s="79"/>
      <c r="I566" s="79"/>
      <c r="J566" s="396"/>
      <c r="K566" s="399"/>
      <c r="L566" s="396"/>
      <c r="M566" s="396"/>
      <c r="N566" s="396"/>
      <c r="O566" s="396"/>
      <c r="P566" s="396"/>
      <c r="Q566" s="396"/>
      <c r="R566" s="396"/>
      <c r="S566" s="79"/>
      <c r="T566" s="79"/>
      <c r="U566" s="79"/>
      <c r="V566" s="79"/>
      <c r="W566" s="79"/>
      <c r="X566" s="79"/>
      <c r="Y566" s="79"/>
      <c r="Z566" s="79"/>
    </row>
    <row r="567" spans="1:26" ht="15.75" customHeight="1" x14ac:dyDescent="0.25">
      <c r="A567" s="79"/>
      <c r="B567" s="79"/>
      <c r="C567" s="400"/>
      <c r="D567" s="400"/>
      <c r="E567" s="400"/>
      <c r="F567" s="400"/>
      <c r="G567" s="79"/>
      <c r="H567" s="79"/>
      <c r="I567" s="79"/>
      <c r="J567" s="396"/>
      <c r="K567" s="399"/>
      <c r="L567" s="396"/>
      <c r="M567" s="396"/>
      <c r="N567" s="396"/>
      <c r="O567" s="396"/>
      <c r="P567" s="396"/>
      <c r="Q567" s="396"/>
      <c r="R567" s="396"/>
      <c r="S567" s="79"/>
      <c r="T567" s="79"/>
      <c r="U567" s="79"/>
      <c r="V567" s="79"/>
      <c r="W567" s="79"/>
      <c r="X567" s="79"/>
      <c r="Y567" s="79"/>
      <c r="Z567" s="79"/>
    </row>
    <row r="568" spans="1:26" ht="15.75" customHeight="1" x14ac:dyDescent="0.25">
      <c r="A568" s="79"/>
      <c r="B568" s="79"/>
      <c r="C568" s="400"/>
      <c r="D568" s="400"/>
      <c r="E568" s="400"/>
      <c r="F568" s="400"/>
      <c r="G568" s="79"/>
      <c r="H568" s="79"/>
      <c r="I568" s="79"/>
      <c r="J568" s="396"/>
      <c r="K568" s="399"/>
      <c r="L568" s="396"/>
      <c r="M568" s="396"/>
      <c r="N568" s="396"/>
      <c r="O568" s="396"/>
      <c r="P568" s="396"/>
      <c r="Q568" s="396"/>
      <c r="R568" s="396"/>
      <c r="S568" s="79"/>
      <c r="T568" s="79"/>
      <c r="U568" s="79"/>
      <c r="V568" s="79"/>
      <c r="W568" s="79"/>
      <c r="X568" s="79"/>
      <c r="Y568" s="79"/>
      <c r="Z568" s="79"/>
    </row>
    <row r="569" spans="1:26" ht="15.75" customHeight="1" x14ac:dyDescent="0.25">
      <c r="A569" s="79"/>
      <c r="B569" s="79"/>
      <c r="C569" s="400"/>
      <c r="D569" s="400"/>
      <c r="E569" s="400"/>
      <c r="F569" s="400"/>
      <c r="G569" s="79"/>
      <c r="H569" s="79"/>
      <c r="I569" s="79"/>
      <c r="J569" s="396"/>
      <c r="K569" s="399"/>
      <c r="L569" s="396"/>
      <c r="M569" s="396"/>
      <c r="N569" s="396"/>
      <c r="O569" s="396"/>
      <c r="P569" s="396"/>
      <c r="Q569" s="396"/>
      <c r="R569" s="396"/>
      <c r="S569" s="79"/>
      <c r="T569" s="79"/>
      <c r="U569" s="79"/>
      <c r="V569" s="79"/>
      <c r="W569" s="79"/>
      <c r="X569" s="79"/>
      <c r="Y569" s="79"/>
      <c r="Z569" s="79"/>
    </row>
    <row r="570" spans="1:26" ht="15.75" customHeight="1" x14ac:dyDescent="0.25">
      <c r="A570" s="79"/>
      <c r="B570" s="79"/>
      <c r="C570" s="400"/>
      <c r="D570" s="400"/>
      <c r="E570" s="400"/>
      <c r="F570" s="400"/>
      <c r="G570" s="79"/>
      <c r="H570" s="79"/>
      <c r="I570" s="79"/>
      <c r="J570" s="396"/>
      <c r="K570" s="399"/>
      <c r="L570" s="396"/>
      <c r="M570" s="396"/>
      <c r="N570" s="396"/>
      <c r="O570" s="396"/>
      <c r="P570" s="396"/>
      <c r="Q570" s="396"/>
      <c r="R570" s="396"/>
      <c r="S570" s="79"/>
      <c r="T570" s="79"/>
      <c r="U570" s="79"/>
      <c r="V570" s="79"/>
      <c r="W570" s="79"/>
      <c r="X570" s="79"/>
      <c r="Y570" s="79"/>
      <c r="Z570" s="79"/>
    </row>
    <row r="571" spans="1:26" ht="15.75" customHeight="1" x14ac:dyDescent="0.25">
      <c r="A571" s="79"/>
      <c r="B571" s="79"/>
      <c r="C571" s="400"/>
      <c r="D571" s="400"/>
      <c r="E571" s="400"/>
      <c r="F571" s="400"/>
      <c r="G571" s="79"/>
      <c r="H571" s="79"/>
      <c r="I571" s="79"/>
      <c r="J571" s="396"/>
      <c r="K571" s="399"/>
      <c r="L571" s="396"/>
      <c r="M571" s="396"/>
      <c r="N571" s="396"/>
      <c r="O571" s="396"/>
      <c r="P571" s="396"/>
      <c r="Q571" s="396"/>
      <c r="R571" s="396"/>
      <c r="S571" s="79"/>
      <c r="T571" s="79"/>
      <c r="U571" s="79"/>
      <c r="V571" s="79"/>
      <c r="W571" s="79"/>
      <c r="X571" s="79"/>
      <c r="Y571" s="79"/>
      <c r="Z571" s="79"/>
    </row>
    <row r="572" spans="1:26" ht="15.75" customHeight="1" x14ac:dyDescent="0.25">
      <c r="A572" s="79"/>
      <c r="B572" s="79"/>
      <c r="C572" s="400"/>
      <c r="D572" s="400"/>
      <c r="E572" s="400"/>
      <c r="F572" s="400"/>
      <c r="G572" s="79"/>
      <c r="H572" s="79"/>
      <c r="I572" s="79"/>
      <c r="J572" s="396"/>
      <c r="K572" s="399"/>
      <c r="L572" s="396"/>
      <c r="M572" s="396"/>
      <c r="N572" s="396"/>
      <c r="O572" s="396"/>
      <c r="P572" s="396"/>
      <c r="Q572" s="396"/>
      <c r="R572" s="396"/>
      <c r="S572" s="79"/>
      <c r="T572" s="79"/>
      <c r="U572" s="79"/>
      <c r="V572" s="79"/>
      <c r="W572" s="79"/>
      <c r="X572" s="79"/>
      <c r="Y572" s="79"/>
      <c r="Z572" s="79"/>
    </row>
    <row r="573" spans="1:26" ht="15.75" customHeight="1" x14ac:dyDescent="0.25">
      <c r="A573" s="79"/>
      <c r="B573" s="79"/>
      <c r="C573" s="400"/>
      <c r="D573" s="400"/>
      <c r="E573" s="400"/>
      <c r="F573" s="400"/>
      <c r="G573" s="79"/>
      <c r="H573" s="79"/>
      <c r="I573" s="79"/>
      <c r="J573" s="396"/>
      <c r="K573" s="399"/>
      <c r="L573" s="396"/>
      <c r="M573" s="396"/>
      <c r="N573" s="396"/>
      <c r="O573" s="396"/>
      <c r="P573" s="396"/>
      <c r="Q573" s="396"/>
      <c r="R573" s="396"/>
      <c r="S573" s="79"/>
      <c r="T573" s="79"/>
      <c r="U573" s="79"/>
      <c r="V573" s="79"/>
      <c r="W573" s="79"/>
      <c r="X573" s="79"/>
      <c r="Y573" s="79"/>
      <c r="Z573" s="79"/>
    </row>
    <row r="574" spans="1:26" ht="15.75" customHeight="1" x14ac:dyDescent="0.25">
      <c r="A574" s="79"/>
      <c r="B574" s="79"/>
      <c r="C574" s="400"/>
      <c r="D574" s="400"/>
      <c r="E574" s="400"/>
      <c r="F574" s="400"/>
      <c r="G574" s="79"/>
      <c r="H574" s="79"/>
      <c r="I574" s="79"/>
      <c r="J574" s="396"/>
      <c r="K574" s="399"/>
      <c r="L574" s="396"/>
      <c r="M574" s="396"/>
      <c r="N574" s="396"/>
      <c r="O574" s="396"/>
      <c r="P574" s="396"/>
      <c r="Q574" s="396"/>
      <c r="R574" s="396"/>
      <c r="S574" s="79"/>
      <c r="T574" s="79"/>
      <c r="U574" s="79"/>
      <c r="V574" s="79"/>
      <c r="W574" s="79"/>
      <c r="X574" s="79"/>
      <c r="Y574" s="79"/>
      <c r="Z574" s="79"/>
    </row>
    <row r="575" spans="1:26" ht="15.75" customHeight="1" x14ac:dyDescent="0.25">
      <c r="A575" s="79"/>
      <c r="B575" s="79"/>
      <c r="C575" s="400"/>
      <c r="D575" s="400"/>
      <c r="E575" s="400"/>
      <c r="F575" s="400"/>
      <c r="G575" s="79"/>
      <c r="H575" s="79"/>
      <c r="I575" s="79"/>
      <c r="J575" s="396"/>
      <c r="K575" s="399"/>
      <c r="L575" s="396"/>
      <c r="M575" s="396"/>
      <c r="N575" s="396"/>
      <c r="O575" s="396"/>
      <c r="P575" s="396"/>
      <c r="Q575" s="396"/>
      <c r="R575" s="396"/>
      <c r="S575" s="79"/>
      <c r="T575" s="79"/>
      <c r="U575" s="79"/>
      <c r="V575" s="79"/>
      <c r="W575" s="79"/>
      <c r="X575" s="79"/>
      <c r="Y575" s="79"/>
      <c r="Z575" s="79"/>
    </row>
    <row r="576" spans="1:26" ht="15.75" customHeight="1" x14ac:dyDescent="0.25">
      <c r="A576" s="79"/>
      <c r="B576" s="79"/>
      <c r="C576" s="400"/>
      <c r="D576" s="400"/>
      <c r="E576" s="400"/>
      <c r="F576" s="400"/>
      <c r="G576" s="79"/>
      <c r="H576" s="79"/>
      <c r="I576" s="79"/>
      <c r="J576" s="396"/>
      <c r="K576" s="399"/>
      <c r="L576" s="396"/>
      <c r="M576" s="396"/>
      <c r="N576" s="396"/>
      <c r="O576" s="396"/>
      <c r="P576" s="396"/>
      <c r="Q576" s="396"/>
      <c r="R576" s="396"/>
      <c r="S576" s="79"/>
      <c r="T576" s="79"/>
      <c r="U576" s="79"/>
      <c r="V576" s="79"/>
      <c r="W576" s="79"/>
      <c r="X576" s="79"/>
      <c r="Y576" s="79"/>
      <c r="Z576" s="79"/>
    </row>
    <row r="577" spans="1:26" ht="15.75" customHeight="1" x14ac:dyDescent="0.25">
      <c r="A577" s="79"/>
      <c r="B577" s="79"/>
      <c r="C577" s="400"/>
      <c r="D577" s="400"/>
      <c r="E577" s="400"/>
      <c r="F577" s="400"/>
      <c r="G577" s="79"/>
      <c r="H577" s="79"/>
      <c r="I577" s="79"/>
      <c r="J577" s="396"/>
      <c r="K577" s="399"/>
      <c r="L577" s="396"/>
      <c r="M577" s="396"/>
      <c r="N577" s="396"/>
      <c r="O577" s="396"/>
      <c r="P577" s="396"/>
      <c r="Q577" s="396"/>
      <c r="R577" s="396"/>
      <c r="S577" s="79"/>
      <c r="T577" s="79"/>
      <c r="U577" s="79"/>
      <c r="V577" s="79"/>
      <c r="W577" s="79"/>
      <c r="X577" s="79"/>
      <c r="Y577" s="79"/>
      <c r="Z577" s="79"/>
    </row>
    <row r="578" spans="1:26" ht="15.75" customHeight="1" x14ac:dyDescent="0.25">
      <c r="A578" s="79"/>
      <c r="B578" s="79"/>
      <c r="C578" s="400"/>
      <c r="D578" s="400"/>
      <c r="E578" s="400"/>
      <c r="F578" s="400"/>
      <c r="G578" s="79"/>
      <c r="H578" s="79"/>
      <c r="I578" s="79"/>
      <c r="J578" s="396"/>
      <c r="K578" s="399"/>
      <c r="L578" s="396"/>
      <c r="M578" s="396"/>
      <c r="N578" s="396"/>
      <c r="O578" s="396"/>
      <c r="P578" s="396"/>
      <c r="Q578" s="396"/>
      <c r="R578" s="396"/>
      <c r="S578" s="79"/>
      <c r="T578" s="79"/>
      <c r="U578" s="79"/>
      <c r="V578" s="79"/>
      <c r="W578" s="79"/>
      <c r="X578" s="79"/>
      <c r="Y578" s="79"/>
      <c r="Z578" s="79"/>
    </row>
    <row r="579" spans="1:26" ht="15.75" customHeight="1" x14ac:dyDescent="0.25">
      <c r="A579" s="79"/>
      <c r="B579" s="79"/>
      <c r="C579" s="400"/>
      <c r="D579" s="400"/>
      <c r="E579" s="400"/>
      <c r="F579" s="400"/>
      <c r="G579" s="79"/>
      <c r="H579" s="79"/>
      <c r="I579" s="79"/>
      <c r="J579" s="396"/>
      <c r="K579" s="399"/>
      <c r="L579" s="396"/>
      <c r="M579" s="396"/>
      <c r="N579" s="396"/>
      <c r="O579" s="396"/>
      <c r="P579" s="396"/>
      <c r="Q579" s="396"/>
      <c r="R579" s="396"/>
      <c r="S579" s="79"/>
      <c r="T579" s="79"/>
      <c r="U579" s="79"/>
      <c r="V579" s="79"/>
      <c r="W579" s="79"/>
      <c r="X579" s="79"/>
      <c r="Y579" s="79"/>
      <c r="Z579" s="79"/>
    </row>
    <row r="580" spans="1:26" ht="15.75" customHeight="1" x14ac:dyDescent="0.25">
      <c r="A580" s="79"/>
      <c r="B580" s="79"/>
      <c r="C580" s="400"/>
      <c r="D580" s="400"/>
      <c r="E580" s="400"/>
      <c r="F580" s="400"/>
      <c r="G580" s="79"/>
      <c r="H580" s="79"/>
      <c r="I580" s="79"/>
      <c r="J580" s="396"/>
      <c r="K580" s="399"/>
      <c r="L580" s="396"/>
      <c r="M580" s="396"/>
      <c r="N580" s="396"/>
      <c r="O580" s="396"/>
      <c r="P580" s="396"/>
      <c r="Q580" s="396"/>
      <c r="R580" s="396"/>
      <c r="S580" s="79"/>
      <c r="T580" s="79"/>
      <c r="U580" s="79"/>
      <c r="V580" s="79"/>
      <c r="W580" s="79"/>
      <c r="X580" s="79"/>
      <c r="Y580" s="79"/>
      <c r="Z580" s="79"/>
    </row>
    <row r="581" spans="1:26" ht="15.75" customHeight="1" x14ac:dyDescent="0.25">
      <c r="A581" s="79"/>
      <c r="B581" s="79"/>
      <c r="C581" s="400"/>
      <c r="D581" s="400"/>
      <c r="E581" s="400"/>
      <c r="F581" s="400"/>
      <c r="G581" s="79"/>
      <c r="H581" s="79"/>
      <c r="I581" s="79"/>
      <c r="J581" s="396"/>
      <c r="K581" s="399"/>
      <c r="L581" s="396"/>
      <c r="M581" s="396"/>
      <c r="N581" s="396"/>
      <c r="O581" s="396"/>
      <c r="P581" s="396"/>
      <c r="Q581" s="396"/>
      <c r="R581" s="396"/>
      <c r="S581" s="79"/>
      <c r="T581" s="79"/>
      <c r="U581" s="79"/>
      <c r="V581" s="79"/>
      <c r="W581" s="79"/>
      <c r="X581" s="79"/>
      <c r="Y581" s="79"/>
      <c r="Z581" s="79"/>
    </row>
    <row r="582" spans="1:26" ht="15.75" customHeight="1" x14ac:dyDescent="0.25">
      <c r="A582" s="79"/>
      <c r="B582" s="79"/>
      <c r="C582" s="400"/>
      <c r="D582" s="400"/>
      <c r="E582" s="400"/>
      <c r="F582" s="400"/>
      <c r="G582" s="79"/>
      <c r="H582" s="79"/>
      <c r="I582" s="79"/>
      <c r="J582" s="396"/>
      <c r="K582" s="399"/>
      <c r="L582" s="396"/>
      <c r="M582" s="396"/>
      <c r="N582" s="396"/>
      <c r="O582" s="396"/>
      <c r="P582" s="396"/>
      <c r="Q582" s="396"/>
      <c r="R582" s="396"/>
      <c r="S582" s="79"/>
      <c r="T582" s="79"/>
      <c r="U582" s="79"/>
      <c r="V582" s="79"/>
      <c r="W582" s="79"/>
      <c r="X582" s="79"/>
      <c r="Y582" s="79"/>
      <c r="Z582" s="79"/>
    </row>
    <row r="583" spans="1:26" ht="15.75" customHeight="1" x14ac:dyDescent="0.25">
      <c r="A583" s="79"/>
      <c r="B583" s="79"/>
      <c r="C583" s="400"/>
      <c r="D583" s="400"/>
      <c r="E583" s="400"/>
      <c r="F583" s="400"/>
      <c r="G583" s="79"/>
      <c r="H583" s="79"/>
      <c r="I583" s="79"/>
      <c r="J583" s="396"/>
      <c r="K583" s="399"/>
      <c r="L583" s="396"/>
      <c r="M583" s="396"/>
      <c r="N583" s="396"/>
      <c r="O583" s="396"/>
      <c r="P583" s="396"/>
      <c r="Q583" s="396"/>
      <c r="R583" s="396"/>
      <c r="S583" s="79"/>
      <c r="T583" s="79"/>
      <c r="U583" s="79"/>
      <c r="V583" s="79"/>
      <c r="W583" s="79"/>
      <c r="X583" s="79"/>
      <c r="Y583" s="79"/>
      <c r="Z583" s="79"/>
    </row>
    <row r="584" spans="1:26" ht="15.75" customHeight="1" x14ac:dyDescent="0.25">
      <c r="A584" s="79"/>
      <c r="B584" s="79"/>
      <c r="C584" s="400"/>
      <c r="D584" s="400"/>
      <c r="E584" s="400"/>
      <c r="F584" s="400"/>
      <c r="G584" s="79"/>
      <c r="H584" s="79"/>
      <c r="I584" s="79"/>
      <c r="J584" s="396"/>
      <c r="K584" s="399"/>
      <c r="L584" s="396"/>
      <c r="M584" s="396"/>
      <c r="N584" s="396"/>
      <c r="O584" s="396"/>
      <c r="P584" s="396"/>
      <c r="Q584" s="396"/>
      <c r="R584" s="396"/>
      <c r="S584" s="79"/>
      <c r="T584" s="79"/>
      <c r="U584" s="79"/>
      <c r="V584" s="79"/>
      <c r="W584" s="79"/>
      <c r="X584" s="79"/>
      <c r="Y584" s="79"/>
      <c r="Z584" s="79"/>
    </row>
    <row r="585" spans="1:26" ht="15.75" customHeight="1" x14ac:dyDescent="0.25">
      <c r="A585" s="79"/>
      <c r="B585" s="79"/>
      <c r="C585" s="400"/>
      <c r="D585" s="400"/>
      <c r="E585" s="400"/>
      <c r="F585" s="400"/>
      <c r="G585" s="79"/>
      <c r="H585" s="79"/>
      <c r="I585" s="79"/>
      <c r="J585" s="396"/>
      <c r="K585" s="399"/>
      <c r="L585" s="396"/>
      <c r="M585" s="396"/>
      <c r="N585" s="396"/>
      <c r="O585" s="396"/>
      <c r="P585" s="396"/>
      <c r="Q585" s="396"/>
      <c r="R585" s="396"/>
      <c r="S585" s="79"/>
      <c r="T585" s="79"/>
      <c r="U585" s="79"/>
      <c r="V585" s="79"/>
      <c r="W585" s="79"/>
      <c r="X585" s="79"/>
      <c r="Y585" s="79"/>
      <c r="Z585" s="79"/>
    </row>
    <row r="586" spans="1:26" ht="15.75" customHeight="1" x14ac:dyDescent="0.25">
      <c r="A586" s="79"/>
      <c r="B586" s="79"/>
      <c r="C586" s="400"/>
      <c r="D586" s="400"/>
      <c r="E586" s="400"/>
      <c r="F586" s="400"/>
      <c r="G586" s="79"/>
      <c r="H586" s="79"/>
      <c r="I586" s="79"/>
      <c r="J586" s="396"/>
      <c r="K586" s="399"/>
      <c r="L586" s="396"/>
      <c r="M586" s="396"/>
      <c r="N586" s="396"/>
      <c r="O586" s="396"/>
      <c r="P586" s="396"/>
      <c r="Q586" s="396"/>
      <c r="R586" s="396"/>
      <c r="S586" s="79"/>
      <c r="T586" s="79"/>
      <c r="U586" s="79"/>
      <c r="V586" s="79"/>
      <c r="W586" s="79"/>
      <c r="X586" s="79"/>
      <c r="Y586" s="79"/>
      <c r="Z586" s="79"/>
    </row>
    <row r="587" spans="1:26" ht="15.75" customHeight="1" x14ac:dyDescent="0.25">
      <c r="A587" s="79"/>
      <c r="B587" s="79"/>
      <c r="C587" s="400"/>
      <c r="D587" s="400"/>
      <c r="E587" s="400"/>
      <c r="F587" s="400"/>
      <c r="G587" s="79"/>
      <c r="H587" s="79"/>
      <c r="I587" s="79"/>
      <c r="J587" s="396"/>
      <c r="K587" s="399"/>
      <c r="L587" s="396"/>
      <c r="M587" s="396"/>
      <c r="N587" s="396"/>
      <c r="O587" s="396"/>
      <c r="P587" s="396"/>
      <c r="Q587" s="396"/>
      <c r="R587" s="396"/>
      <c r="S587" s="79"/>
      <c r="T587" s="79"/>
      <c r="U587" s="79"/>
      <c r="V587" s="79"/>
      <c r="W587" s="79"/>
      <c r="X587" s="79"/>
      <c r="Y587" s="79"/>
      <c r="Z587" s="79"/>
    </row>
    <row r="588" spans="1:26" ht="15.75" customHeight="1" x14ac:dyDescent="0.25">
      <c r="A588" s="79"/>
      <c r="B588" s="79"/>
      <c r="C588" s="400"/>
      <c r="D588" s="400"/>
      <c r="E588" s="400"/>
      <c r="F588" s="400"/>
      <c r="G588" s="79"/>
      <c r="H588" s="79"/>
      <c r="I588" s="79"/>
      <c r="J588" s="396"/>
      <c r="K588" s="399"/>
      <c r="L588" s="396"/>
      <c r="M588" s="396"/>
      <c r="N588" s="396"/>
      <c r="O588" s="396"/>
      <c r="P588" s="396"/>
      <c r="Q588" s="396"/>
      <c r="R588" s="396"/>
      <c r="S588" s="79"/>
      <c r="T588" s="79"/>
      <c r="U588" s="79"/>
      <c r="V588" s="79"/>
      <c r="W588" s="79"/>
      <c r="X588" s="79"/>
      <c r="Y588" s="79"/>
      <c r="Z588" s="79"/>
    </row>
    <row r="589" spans="1:26" ht="15.75" customHeight="1" x14ac:dyDescent="0.25">
      <c r="A589" s="79"/>
      <c r="B589" s="79"/>
      <c r="C589" s="400"/>
      <c r="D589" s="400"/>
      <c r="E589" s="400"/>
      <c r="F589" s="400"/>
      <c r="G589" s="79"/>
      <c r="H589" s="79"/>
      <c r="I589" s="79"/>
      <c r="J589" s="396"/>
      <c r="K589" s="399"/>
      <c r="L589" s="396"/>
      <c r="M589" s="396"/>
      <c r="N589" s="396"/>
      <c r="O589" s="396"/>
      <c r="P589" s="396"/>
      <c r="Q589" s="396"/>
      <c r="R589" s="396"/>
      <c r="S589" s="79"/>
      <c r="T589" s="79"/>
      <c r="U589" s="79"/>
      <c r="V589" s="79"/>
      <c r="W589" s="79"/>
      <c r="X589" s="79"/>
      <c r="Y589" s="79"/>
      <c r="Z589" s="79"/>
    </row>
    <row r="590" spans="1:26" ht="15.75" customHeight="1" x14ac:dyDescent="0.25">
      <c r="A590" s="79"/>
      <c r="B590" s="79"/>
      <c r="C590" s="400"/>
      <c r="D590" s="400"/>
      <c r="E590" s="400"/>
      <c r="F590" s="400"/>
      <c r="G590" s="79"/>
      <c r="H590" s="79"/>
      <c r="I590" s="79"/>
      <c r="J590" s="396"/>
      <c r="K590" s="399"/>
      <c r="L590" s="396"/>
      <c r="M590" s="396"/>
      <c r="N590" s="396"/>
      <c r="O590" s="396"/>
      <c r="P590" s="396"/>
      <c r="Q590" s="396"/>
      <c r="R590" s="396"/>
      <c r="S590" s="79"/>
      <c r="T590" s="79"/>
      <c r="U590" s="79"/>
      <c r="V590" s="79"/>
      <c r="W590" s="79"/>
      <c r="X590" s="79"/>
      <c r="Y590" s="79"/>
      <c r="Z590" s="79"/>
    </row>
    <row r="591" spans="1:26" ht="15.75" customHeight="1" x14ac:dyDescent="0.25">
      <c r="A591" s="79"/>
      <c r="B591" s="79"/>
      <c r="C591" s="400"/>
      <c r="D591" s="400"/>
      <c r="E591" s="400"/>
      <c r="F591" s="400"/>
      <c r="G591" s="79"/>
      <c r="H591" s="79"/>
      <c r="I591" s="79"/>
      <c r="J591" s="396"/>
      <c r="K591" s="399"/>
      <c r="L591" s="396"/>
      <c r="M591" s="396"/>
      <c r="N591" s="396"/>
      <c r="O591" s="396"/>
      <c r="P591" s="396"/>
      <c r="Q591" s="396"/>
      <c r="R591" s="396"/>
      <c r="S591" s="79"/>
      <c r="T591" s="79"/>
      <c r="U591" s="79"/>
      <c r="V591" s="79"/>
      <c r="W591" s="79"/>
      <c r="X591" s="79"/>
      <c r="Y591" s="79"/>
      <c r="Z591" s="79"/>
    </row>
    <row r="592" spans="1:26" ht="15.75" customHeight="1" x14ac:dyDescent="0.25">
      <c r="A592" s="79"/>
      <c r="B592" s="79"/>
      <c r="C592" s="400"/>
      <c r="D592" s="400"/>
      <c r="E592" s="400"/>
      <c r="F592" s="400"/>
      <c r="G592" s="79"/>
      <c r="H592" s="79"/>
      <c r="I592" s="79"/>
      <c r="J592" s="396"/>
      <c r="K592" s="399"/>
      <c r="L592" s="396"/>
      <c r="M592" s="396"/>
      <c r="N592" s="396"/>
      <c r="O592" s="396"/>
      <c r="P592" s="396"/>
      <c r="Q592" s="396"/>
      <c r="R592" s="396"/>
      <c r="S592" s="79"/>
      <c r="T592" s="79"/>
      <c r="U592" s="79"/>
      <c r="V592" s="79"/>
      <c r="W592" s="79"/>
      <c r="X592" s="79"/>
      <c r="Y592" s="79"/>
      <c r="Z592" s="79"/>
    </row>
    <row r="593" spans="1:26" ht="15.75" customHeight="1" x14ac:dyDescent="0.25">
      <c r="A593" s="79"/>
      <c r="B593" s="79"/>
      <c r="C593" s="400"/>
      <c r="D593" s="400"/>
      <c r="E593" s="400"/>
      <c r="F593" s="400"/>
      <c r="G593" s="79"/>
      <c r="H593" s="79"/>
      <c r="I593" s="79"/>
      <c r="J593" s="396"/>
      <c r="K593" s="399"/>
      <c r="L593" s="396"/>
      <c r="M593" s="396"/>
      <c r="N593" s="396"/>
      <c r="O593" s="396"/>
      <c r="P593" s="396"/>
      <c r="Q593" s="396"/>
      <c r="R593" s="396"/>
      <c r="S593" s="79"/>
      <c r="T593" s="79"/>
      <c r="U593" s="79"/>
      <c r="V593" s="79"/>
      <c r="W593" s="79"/>
      <c r="X593" s="79"/>
      <c r="Y593" s="79"/>
      <c r="Z593" s="79"/>
    </row>
    <row r="594" spans="1:26" ht="15.75" customHeight="1" x14ac:dyDescent="0.25">
      <c r="A594" s="79"/>
      <c r="B594" s="79"/>
      <c r="C594" s="400"/>
      <c r="D594" s="400"/>
      <c r="E594" s="400"/>
      <c r="F594" s="400"/>
      <c r="G594" s="79"/>
      <c r="H594" s="79"/>
      <c r="I594" s="79"/>
      <c r="J594" s="396"/>
      <c r="K594" s="399"/>
      <c r="L594" s="396"/>
      <c r="M594" s="396"/>
      <c r="N594" s="396"/>
      <c r="O594" s="396"/>
      <c r="P594" s="396"/>
      <c r="Q594" s="396"/>
      <c r="R594" s="396"/>
      <c r="S594" s="79"/>
      <c r="T594" s="79"/>
      <c r="U594" s="79"/>
      <c r="V594" s="79"/>
      <c r="W594" s="79"/>
      <c r="X594" s="79"/>
      <c r="Y594" s="79"/>
      <c r="Z594" s="79"/>
    </row>
    <row r="595" spans="1:26" ht="15.75" customHeight="1" x14ac:dyDescent="0.25">
      <c r="A595" s="79"/>
      <c r="B595" s="79"/>
      <c r="C595" s="400"/>
      <c r="D595" s="400"/>
      <c r="E595" s="400"/>
      <c r="F595" s="400"/>
      <c r="G595" s="79"/>
      <c r="H595" s="79"/>
      <c r="I595" s="79"/>
      <c r="J595" s="396"/>
      <c r="K595" s="399"/>
      <c r="L595" s="396"/>
      <c r="M595" s="396"/>
      <c r="N595" s="396"/>
      <c r="O595" s="396"/>
      <c r="P595" s="396"/>
      <c r="Q595" s="396"/>
      <c r="R595" s="396"/>
      <c r="S595" s="79"/>
      <c r="T595" s="79"/>
      <c r="U595" s="79"/>
      <c r="V595" s="79"/>
      <c r="W595" s="79"/>
      <c r="X595" s="79"/>
      <c r="Y595" s="79"/>
      <c r="Z595" s="79"/>
    </row>
    <row r="596" spans="1:26" ht="15.75" customHeight="1" x14ac:dyDescent="0.25">
      <c r="A596" s="79"/>
      <c r="B596" s="79"/>
      <c r="C596" s="400"/>
      <c r="D596" s="400"/>
      <c r="E596" s="400"/>
      <c r="F596" s="400"/>
      <c r="G596" s="79"/>
      <c r="H596" s="79"/>
      <c r="I596" s="79"/>
      <c r="J596" s="396"/>
      <c r="K596" s="399"/>
      <c r="L596" s="396"/>
      <c r="M596" s="396"/>
      <c r="N596" s="396"/>
      <c r="O596" s="396"/>
      <c r="P596" s="396"/>
      <c r="Q596" s="396"/>
      <c r="R596" s="396"/>
      <c r="S596" s="79"/>
      <c r="T596" s="79"/>
      <c r="U596" s="79"/>
      <c r="V596" s="79"/>
      <c r="W596" s="79"/>
      <c r="X596" s="79"/>
      <c r="Y596" s="79"/>
      <c r="Z596" s="79"/>
    </row>
    <row r="597" spans="1:26" ht="15.75" customHeight="1" x14ac:dyDescent="0.25">
      <c r="A597" s="79"/>
      <c r="B597" s="79"/>
      <c r="C597" s="400"/>
      <c r="D597" s="400"/>
      <c r="E597" s="400"/>
      <c r="F597" s="400"/>
      <c r="G597" s="79"/>
      <c r="H597" s="79"/>
      <c r="I597" s="79"/>
      <c r="J597" s="396"/>
      <c r="K597" s="399"/>
      <c r="L597" s="396"/>
      <c r="M597" s="396"/>
      <c r="N597" s="396"/>
      <c r="O597" s="396"/>
      <c r="P597" s="396"/>
      <c r="Q597" s="396"/>
      <c r="R597" s="396"/>
      <c r="S597" s="79"/>
      <c r="T597" s="79"/>
      <c r="U597" s="79"/>
      <c r="V597" s="79"/>
      <c r="W597" s="79"/>
      <c r="X597" s="79"/>
      <c r="Y597" s="79"/>
      <c r="Z597" s="79"/>
    </row>
    <row r="598" spans="1:26" ht="15.75" customHeight="1" x14ac:dyDescent="0.25">
      <c r="A598" s="79"/>
      <c r="B598" s="79"/>
      <c r="C598" s="400"/>
      <c r="D598" s="400"/>
      <c r="E598" s="400"/>
      <c r="F598" s="400"/>
      <c r="G598" s="79"/>
      <c r="H598" s="79"/>
      <c r="I598" s="79"/>
      <c r="J598" s="396"/>
      <c r="K598" s="399"/>
      <c r="L598" s="396"/>
      <c r="M598" s="396"/>
      <c r="N598" s="396"/>
      <c r="O598" s="396"/>
      <c r="P598" s="396"/>
      <c r="Q598" s="396"/>
      <c r="R598" s="396"/>
      <c r="S598" s="79"/>
      <c r="T598" s="79"/>
      <c r="U598" s="79"/>
      <c r="V598" s="79"/>
      <c r="W598" s="79"/>
      <c r="X598" s="79"/>
      <c r="Y598" s="79"/>
      <c r="Z598" s="79"/>
    </row>
    <row r="599" spans="1:26" ht="15.75" customHeight="1" x14ac:dyDescent="0.25">
      <c r="A599" s="79"/>
      <c r="B599" s="79"/>
      <c r="C599" s="400"/>
      <c r="D599" s="400"/>
      <c r="E599" s="400"/>
      <c r="F599" s="400"/>
      <c r="G599" s="79"/>
      <c r="H599" s="79"/>
      <c r="I599" s="79"/>
      <c r="J599" s="396"/>
      <c r="K599" s="399"/>
      <c r="L599" s="396"/>
      <c r="M599" s="396"/>
      <c r="N599" s="396"/>
      <c r="O599" s="396"/>
      <c r="P599" s="396"/>
      <c r="Q599" s="396"/>
      <c r="R599" s="396"/>
      <c r="S599" s="79"/>
      <c r="T599" s="79"/>
      <c r="U599" s="79"/>
      <c r="V599" s="79"/>
      <c r="W599" s="79"/>
      <c r="X599" s="79"/>
      <c r="Y599" s="79"/>
      <c r="Z599" s="79"/>
    </row>
    <row r="600" spans="1:26" ht="15.75" customHeight="1" x14ac:dyDescent="0.25">
      <c r="A600" s="79"/>
      <c r="B600" s="79"/>
      <c r="C600" s="400"/>
      <c r="D600" s="400"/>
      <c r="E600" s="400"/>
      <c r="F600" s="400"/>
      <c r="G600" s="79"/>
      <c r="H600" s="79"/>
      <c r="I600" s="79"/>
      <c r="J600" s="396"/>
      <c r="K600" s="399"/>
      <c r="L600" s="396"/>
      <c r="M600" s="396"/>
      <c r="N600" s="396"/>
      <c r="O600" s="396"/>
      <c r="P600" s="396"/>
      <c r="Q600" s="396"/>
      <c r="R600" s="396"/>
      <c r="S600" s="79"/>
      <c r="T600" s="79"/>
      <c r="U600" s="79"/>
      <c r="V600" s="79"/>
      <c r="W600" s="79"/>
      <c r="X600" s="79"/>
      <c r="Y600" s="79"/>
      <c r="Z600" s="79"/>
    </row>
    <row r="601" spans="1:26" ht="15.75" customHeight="1" x14ac:dyDescent="0.25">
      <c r="A601" s="79"/>
      <c r="B601" s="79"/>
      <c r="C601" s="400"/>
      <c r="D601" s="400"/>
      <c r="E601" s="400"/>
      <c r="F601" s="400"/>
      <c r="G601" s="79"/>
      <c r="H601" s="79"/>
      <c r="I601" s="79"/>
      <c r="J601" s="396"/>
      <c r="K601" s="399"/>
      <c r="L601" s="396"/>
      <c r="M601" s="396"/>
      <c r="N601" s="396"/>
      <c r="O601" s="396"/>
      <c r="P601" s="396"/>
      <c r="Q601" s="396"/>
      <c r="R601" s="396"/>
      <c r="S601" s="79"/>
      <c r="T601" s="79"/>
      <c r="U601" s="79"/>
      <c r="V601" s="79"/>
      <c r="W601" s="79"/>
      <c r="X601" s="79"/>
      <c r="Y601" s="79"/>
      <c r="Z601" s="79"/>
    </row>
    <row r="602" spans="1:26" ht="15.75" customHeight="1" x14ac:dyDescent="0.25">
      <c r="A602" s="79"/>
      <c r="B602" s="79"/>
      <c r="C602" s="400"/>
      <c r="D602" s="400"/>
      <c r="E602" s="400"/>
      <c r="F602" s="400"/>
      <c r="G602" s="79"/>
      <c r="H602" s="79"/>
      <c r="I602" s="79"/>
      <c r="J602" s="396"/>
      <c r="K602" s="399"/>
      <c r="L602" s="396"/>
      <c r="M602" s="396"/>
      <c r="N602" s="396"/>
      <c r="O602" s="396"/>
      <c r="P602" s="396"/>
      <c r="Q602" s="396"/>
      <c r="R602" s="396"/>
      <c r="S602" s="79"/>
      <c r="T602" s="79"/>
      <c r="U602" s="79"/>
      <c r="V602" s="79"/>
      <c r="W602" s="79"/>
      <c r="X602" s="79"/>
      <c r="Y602" s="79"/>
      <c r="Z602" s="79"/>
    </row>
    <row r="603" spans="1:26" ht="15.75" customHeight="1" x14ac:dyDescent="0.25">
      <c r="A603" s="79"/>
      <c r="B603" s="79"/>
      <c r="C603" s="400"/>
      <c r="D603" s="400"/>
      <c r="E603" s="400"/>
      <c r="F603" s="400"/>
      <c r="G603" s="79"/>
      <c r="H603" s="79"/>
      <c r="I603" s="79"/>
      <c r="J603" s="396"/>
      <c r="K603" s="399"/>
      <c r="L603" s="396"/>
      <c r="M603" s="396"/>
      <c r="N603" s="396"/>
      <c r="O603" s="396"/>
      <c r="P603" s="396"/>
      <c r="Q603" s="396"/>
      <c r="R603" s="396"/>
      <c r="S603" s="79"/>
      <c r="T603" s="79"/>
      <c r="U603" s="79"/>
      <c r="V603" s="79"/>
      <c r="W603" s="79"/>
      <c r="X603" s="79"/>
      <c r="Y603" s="79"/>
      <c r="Z603" s="79"/>
    </row>
    <row r="604" spans="1:26" ht="15.75" customHeight="1" x14ac:dyDescent="0.25">
      <c r="A604" s="79"/>
      <c r="B604" s="79"/>
      <c r="C604" s="400"/>
      <c r="D604" s="400"/>
      <c r="E604" s="400"/>
      <c r="F604" s="400"/>
      <c r="G604" s="79"/>
      <c r="H604" s="79"/>
      <c r="I604" s="79"/>
      <c r="J604" s="396"/>
      <c r="K604" s="399"/>
      <c r="L604" s="396"/>
      <c r="M604" s="396"/>
      <c r="N604" s="396"/>
      <c r="O604" s="396"/>
      <c r="P604" s="396"/>
      <c r="Q604" s="396"/>
      <c r="R604" s="396"/>
      <c r="S604" s="79"/>
      <c r="T604" s="79"/>
      <c r="U604" s="79"/>
      <c r="V604" s="79"/>
      <c r="W604" s="79"/>
      <c r="X604" s="79"/>
      <c r="Y604" s="79"/>
      <c r="Z604" s="79"/>
    </row>
    <row r="605" spans="1:26" ht="15.75" customHeight="1" x14ac:dyDescent="0.25">
      <c r="A605" s="79"/>
      <c r="B605" s="79"/>
      <c r="C605" s="400"/>
      <c r="D605" s="400"/>
      <c r="E605" s="400"/>
      <c r="F605" s="400"/>
      <c r="G605" s="79"/>
      <c r="H605" s="79"/>
      <c r="I605" s="79"/>
      <c r="J605" s="396"/>
      <c r="K605" s="399"/>
      <c r="L605" s="396"/>
      <c r="M605" s="396"/>
      <c r="N605" s="396"/>
      <c r="O605" s="396"/>
      <c r="P605" s="396"/>
      <c r="Q605" s="396"/>
      <c r="R605" s="396"/>
      <c r="S605" s="79"/>
      <c r="T605" s="79"/>
      <c r="U605" s="79"/>
      <c r="V605" s="79"/>
      <c r="W605" s="79"/>
      <c r="X605" s="79"/>
      <c r="Y605" s="79"/>
      <c r="Z605" s="79"/>
    </row>
    <row r="606" spans="1:26" ht="15.75" customHeight="1" x14ac:dyDescent="0.25">
      <c r="A606" s="79"/>
      <c r="B606" s="79"/>
      <c r="C606" s="400"/>
      <c r="D606" s="400"/>
      <c r="E606" s="400"/>
      <c r="F606" s="400"/>
      <c r="G606" s="79"/>
      <c r="H606" s="79"/>
      <c r="I606" s="79"/>
      <c r="J606" s="396"/>
      <c r="K606" s="399"/>
      <c r="L606" s="396"/>
      <c r="M606" s="396"/>
      <c r="N606" s="396"/>
      <c r="O606" s="396"/>
      <c r="P606" s="396"/>
      <c r="Q606" s="396"/>
      <c r="R606" s="396"/>
      <c r="S606" s="79"/>
      <c r="T606" s="79"/>
      <c r="U606" s="79"/>
      <c r="V606" s="79"/>
      <c r="W606" s="79"/>
      <c r="X606" s="79"/>
      <c r="Y606" s="79"/>
      <c r="Z606" s="79"/>
    </row>
    <row r="607" spans="1:26" ht="15.75" customHeight="1" x14ac:dyDescent="0.25">
      <c r="A607" s="79"/>
      <c r="B607" s="79"/>
      <c r="C607" s="400"/>
      <c r="D607" s="400"/>
      <c r="E607" s="400"/>
      <c r="F607" s="400"/>
      <c r="G607" s="79"/>
      <c r="H607" s="79"/>
      <c r="I607" s="79"/>
      <c r="J607" s="396"/>
      <c r="K607" s="399"/>
      <c r="L607" s="396"/>
      <c r="M607" s="396"/>
      <c r="N607" s="396"/>
      <c r="O607" s="396"/>
      <c r="P607" s="396"/>
      <c r="Q607" s="396"/>
      <c r="R607" s="396"/>
      <c r="S607" s="79"/>
      <c r="T607" s="79"/>
      <c r="U607" s="79"/>
      <c r="V607" s="79"/>
      <c r="W607" s="79"/>
      <c r="X607" s="79"/>
      <c r="Y607" s="79"/>
      <c r="Z607" s="79"/>
    </row>
    <row r="608" spans="1:26" ht="15.75" customHeight="1" x14ac:dyDescent="0.25">
      <c r="A608" s="79"/>
      <c r="B608" s="79"/>
      <c r="C608" s="400"/>
      <c r="D608" s="400"/>
      <c r="E608" s="400"/>
      <c r="F608" s="400"/>
      <c r="G608" s="79"/>
      <c r="H608" s="79"/>
      <c r="I608" s="79"/>
      <c r="J608" s="396"/>
      <c r="K608" s="399"/>
      <c r="L608" s="396"/>
      <c r="M608" s="396"/>
      <c r="N608" s="396"/>
      <c r="O608" s="396"/>
      <c r="P608" s="396"/>
      <c r="Q608" s="396"/>
      <c r="R608" s="396"/>
      <c r="S608" s="79"/>
      <c r="T608" s="79"/>
      <c r="U608" s="79"/>
      <c r="V608" s="79"/>
      <c r="W608" s="79"/>
      <c r="X608" s="79"/>
      <c r="Y608" s="79"/>
      <c r="Z608" s="79"/>
    </row>
    <row r="609" spans="1:26" ht="15.75" customHeight="1" x14ac:dyDescent="0.25">
      <c r="A609" s="79"/>
      <c r="B609" s="79"/>
      <c r="C609" s="400"/>
      <c r="D609" s="400"/>
      <c r="E609" s="400"/>
      <c r="F609" s="400"/>
      <c r="G609" s="79"/>
      <c r="H609" s="79"/>
      <c r="I609" s="79"/>
      <c r="J609" s="396"/>
      <c r="K609" s="399"/>
      <c r="L609" s="396"/>
      <c r="M609" s="396"/>
      <c r="N609" s="396"/>
      <c r="O609" s="396"/>
      <c r="P609" s="396"/>
      <c r="Q609" s="396"/>
      <c r="R609" s="396"/>
      <c r="S609" s="79"/>
      <c r="T609" s="79"/>
      <c r="U609" s="79"/>
      <c r="V609" s="79"/>
      <c r="W609" s="79"/>
      <c r="X609" s="79"/>
      <c r="Y609" s="79"/>
      <c r="Z609" s="79"/>
    </row>
    <row r="610" spans="1:26" ht="15.75" customHeight="1" x14ac:dyDescent="0.25">
      <c r="A610" s="79"/>
      <c r="B610" s="79"/>
      <c r="C610" s="400"/>
      <c r="D610" s="400"/>
      <c r="E610" s="400"/>
      <c r="F610" s="400"/>
      <c r="G610" s="79"/>
      <c r="H610" s="79"/>
      <c r="I610" s="79"/>
      <c r="J610" s="396"/>
      <c r="K610" s="399"/>
      <c r="L610" s="396"/>
      <c r="M610" s="396"/>
      <c r="N610" s="396"/>
      <c r="O610" s="396"/>
      <c r="P610" s="396"/>
      <c r="Q610" s="396"/>
      <c r="R610" s="396"/>
      <c r="S610" s="79"/>
      <c r="T610" s="79"/>
      <c r="U610" s="79"/>
      <c r="V610" s="79"/>
      <c r="W610" s="79"/>
      <c r="X610" s="79"/>
      <c r="Y610" s="79"/>
      <c r="Z610" s="79"/>
    </row>
    <row r="611" spans="1:26" ht="15.75" customHeight="1" x14ac:dyDescent="0.25">
      <c r="A611" s="79"/>
      <c r="B611" s="79"/>
      <c r="C611" s="400"/>
      <c r="D611" s="400"/>
      <c r="E611" s="400"/>
      <c r="F611" s="400"/>
      <c r="G611" s="79"/>
      <c r="H611" s="79"/>
      <c r="I611" s="79"/>
      <c r="J611" s="396"/>
      <c r="K611" s="399"/>
      <c r="L611" s="396"/>
      <c r="M611" s="396"/>
      <c r="N611" s="396"/>
      <c r="O611" s="396"/>
      <c r="P611" s="396"/>
      <c r="Q611" s="396"/>
      <c r="R611" s="396"/>
      <c r="S611" s="79"/>
      <c r="T611" s="79"/>
      <c r="U611" s="79"/>
      <c r="V611" s="79"/>
      <c r="W611" s="79"/>
      <c r="X611" s="79"/>
      <c r="Y611" s="79"/>
      <c r="Z611" s="79"/>
    </row>
    <row r="612" spans="1:26" ht="15.75" customHeight="1" x14ac:dyDescent="0.25">
      <c r="A612" s="79"/>
      <c r="B612" s="79"/>
      <c r="C612" s="400"/>
      <c r="D612" s="400"/>
      <c r="E612" s="400"/>
      <c r="F612" s="400"/>
      <c r="G612" s="79"/>
      <c r="H612" s="79"/>
      <c r="I612" s="79"/>
      <c r="J612" s="396"/>
      <c r="K612" s="399"/>
      <c r="L612" s="396"/>
      <c r="M612" s="396"/>
      <c r="N612" s="396"/>
      <c r="O612" s="396"/>
      <c r="P612" s="396"/>
      <c r="Q612" s="396"/>
      <c r="R612" s="396"/>
      <c r="S612" s="79"/>
      <c r="T612" s="79"/>
      <c r="U612" s="79"/>
      <c r="V612" s="79"/>
      <c r="W612" s="79"/>
      <c r="X612" s="79"/>
      <c r="Y612" s="79"/>
      <c r="Z612" s="79"/>
    </row>
    <row r="613" spans="1:26" ht="15.75" customHeight="1" x14ac:dyDescent="0.25">
      <c r="A613" s="79"/>
      <c r="B613" s="79"/>
      <c r="C613" s="400"/>
      <c r="D613" s="400"/>
      <c r="E613" s="400"/>
      <c r="F613" s="400"/>
      <c r="G613" s="79"/>
      <c r="H613" s="79"/>
      <c r="I613" s="79"/>
      <c r="J613" s="396"/>
      <c r="K613" s="399"/>
      <c r="L613" s="396"/>
      <c r="M613" s="396"/>
      <c r="N613" s="396"/>
      <c r="O613" s="396"/>
      <c r="P613" s="396"/>
      <c r="Q613" s="396"/>
      <c r="R613" s="396"/>
      <c r="S613" s="79"/>
      <c r="T613" s="79"/>
      <c r="U613" s="79"/>
      <c r="V613" s="79"/>
      <c r="W613" s="79"/>
      <c r="X613" s="79"/>
      <c r="Y613" s="79"/>
      <c r="Z613" s="79"/>
    </row>
    <row r="614" spans="1:26" ht="15.75" customHeight="1" x14ac:dyDescent="0.25">
      <c r="A614" s="79"/>
      <c r="B614" s="79"/>
      <c r="C614" s="400"/>
      <c r="D614" s="400"/>
      <c r="E614" s="400"/>
      <c r="F614" s="400"/>
      <c r="G614" s="79"/>
      <c r="H614" s="79"/>
      <c r="I614" s="79"/>
      <c r="J614" s="396"/>
      <c r="K614" s="399"/>
      <c r="L614" s="396"/>
      <c r="M614" s="396"/>
      <c r="N614" s="396"/>
      <c r="O614" s="396"/>
      <c r="P614" s="396"/>
      <c r="Q614" s="396"/>
      <c r="R614" s="396"/>
      <c r="S614" s="79"/>
      <c r="T614" s="79"/>
      <c r="U614" s="79"/>
      <c r="V614" s="79"/>
      <c r="W614" s="79"/>
      <c r="X614" s="79"/>
      <c r="Y614" s="79"/>
      <c r="Z614" s="79"/>
    </row>
    <row r="615" spans="1:26" ht="15.75" customHeight="1" x14ac:dyDescent="0.25">
      <c r="A615" s="79"/>
      <c r="B615" s="79"/>
      <c r="C615" s="400"/>
      <c r="D615" s="400"/>
      <c r="E615" s="400"/>
      <c r="F615" s="400"/>
      <c r="G615" s="79"/>
      <c r="H615" s="79"/>
      <c r="I615" s="79"/>
      <c r="J615" s="396"/>
      <c r="K615" s="399"/>
      <c r="L615" s="396"/>
      <c r="M615" s="396"/>
      <c r="N615" s="396"/>
      <c r="O615" s="396"/>
      <c r="P615" s="396"/>
      <c r="Q615" s="396"/>
      <c r="R615" s="396"/>
      <c r="S615" s="79"/>
      <c r="T615" s="79"/>
      <c r="U615" s="79"/>
      <c r="V615" s="79"/>
      <c r="W615" s="79"/>
      <c r="X615" s="79"/>
      <c r="Y615" s="79"/>
      <c r="Z615" s="79"/>
    </row>
    <row r="616" spans="1:26" ht="15.75" customHeight="1" x14ac:dyDescent="0.25">
      <c r="A616" s="79"/>
      <c r="B616" s="79"/>
      <c r="C616" s="400"/>
      <c r="D616" s="400"/>
      <c r="E616" s="400"/>
      <c r="F616" s="400"/>
      <c r="G616" s="79"/>
      <c r="H616" s="79"/>
      <c r="I616" s="79"/>
      <c r="J616" s="396"/>
      <c r="K616" s="399"/>
      <c r="L616" s="396"/>
      <c r="M616" s="396"/>
      <c r="N616" s="396"/>
      <c r="O616" s="396"/>
      <c r="P616" s="396"/>
      <c r="Q616" s="396"/>
      <c r="R616" s="396"/>
      <c r="S616" s="79"/>
      <c r="T616" s="79"/>
      <c r="U616" s="79"/>
      <c r="V616" s="79"/>
      <c r="W616" s="79"/>
      <c r="X616" s="79"/>
      <c r="Y616" s="79"/>
      <c r="Z616" s="79"/>
    </row>
    <row r="617" spans="1:26" ht="15.75" customHeight="1" x14ac:dyDescent="0.25">
      <c r="A617" s="79"/>
      <c r="B617" s="79"/>
      <c r="C617" s="400"/>
      <c r="D617" s="400"/>
      <c r="E617" s="400"/>
      <c r="F617" s="400"/>
      <c r="G617" s="79"/>
      <c r="H617" s="79"/>
      <c r="I617" s="79"/>
      <c r="J617" s="396"/>
      <c r="K617" s="399"/>
      <c r="L617" s="396"/>
      <c r="M617" s="396"/>
      <c r="N617" s="396"/>
      <c r="O617" s="396"/>
      <c r="P617" s="396"/>
      <c r="Q617" s="396"/>
      <c r="R617" s="396"/>
      <c r="S617" s="79"/>
      <c r="T617" s="79"/>
      <c r="U617" s="79"/>
      <c r="V617" s="79"/>
      <c r="W617" s="79"/>
      <c r="X617" s="79"/>
      <c r="Y617" s="79"/>
      <c r="Z617" s="79"/>
    </row>
    <row r="618" spans="1:26" ht="15.75" customHeight="1" x14ac:dyDescent="0.25">
      <c r="A618" s="79"/>
      <c r="B618" s="79"/>
      <c r="C618" s="400"/>
      <c r="D618" s="400"/>
      <c r="E618" s="400"/>
      <c r="F618" s="400"/>
      <c r="G618" s="79"/>
      <c r="H618" s="79"/>
      <c r="I618" s="79"/>
      <c r="J618" s="396"/>
      <c r="K618" s="399"/>
      <c r="L618" s="396"/>
      <c r="M618" s="396"/>
      <c r="N618" s="396"/>
      <c r="O618" s="396"/>
      <c r="P618" s="396"/>
      <c r="Q618" s="396"/>
      <c r="R618" s="396"/>
      <c r="S618" s="79"/>
      <c r="T618" s="79"/>
      <c r="U618" s="79"/>
      <c r="V618" s="79"/>
      <c r="W618" s="79"/>
      <c r="X618" s="79"/>
      <c r="Y618" s="79"/>
      <c r="Z618" s="79"/>
    </row>
    <row r="619" spans="1:26" ht="15.75" customHeight="1" x14ac:dyDescent="0.25">
      <c r="A619" s="79"/>
      <c r="B619" s="79"/>
      <c r="C619" s="400"/>
      <c r="D619" s="400"/>
      <c r="E619" s="400"/>
      <c r="F619" s="400"/>
      <c r="G619" s="79"/>
      <c r="H619" s="79"/>
      <c r="I619" s="79"/>
      <c r="J619" s="396"/>
      <c r="K619" s="399"/>
      <c r="L619" s="396"/>
      <c r="M619" s="396"/>
      <c r="N619" s="396"/>
      <c r="O619" s="396"/>
      <c r="P619" s="396"/>
      <c r="Q619" s="396"/>
      <c r="R619" s="396"/>
      <c r="S619" s="79"/>
      <c r="T619" s="79"/>
      <c r="U619" s="79"/>
      <c r="V619" s="79"/>
      <c r="W619" s="79"/>
      <c r="X619" s="79"/>
      <c r="Y619" s="79"/>
      <c r="Z619" s="79"/>
    </row>
    <row r="620" spans="1:26" ht="15.75" customHeight="1" x14ac:dyDescent="0.25">
      <c r="A620" s="79"/>
      <c r="B620" s="79"/>
      <c r="C620" s="400"/>
      <c r="D620" s="400"/>
      <c r="E620" s="400"/>
      <c r="F620" s="400"/>
      <c r="G620" s="79"/>
      <c r="H620" s="79"/>
      <c r="I620" s="79"/>
      <c r="J620" s="396"/>
      <c r="K620" s="399"/>
      <c r="L620" s="396"/>
      <c r="M620" s="396"/>
      <c r="N620" s="396"/>
      <c r="O620" s="396"/>
      <c r="P620" s="396"/>
      <c r="Q620" s="396"/>
      <c r="R620" s="396"/>
      <c r="S620" s="79"/>
      <c r="T620" s="79"/>
      <c r="U620" s="79"/>
      <c r="V620" s="79"/>
      <c r="W620" s="79"/>
      <c r="X620" s="79"/>
      <c r="Y620" s="79"/>
      <c r="Z620" s="79"/>
    </row>
    <row r="621" spans="1:26" ht="15.75" customHeight="1" x14ac:dyDescent="0.25">
      <c r="A621" s="79"/>
      <c r="B621" s="79"/>
      <c r="C621" s="400"/>
      <c r="D621" s="400"/>
      <c r="E621" s="400"/>
      <c r="F621" s="400"/>
      <c r="G621" s="79"/>
      <c r="H621" s="79"/>
      <c r="I621" s="79"/>
      <c r="J621" s="396"/>
      <c r="K621" s="399"/>
      <c r="L621" s="396"/>
      <c r="M621" s="396"/>
      <c r="N621" s="396"/>
      <c r="O621" s="396"/>
      <c r="P621" s="396"/>
      <c r="Q621" s="396"/>
      <c r="R621" s="396"/>
      <c r="S621" s="79"/>
      <c r="T621" s="79"/>
      <c r="U621" s="79"/>
      <c r="V621" s="79"/>
      <c r="W621" s="79"/>
      <c r="X621" s="79"/>
      <c r="Y621" s="79"/>
      <c r="Z621" s="79"/>
    </row>
    <row r="622" spans="1:26" ht="15.75" customHeight="1" x14ac:dyDescent="0.25">
      <c r="A622" s="79"/>
      <c r="B622" s="79"/>
      <c r="C622" s="400"/>
      <c r="D622" s="400"/>
      <c r="E622" s="400"/>
      <c r="F622" s="400"/>
      <c r="G622" s="79"/>
      <c r="H622" s="79"/>
      <c r="I622" s="79"/>
      <c r="J622" s="396"/>
      <c r="K622" s="399"/>
      <c r="L622" s="396"/>
      <c r="M622" s="396"/>
      <c r="N622" s="396"/>
      <c r="O622" s="396"/>
      <c r="P622" s="396"/>
      <c r="Q622" s="396"/>
      <c r="R622" s="396"/>
      <c r="S622" s="79"/>
      <c r="T622" s="79"/>
      <c r="U622" s="79"/>
      <c r="V622" s="79"/>
      <c r="W622" s="79"/>
      <c r="X622" s="79"/>
      <c r="Y622" s="79"/>
      <c r="Z622" s="79"/>
    </row>
    <row r="623" spans="1:26" ht="15.75" customHeight="1" x14ac:dyDescent="0.25">
      <c r="A623" s="79"/>
      <c r="B623" s="79"/>
      <c r="C623" s="400"/>
      <c r="D623" s="400"/>
      <c r="E623" s="400"/>
      <c r="F623" s="400"/>
      <c r="G623" s="79"/>
      <c r="H623" s="79"/>
      <c r="I623" s="79"/>
      <c r="J623" s="396"/>
      <c r="K623" s="399"/>
      <c r="L623" s="396"/>
      <c r="M623" s="396"/>
      <c r="N623" s="396"/>
      <c r="O623" s="396"/>
      <c r="P623" s="396"/>
      <c r="Q623" s="396"/>
      <c r="R623" s="396"/>
      <c r="S623" s="79"/>
      <c r="T623" s="79"/>
      <c r="U623" s="79"/>
      <c r="V623" s="79"/>
      <c r="W623" s="79"/>
      <c r="X623" s="79"/>
      <c r="Y623" s="79"/>
      <c r="Z623" s="79"/>
    </row>
    <row r="624" spans="1:26" ht="15.75" customHeight="1" x14ac:dyDescent="0.25">
      <c r="A624" s="79"/>
      <c r="B624" s="79"/>
      <c r="C624" s="400"/>
      <c r="D624" s="400"/>
      <c r="E624" s="400"/>
      <c r="F624" s="400"/>
      <c r="G624" s="79"/>
      <c r="H624" s="79"/>
      <c r="I624" s="79"/>
      <c r="J624" s="396"/>
      <c r="K624" s="399"/>
      <c r="L624" s="396"/>
      <c r="M624" s="396"/>
      <c r="N624" s="396"/>
      <c r="O624" s="396"/>
      <c r="P624" s="396"/>
      <c r="Q624" s="396"/>
      <c r="R624" s="396"/>
      <c r="S624" s="79"/>
      <c r="T624" s="79"/>
      <c r="U624" s="79"/>
      <c r="V624" s="79"/>
      <c r="W624" s="79"/>
      <c r="X624" s="79"/>
      <c r="Y624" s="79"/>
      <c r="Z624" s="79"/>
    </row>
    <row r="625" spans="1:26" ht="15.75" customHeight="1" x14ac:dyDescent="0.25">
      <c r="A625" s="79"/>
      <c r="B625" s="79"/>
      <c r="C625" s="400"/>
      <c r="D625" s="400"/>
      <c r="E625" s="400"/>
      <c r="F625" s="400"/>
      <c r="G625" s="79"/>
      <c r="H625" s="79"/>
      <c r="I625" s="79"/>
      <c r="J625" s="396"/>
      <c r="K625" s="399"/>
      <c r="L625" s="396"/>
      <c r="M625" s="396"/>
      <c r="N625" s="396"/>
      <c r="O625" s="396"/>
      <c r="P625" s="396"/>
      <c r="Q625" s="396"/>
      <c r="R625" s="396"/>
      <c r="S625" s="79"/>
      <c r="T625" s="79"/>
      <c r="U625" s="79"/>
      <c r="V625" s="79"/>
      <c r="W625" s="79"/>
      <c r="X625" s="79"/>
      <c r="Y625" s="79"/>
      <c r="Z625" s="79"/>
    </row>
    <row r="626" spans="1:26" ht="15.75" customHeight="1" x14ac:dyDescent="0.25">
      <c r="A626" s="79"/>
      <c r="B626" s="79"/>
      <c r="C626" s="400"/>
      <c r="D626" s="400"/>
      <c r="E626" s="400"/>
      <c r="F626" s="400"/>
      <c r="G626" s="79"/>
      <c r="H626" s="79"/>
      <c r="I626" s="79"/>
      <c r="J626" s="396"/>
      <c r="K626" s="399"/>
      <c r="L626" s="396"/>
      <c r="M626" s="396"/>
      <c r="N626" s="396"/>
      <c r="O626" s="396"/>
      <c r="P626" s="396"/>
      <c r="Q626" s="396"/>
      <c r="R626" s="396"/>
      <c r="S626" s="79"/>
      <c r="T626" s="79"/>
      <c r="U626" s="79"/>
      <c r="V626" s="79"/>
      <c r="W626" s="79"/>
      <c r="X626" s="79"/>
      <c r="Y626" s="79"/>
      <c r="Z626" s="79"/>
    </row>
    <row r="627" spans="1:26" ht="15.75" customHeight="1" x14ac:dyDescent="0.25">
      <c r="A627" s="79"/>
      <c r="B627" s="79"/>
      <c r="C627" s="400"/>
      <c r="D627" s="400"/>
      <c r="E627" s="400"/>
      <c r="F627" s="400"/>
      <c r="G627" s="79"/>
      <c r="H627" s="79"/>
      <c r="I627" s="79"/>
      <c r="J627" s="396"/>
      <c r="K627" s="399"/>
      <c r="L627" s="396"/>
      <c r="M627" s="396"/>
      <c r="N627" s="396"/>
      <c r="O627" s="396"/>
      <c r="P627" s="396"/>
      <c r="Q627" s="396"/>
      <c r="R627" s="396"/>
      <c r="S627" s="79"/>
      <c r="T627" s="79"/>
      <c r="U627" s="79"/>
      <c r="V627" s="79"/>
      <c r="W627" s="79"/>
      <c r="X627" s="79"/>
      <c r="Y627" s="79"/>
      <c r="Z627" s="79"/>
    </row>
    <row r="628" spans="1:26" ht="15.75" customHeight="1" x14ac:dyDescent="0.25">
      <c r="A628" s="79"/>
      <c r="B628" s="79"/>
      <c r="C628" s="400"/>
      <c r="D628" s="400"/>
      <c r="E628" s="400"/>
      <c r="F628" s="400"/>
      <c r="G628" s="79"/>
      <c r="H628" s="79"/>
      <c r="I628" s="79"/>
      <c r="J628" s="396"/>
      <c r="K628" s="399"/>
      <c r="L628" s="396"/>
      <c r="M628" s="396"/>
      <c r="N628" s="396"/>
      <c r="O628" s="396"/>
      <c r="P628" s="396"/>
      <c r="Q628" s="396"/>
      <c r="R628" s="396"/>
      <c r="S628" s="79"/>
      <c r="T628" s="79"/>
      <c r="U628" s="79"/>
      <c r="V628" s="79"/>
      <c r="W628" s="79"/>
      <c r="X628" s="79"/>
      <c r="Y628" s="79"/>
      <c r="Z628" s="79"/>
    </row>
    <row r="629" spans="1:26" ht="15.75" customHeight="1" x14ac:dyDescent="0.25">
      <c r="A629" s="79"/>
      <c r="B629" s="79"/>
      <c r="C629" s="400"/>
      <c r="D629" s="400"/>
      <c r="E629" s="400"/>
      <c r="F629" s="400"/>
      <c r="G629" s="79"/>
      <c r="H629" s="79"/>
      <c r="I629" s="79"/>
      <c r="J629" s="396"/>
      <c r="K629" s="399"/>
      <c r="L629" s="396"/>
      <c r="M629" s="396"/>
      <c r="N629" s="396"/>
      <c r="O629" s="396"/>
      <c r="P629" s="396"/>
      <c r="Q629" s="396"/>
      <c r="R629" s="396"/>
      <c r="S629" s="79"/>
      <c r="T629" s="79"/>
      <c r="U629" s="79"/>
      <c r="V629" s="79"/>
      <c r="W629" s="79"/>
      <c r="X629" s="79"/>
      <c r="Y629" s="79"/>
      <c r="Z629" s="79"/>
    </row>
    <row r="630" spans="1:26" ht="15.75" customHeight="1" x14ac:dyDescent="0.25">
      <c r="A630" s="79"/>
      <c r="B630" s="79"/>
      <c r="C630" s="400"/>
      <c r="D630" s="400"/>
      <c r="E630" s="400"/>
      <c r="F630" s="400"/>
      <c r="G630" s="79"/>
      <c r="H630" s="79"/>
      <c r="I630" s="79"/>
      <c r="J630" s="396"/>
      <c r="K630" s="399"/>
      <c r="L630" s="396"/>
      <c r="M630" s="396"/>
      <c r="N630" s="396"/>
      <c r="O630" s="396"/>
      <c r="P630" s="396"/>
      <c r="Q630" s="396"/>
      <c r="R630" s="396"/>
      <c r="S630" s="79"/>
      <c r="T630" s="79"/>
      <c r="U630" s="79"/>
      <c r="V630" s="79"/>
      <c r="W630" s="79"/>
      <c r="X630" s="79"/>
      <c r="Y630" s="79"/>
      <c r="Z630" s="79"/>
    </row>
    <row r="631" spans="1:26" ht="15.75" customHeight="1" x14ac:dyDescent="0.25">
      <c r="A631" s="79"/>
      <c r="B631" s="79"/>
      <c r="C631" s="400"/>
      <c r="D631" s="400"/>
      <c r="E631" s="400"/>
      <c r="F631" s="400"/>
      <c r="G631" s="79"/>
      <c r="H631" s="79"/>
      <c r="I631" s="79"/>
      <c r="J631" s="396"/>
      <c r="K631" s="399"/>
      <c r="L631" s="396"/>
      <c r="M631" s="396"/>
      <c r="N631" s="396"/>
      <c r="O631" s="396"/>
      <c r="P631" s="396"/>
      <c r="Q631" s="396"/>
      <c r="R631" s="396"/>
      <c r="S631" s="79"/>
      <c r="T631" s="79"/>
      <c r="U631" s="79"/>
      <c r="V631" s="79"/>
      <c r="W631" s="79"/>
      <c r="X631" s="79"/>
      <c r="Y631" s="79"/>
      <c r="Z631" s="79"/>
    </row>
    <row r="632" spans="1:26" ht="15.75" customHeight="1" x14ac:dyDescent="0.25">
      <c r="A632" s="79"/>
      <c r="B632" s="79"/>
      <c r="C632" s="400"/>
      <c r="D632" s="400"/>
      <c r="E632" s="400"/>
      <c r="F632" s="400"/>
      <c r="G632" s="79"/>
      <c r="H632" s="79"/>
      <c r="I632" s="79"/>
      <c r="J632" s="396"/>
      <c r="K632" s="399"/>
      <c r="L632" s="396"/>
      <c r="M632" s="396"/>
      <c r="N632" s="396"/>
      <c r="O632" s="396"/>
      <c r="P632" s="396"/>
      <c r="Q632" s="396"/>
      <c r="R632" s="396"/>
      <c r="S632" s="79"/>
      <c r="T632" s="79"/>
      <c r="U632" s="79"/>
      <c r="V632" s="79"/>
      <c r="W632" s="79"/>
      <c r="X632" s="79"/>
      <c r="Y632" s="79"/>
      <c r="Z632" s="79"/>
    </row>
    <row r="633" spans="1:26" ht="15.75" customHeight="1" x14ac:dyDescent="0.25">
      <c r="A633" s="79"/>
      <c r="B633" s="79"/>
      <c r="C633" s="400"/>
      <c r="D633" s="400"/>
      <c r="E633" s="400"/>
      <c r="F633" s="400"/>
      <c r="G633" s="79"/>
      <c r="H633" s="79"/>
      <c r="I633" s="79"/>
      <c r="J633" s="396"/>
      <c r="K633" s="399"/>
      <c r="L633" s="396"/>
      <c r="M633" s="396"/>
      <c r="N633" s="396"/>
      <c r="O633" s="396"/>
      <c r="P633" s="396"/>
      <c r="Q633" s="396"/>
      <c r="R633" s="396"/>
      <c r="S633" s="79"/>
      <c r="T633" s="79"/>
      <c r="U633" s="79"/>
      <c r="V633" s="79"/>
      <c r="W633" s="79"/>
      <c r="X633" s="79"/>
      <c r="Y633" s="79"/>
      <c r="Z633" s="79"/>
    </row>
    <row r="634" spans="1:26" ht="15.75" customHeight="1" x14ac:dyDescent="0.25">
      <c r="A634" s="79"/>
      <c r="B634" s="79"/>
      <c r="C634" s="400"/>
      <c r="D634" s="400"/>
      <c r="E634" s="400"/>
      <c r="F634" s="400"/>
      <c r="G634" s="79"/>
      <c r="H634" s="79"/>
      <c r="I634" s="79"/>
      <c r="J634" s="396"/>
      <c r="K634" s="399"/>
      <c r="L634" s="396"/>
      <c r="M634" s="396"/>
      <c r="N634" s="396"/>
      <c r="O634" s="396"/>
      <c r="P634" s="396"/>
      <c r="Q634" s="396"/>
      <c r="R634" s="396"/>
      <c r="S634" s="79"/>
      <c r="T634" s="79"/>
      <c r="U634" s="79"/>
      <c r="V634" s="79"/>
      <c r="W634" s="79"/>
      <c r="X634" s="79"/>
      <c r="Y634" s="79"/>
      <c r="Z634" s="79"/>
    </row>
    <row r="635" spans="1:26" ht="15.75" customHeight="1" x14ac:dyDescent="0.25">
      <c r="A635" s="79"/>
      <c r="B635" s="79"/>
      <c r="C635" s="400"/>
      <c r="D635" s="400"/>
      <c r="E635" s="400"/>
      <c r="F635" s="400"/>
      <c r="G635" s="79"/>
      <c r="H635" s="79"/>
      <c r="I635" s="79"/>
      <c r="J635" s="396"/>
      <c r="K635" s="399"/>
      <c r="L635" s="396"/>
      <c r="M635" s="396"/>
      <c r="N635" s="396"/>
      <c r="O635" s="396"/>
      <c r="P635" s="396"/>
      <c r="Q635" s="396"/>
      <c r="R635" s="396"/>
      <c r="S635" s="79"/>
      <c r="T635" s="79"/>
      <c r="U635" s="79"/>
      <c r="V635" s="79"/>
      <c r="W635" s="79"/>
      <c r="X635" s="79"/>
      <c r="Y635" s="79"/>
      <c r="Z635" s="79"/>
    </row>
    <row r="636" spans="1:26" ht="15.75" customHeight="1" x14ac:dyDescent="0.25">
      <c r="A636" s="79"/>
      <c r="B636" s="79"/>
      <c r="C636" s="400"/>
      <c r="D636" s="400"/>
      <c r="E636" s="400"/>
      <c r="F636" s="400"/>
      <c r="G636" s="79"/>
      <c r="H636" s="79"/>
      <c r="I636" s="79"/>
      <c r="J636" s="396"/>
      <c r="K636" s="399"/>
      <c r="L636" s="396"/>
      <c r="M636" s="396"/>
      <c r="N636" s="396"/>
      <c r="O636" s="396"/>
      <c r="P636" s="396"/>
      <c r="Q636" s="396"/>
      <c r="R636" s="396"/>
      <c r="S636" s="79"/>
      <c r="T636" s="79"/>
      <c r="U636" s="79"/>
      <c r="V636" s="79"/>
      <c r="W636" s="79"/>
      <c r="X636" s="79"/>
      <c r="Y636" s="79"/>
      <c r="Z636" s="79"/>
    </row>
    <row r="637" spans="1:26" ht="15.75" customHeight="1" x14ac:dyDescent="0.25">
      <c r="A637" s="79"/>
      <c r="B637" s="79"/>
      <c r="C637" s="400"/>
      <c r="D637" s="400"/>
      <c r="E637" s="400"/>
      <c r="F637" s="400"/>
      <c r="G637" s="79"/>
      <c r="H637" s="79"/>
      <c r="I637" s="79"/>
      <c r="J637" s="396"/>
      <c r="K637" s="399"/>
      <c r="L637" s="396"/>
      <c r="M637" s="396"/>
      <c r="N637" s="396"/>
      <c r="O637" s="396"/>
      <c r="P637" s="396"/>
      <c r="Q637" s="396"/>
      <c r="R637" s="396"/>
      <c r="S637" s="79"/>
      <c r="T637" s="79"/>
      <c r="U637" s="79"/>
      <c r="V637" s="79"/>
      <c r="W637" s="79"/>
      <c r="X637" s="79"/>
      <c r="Y637" s="79"/>
      <c r="Z637" s="79"/>
    </row>
    <row r="638" spans="1:26" ht="15.75" customHeight="1" x14ac:dyDescent="0.25">
      <c r="A638" s="79"/>
      <c r="B638" s="79"/>
      <c r="C638" s="400"/>
      <c r="D638" s="400"/>
      <c r="E638" s="400"/>
      <c r="F638" s="400"/>
      <c r="G638" s="79"/>
      <c r="H638" s="79"/>
      <c r="I638" s="79"/>
      <c r="J638" s="396"/>
      <c r="K638" s="399"/>
      <c r="L638" s="396"/>
      <c r="M638" s="396"/>
      <c r="N638" s="396"/>
      <c r="O638" s="396"/>
      <c r="P638" s="396"/>
      <c r="Q638" s="396"/>
      <c r="R638" s="396"/>
      <c r="S638" s="79"/>
      <c r="T638" s="79"/>
      <c r="U638" s="79"/>
      <c r="V638" s="79"/>
      <c r="W638" s="79"/>
      <c r="X638" s="79"/>
      <c r="Y638" s="79"/>
      <c r="Z638" s="79"/>
    </row>
    <row r="639" spans="1:26" ht="15.75" customHeight="1" x14ac:dyDescent="0.25">
      <c r="A639" s="79"/>
      <c r="B639" s="79"/>
      <c r="C639" s="400"/>
      <c r="D639" s="400"/>
      <c r="E639" s="400"/>
      <c r="F639" s="400"/>
      <c r="G639" s="79"/>
      <c r="H639" s="79"/>
      <c r="I639" s="79"/>
      <c r="J639" s="396"/>
      <c r="K639" s="399"/>
      <c r="L639" s="396"/>
      <c r="M639" s="396"/>
      <c r="N639" s="396"/>
      <c r="O639" s="396"/>
      <c r="P639" s="396"/>
      <c r="Q639" s="396"/>
      <c r="R639" s="396"/>
      <c r="S639" s="79"/>
      <c r="T639" s="79"/>
      <c r="U639" s="79"/>
      <c r="V639" s="79"/>
      <c r="W639" s="79"/>
      <c r="X639" s="79"/>
      <c r="Y639" s="79"/>
      <c r="Z639" s="79"/>
    </row>
    <row r="640" spans="1:26" ht="15.75" customHeight="1" x14ac:dyDescent="0.25">
      <c r="A640" s="79"/>
      <c r="B640" s="79"/>
      <c r="C640" s="400"/>
      <c r="D640" s="400"/>
      <c r="E640" s="400"/>
      <c r="F640" s="400"/>
      <c r="G640" s="79"/>
      <c r="H640" s="79"/>
      <c r="I640" s="79"/>
      <c r="J640" s="396"/>
      <c r="K640" s="399"/>
      <c r="L640" s="396"/>
      <c r="M640" s="396"/>
      <c r="N640" s="396"/>
      <c r="O640" s="396"/>
      <c r="P640" s="396"/>
      <c r="Q640" s="396"/>
      <c r="R640" s="396"/>
      <c r="S640" s="79"/>
      <c r="T640" s="79"/>
      <c r="U640" s="79"/>
      <c r="V640" s="79"/>
      <c r="W640" s="79"/>
      <c r="X640" s="79"/>
      <c r="Y640" s="79"/>
      <c r="Z640" s="79"/>
    </row>
    <row r="641" spans="1:26" ht="15.75" customHeight="1" x14ac:dyDescent="0.25">
      <c r="A641" s="79"/>
      <c r="B641" s="79"/>
      <c r="C641" s="400"/>
      <c r="D641" s="400"/>
      <c r="E641" s="400"/>
      <c r="F641" s="400"/>
      <c r="G641" s="79"/>
      <c r="H641" s="79"/>
      <c r="I641" s="79"/>
      <c r="J641" s="396"/>
      <c r="K641" s="399"/>
      <c r="L641" s="396"/>
      <c r="M641" s="396"/>
      <c r="N641" s="396"/>
      <c r="O641" s="396"/>
      <c r="P641" s="396"/>
      <c r="Q641" s="396"/>
      <c r="R641" s="396"/>
      <c r="S641" s="79"/>
      <c r="T641" s="79"/>
      <c r="U641" s="79"/>
      <c r="V641" s="79"/>
      <c r="W641" s="79"/>
      <c r="X641" s="79"/>
      <c r="Y641" s="79"/>
      <c r="Z641" s="79"/>
    </row>
    <row r="642" spans="1:26" ht="15.75" customHeight="1" x14ac:dyDescent="0.25">
      <c r="A642" s="79"/>
      <c r="B642" s="79"/>
      <c r="C642" s="400"/>
      <c r="D642" s="400"/>
      <c r="E642" s="400"/>
      <c r="F642" s="400"/>
      <c r="G642" s="79"/>
      <c r="H642" s="79"/>
      <c r="I642" s="79"/>
      <c r="J642" s="396"/>
      <c r="K642" s="399"/>
      <c r="L642" s="396"/>
      <c r="M642" s="396"/>
      <c r="N642" s="396"/>
      <c r="O642" s="396"/>
      <c r="P642" s="396"/>
      <c r="Q642" s="396"/>
      <c r="R642" s="396"/>
      <c r="S642" s="79"/>
      <c r="T642" s="79"/>
      <c r="U642" s="79"/>
      <c r="V642" s="79"/>
      <c r="W642" s="79"/>
      <c r="X642" s="79"/>
      <c r="Y642" s="79"/>
      <c r="Z642" s="79"/>
    </row>
    <row r="643" spans="1:26" ht="15.75" customHeight="1" x14ac:dyDescent="0.25">
      <c r="A643" s="79"/>
      <c r="B643" s="79"/>
      <c r="C643" s="400"/>
      <c r="D643" s="400"/>
      <c r="E643" s="400"/>
      <c r="F643" s="400"/>
      <c r="G643" s="79"/>
      <c r="H643" s="79"/>
      <c r="I643" s="79"/>
      <c r="J643" s="396"/>
      <c r="K643" s="399"/>
      <c r="L643" s="396"/>
      <c r="M643" s="396"/>
      <c r="N643" s="396"/>
      <c r="O643" s="396"/>
      <c r="P643" s="396"/>
      <c r="Q643" s="396"/>
      <c r="R643" s="396"/>
      <c r="S643" s="79"/>
      <c r="T643" s="79"/>
      <c r="U643" s="79"/>
      <c r="V643" s="79"/>
      <c r="W643" s="79"/>
      <c r="X643" s="79"/>
      <c r="Y643" s="79"/>
      <c r="Z643" s="79"/>
    </row>
    <row r="644" spans="1:26" ht="15.75" customHeight="1" x14ac:dyDescent="0.25">
      <c r="A644" s="79"/>
      <c r="B644" s="79"/>
      <c r="C644" s="400"/>
      <c r="D644" s="400"/>
      <c r="E644" s="400"/>
      <c r="F644" s="400"/>
      <c r="G644" s="79"/>
      <c r="H644" s="79"/>
      <c r="I644" s="79"/>
      <c r="J644" s="396"/>
      <c r="K644" s="399"/>
      <c r="L644" s="396"/>
      <c r="M644" s="396"/>
      <c r="N644" s="396"/>
      <c r="O644" s="396"/>
      <c r="P644" s="396"/>
      <c r="Q644" s="396"/>
      <c r="R644" s="396"/>
      <c r="S644" s="79"/>
      <c r="T644" s="79"/>
      <c r="U644" s="79"/>
      <c r="V644" s="79"/>
      <c r="W644" s="79"/>
      <c r="X644" s="79"/>
      <c r="Y644" s="79"/>
      <c r="Z644" s="79"/>
    </row>
    <row r="645" spans="1:26" ht="15.75" customHeight="1" x14ac:dyDescent="0.25">
      <c r="A645" s="79"/>
      <c r="B645" s="79"/>
      <c r="C645" s="400"/>
      <c r="D645" s="400"/>
      <c r="E645" s="400"/>
      <c r="F645" s="400"/>
      <c r="G645" s="79"/>
      <c r="H645" s="79"/>
      <c r="I645" s="79"/>
      <c r="J645" s="396"/>
      <c r="K645" s="399"/>
      <c r="L645" s="396"/>
      <c r="M645" s="396"/>
      <c r="N645" s="396"/>
      <c r="O645" s="396"/>
      <c r="P645" s="396"/>
      <c r="Q645" s="396"/>
      <c r="R645" s="396"/>
      <c r="S645" s="79"/>
      <c r="T645" s="79"/>
      <c r="U645" s="79"/>
      <c r="V645" s="79"/>
      <c r="W645" s="79"/>
      <c r="X645" s="79"/>
      <c r="Y645" s="79"/>
      <c r="Z645" s="79"/>
    </row>
    <row r="646" spans="1:26" ht="15.75" customHeight="1" x14ac:dyDescent="0.25">
      <c r="A646" s="79"/>
      <c r="B646" s="79"/>
      <c r="C646" s="400"/>
      <c r="D646" s="400"/>
      <c r="E646" s="400"/>
      <c r="F646" s="400"/>
      <c r="G646" s="79"/>
      <c r="H646" s="79"/>
      <c r="I646" s="79"/>
      <c r="J646" s="396"/>
      <c r="K646" s="399"/>
      <c r="L646" s="396"/>
      <c r="M646" s="396"/>
      <c r="N646" s="396"/>
      <c r="O646" s="396"/>
      <c r="P646" s="396"/>
      <c r="Q646" s="396"/>
      <c r="R646" s="396"/>
      <c r="S646" s="79"/>
      <c r="T646" s="79"/>
      <c r="U646" s="79"/>
      <c r="V646" s="79"/>
      <c r="W646" s="79"/>
      <c r="X646" s="79"/>
      <c r="Y646" s="79"/>
      <c r="Z646" s="79"/>
    </row>
    <row r="647" spans="1:26" ht="15.75" customHeight="1" x14ac:dyDescent="0.25">
      <c r="A647" s="79"/>
      <c r="B647" s="79"/>
      <c r="C647" s="400"/>
      <c r="D647" s="400"/>
      <c r="E647" s="400"/>
      <c r="F647" s="400"/>
      <c r="G647" s="79"/>
      <c r="H647" s="79"/>
      <c r="I647" s="79"/>
      <c r="J647" s="396"/>
      <c r="K647" s="399"/>
      <c r="L647" s="396"/>
      <c r="M647" s="396"/>
      <c r="N647" s="396"/>
      <c r="O647" s="396"/>
      <c r="P647" s="396"/>
      <c r="Q647" s="396"/>
      <c r="R647" s="396"/>
      <c r="S647" s="79"/>
      <c r="T647" s="79"/>
      <c r="U647" s="79"/>
      <c r="V647" s="79"/>
      <c r="W647" s="79"/>
      <c r="X647" s="79"/>
      <c r="Y647" s="79"/>
      <c r="Z647" s="79"/>
    </row>
    <row r="648" spans="1:26" ht="15.75" customHeight="1" x14ac:dyDescent="0.25">
      <c r="A648" s="79"/>
      <c r="B648" s="79"/>
      <c r="C648" s="400"/>
      <c r="D648" s="400"/>
      <c r="E648" s="400"/>
      <c r="F648" s="400"/>
      <c r="G648" s="79"/>
      <c r="H648" s="79"/>
      <c r="I648" s="79"/>
      <c r="J648" s="396"/>
      <c r="K648" s="399"/>
      <c r="L648" s="396"/>
      <c r="M648" s="396"/>
      <c r="N648" s="396"/>
      <c r="O648" s="396"/>
      <c r="P648" s="396"/>
      <c r="Q648" s="396"/>
      <c r="R648" s="396"/>
      <c r="S648" s="79"/>
      <c r="T648" s="79"/>
      <c r="U648" s="79"/>
      <c r="V648" s="79"/>
      <c r="W648" s="79"/>
      <c r="X648" s="79"/>
      <c r="Y648" s="79"/>
      <c r="Z648" s="79"/>
    </row>
    <row r="649" spans="1:26" ht="15.75" customHeight="1" x14ac:dyDescent="0.25">
      <c r="A649" s="79"/>
      <c r="B649" s="79"/>
      <c r="C649" s="400"/>
      <c r="D649" s="400"/>
      <c r="E649" s="400"/>
      <c r="F649" s="400"/>
      <c r="G649" s="79"/>
      <c r="H649" s="79"/>
      <c r="I649" s="79"/>
      <c r="J649" s="396"/>
      <c r="K649" s="399"/>
      <c r="L649" s="396"/>
      <c r="M649" s="396"/>
      <c r="N649" s="396"/>
      <c r="O649" s="396"/>
      <c r="P649" s="396"/>
      <c r="Q649" s="396"/>
      <c r="R649" s="396"/>
      <c r="S649" s="79"/>
      <c r="T649" s="79"/>
      <c r="U649" s="79"/>
      <c r="V649" s="79"/>
      <c r="W649" s="79"/>
      <c r="X649" s="79"/>
      <c r="Y649" s="79"/>
      <c r="Z649" s="79"/>
    </row>
    <row r="650" spans="1:26" ht="15.75" customHeight="1" x14ac:dyDescent="0.25">
      <c r="A650" s="79"/>
      <c r="B650" s="79"/>
      <c r="C650" s="400"/>
      <c r="D650" s="400"/>
      <c r="E650" s="400"/>
      <c r="F650" s="400"/>
      <c r="G650" s="79"/>
      <c r="H650" s="79"/>
      <c r="I650" s="79"/>
      <c r="J650" s="396"/>
      <c r="K650" s="399"/>
      <c r="L650" s="396"/>
      <c r="M650" s="396"/>
      <c r="N650" s="396"/>
      <c r="O650" s="396"/>
      <c r="P650" s="396"/>
      <c r="Q650" s="396"/>
      <c r="R650" s="396"/>
      <c r="S650" s="79"/>
      <c r="T650" s="79"/>
      <c r="U650" s="79"/>
      <c r="V650" s="79"/>
      <c r="W650" s="79"/>
      <c r="X650" s="79"/>
      <c r="Y650" s="79"/>
      <c r="Z650" s="79"/>
    </row>
    <row r="651" spans="1:26" ht="15.75" customHeight="1" x14ac:dyDescent="0.25">
      <c r="A651" s="79"/>
      <c r="B651" s="79"/>
      <c r="C651" s="400"/>
      <c r="D651" s="400"/>
      <c r="E651" s="400"/>
      <c r="F651" s="400"/>
      <c r="G651" s="79"/>
      <c r="H651" s="79"/>
      <c r="I651" s="79"/>
      <c r="J651" s="396"/>
      <c r="K651" s="399"/>
      <c r="L651" s="396"/>
      <c r="M651" s="396"/>
      <c r="N651" s="396"/>
      <c r="O651" s="396"/>
      <c r="P651" s="396"/>
      <c r="Q651" s="396"/>
      <c r="R651" s="396"/>
      <c r="S651" s="79"/>
      <c r="T651" s="79"/>
      <c r="U651" s="79"/>
      <c r="V651" s="79"/>
      <c r="W651" s="79"/>
      <c r="X651" s="79"/>
      <c r="Y651" s="79"/>
      <c r="Z651" s="79"/>
    </row>
    <row r="652" spans="1:26" ht="15.75" customHeight="1" x14ac:dyDescent="0.25">
      <c r="A652" s="79"/>
      <c r="B652" s="79"/>
      <c r="C652" s="400"/>
      <c r="D652" s="400"/>
      <c r="E652" s="400"/>
      <c r="F652" s="400"/>
      <c r="G652" s="79"/>
      <c r="H652" s="79"/>
      <c r="I652" s="79"/>
      <c r="J652" s="396"/>
      <c r="K652" s="399"/>
      <c r="L652" s="396"/>
      <c r="M652" s="396"/>
      <c r="N652" s="396"/>
      <c r="O652" s="396"/>
      <c r="P652" s="396"/>
      <c r="Q652" s="396"/>
      <c r="R652" s="396"/>
      <c r="S652" s="79"/>
      <c r="T652" s="79"/>
      <c r="U652" s="79"/>
      <c r="V652" s="79"/>
      <c r="W652" s="79"/>
      <c r="X652" s="79"/>
      <c r="Y652" s="79"/>
      <c r="Z652" s="79"/>
    </row>
    <row r="653" spans="1:26" ht="15.75" customHeight="1" x14ac:dyDescent="0.25">
      <c r="A653" s="79"/>
      <c r="B653" s="79"/>
      <c r="C653" s="400"/>
      <c r="D653" s="400"/>
      <c r="E653" s="400"/>
      <c r="F653" s="400"/>
      <c r="G653" s="79"/>
      <c r="H653" s="79"/>
      <c r="I653" s="79"/>
      <c r="J653" s="396"/>
      <c r="K653" s="399"/>
      <c r="L653" s="396"/>
      <c r="M653" s="396"/>
      <c r="N653" s="396"/>
      <c r="O653" s="396"/>
      <c r="P653" s="396"/>
      <c r="Q653" s="396"/>
      <c r="R653" s="396"/>
      <c r="S653" s="79"/>
      <c r="T653" s="79"/>
      <c r="U653" s="79"/>
      <c r="V653" s="79"/>
      <c r="W653" s="79"/>
      <c r="X653" s="79"/>
      <c r="Y653" s="79"/>
      <c r="Z653" s="79"/>
    </row>
    <row r="654" spans="1:26" ht="15.75" customHeight="1" x14ac:dyDescent="0.25">
      <c r="A654" s="79"/>
      <c r="B654" s="79"/>
      <c r="C654" s="400"/>
      <c r="D654" s="400"/>
      <c r="E654" s="400"/>
      <c r="F654" s="400"/>
      <c r="G654" s="79"/>
      <c r="H654" s="79"/>
      <c r="I654" s="79"/>
      <c r="J654" s="396"/>
      <c r="K654" s="399"/>
      <c r="L654" s="396"/>
      <c r="M654" s="396"/>
      <c r="N654" s="396"/>
      <c r="O654" s="396"/>
      <c r="P654" s="396"/>
      <c r="Q654" s="396"/>
      <c r="R654" s="396"/>
      <c r="S654" s="79"/>
      <c r="T654" s="79"/>
      <c r="U654" s="79"/>
      <c r="V654" s="79"/>
      <c r="W654" s="79"/>
      <c r="X654" s="79"/>
      <c r="Y654" s="79"/>
      <c r="Z654" s="79"/>
    </row>
    <row r="655" spans="1:26" ht="15.75" customHeight="1" x14ac:dyDescent="0.25">
      <c r="A655" s="79"/>
      <c r="B655" s="79"/>
      <c r="C655" s="400"/>
      <c r="D655" s="400"/>
      <c r="E655" s="400"/>
      <c r="F655" s="400"/>
      <c r="G655" s="79"/>
      <c r="H655" s="79"/>
      <c r="I655" s="79"/>
      <c r="J655" s="396"/>
      <c r="K655" s="399"/>
      <c r="L655" s="396"/>
      <c r="M655" s="396"/>
      <c r="N655" s="396"/>
      <c r="O655" s="396"/>
      <c r="P655" s="396"/>
      <c r="Q655" s="396"/>
      <c r="R655" s="396"/>
      <c r="S655" s="79"/>
      <c r="T655" s="79"/>
      <c r="U655" s="79"/>
      <c r="V655" s="79"/>
      <c r="W655" s="79"/>
      <c r="X655" s="79"/>
      <c r="Y655" s="79"/>
      <c r="Z655" s="79"/>
    </row>
    <row r="656" spans="1:26" ht="15.75" customHeight="1" x14ac:dyDescent="0.25">
      <c r="A656" s="79"/>
      <c r="B656" s="79"/>
      <c r="C656" s="400"/>
      <c r="D656" s="400"/>
      <c r="E656" s="400"/>
      <c r="F656" s="400"/>
      <c r="G656" s="79"/>
      <c r="H656" s="79"/>
      <c r="I656" s="79"/>
      <c r="J656" s="396"/>
      <c r="K656" s="399"/>
      <c r="L656" s="396"/>
      <c r="M656" s="396"/>
      <c r="N656" s="396"/>
      <c r="O656" s="396"/>
      <c r="P656" s="396"/>
      <c r="Q656" s="396"/>
      <c r="R656" s="396"/>
      <c r="S656" s="79"/>
      <c r="T656" s="79"/>
      <c r="U656" s="79"/>
      <c r="V656" s="79"/>
      <c r="W656" s="79"/>
      <c r="X656" s="79"/>
      <c r="Y656" s="79"/>
      <c r="Z656" s="79"/>
    </row>
    <row r="657" spans="1:26" ht="15.75" customHeight="1" x14ac:dyDescent="0.25">
      <c r="A657" s="79"/>
      <c r="B657" s="79"/>
      <c r="C657" s="400"/>
      <c r="D657" s="400"/>
      <c r="E657" s="400"/>
      <c r="F657" s="400"/>
      <c r="G657" s="79"/>
      <c r="H657" s="79"/>
      <c r="I657" s="79"/>
      <c r="J657" s="396"/>
      <c r="K657" s="399"/>
      <c r="L657" s="396"/>
      <c r="M657" s="396"/>
      <c r="N657" s="396"/>
      <c r="O657" s="396"/>
      <c r="P657" s="396"/>
      <c r="Q657" s="396"/>
      <c r="R657" s="396"/>
      <c r="S657" s="79"/>
      <c r="T657" s="79"/>
      <c r="U657" s="79"/>
      <c r="V657" s="79"/>
      <c r="W657" s="79"/>
      <c r="X657" s="79"/>
      <c r="Y657" s="79"/>
      <c r="Z657" s="79"/>
    </row>
    <row r="658" spans="1:26" ht="15.75" customHeight="1" x14ac:dyDescent="0.25">
      <c r="A658" s="79"/>
      <c r="B658" s="79"/>
      <c r="C658" s="400"/>
      <c r="D658" s="400"/>
      <c r="E658" s="400"/>
      <c r="F658" s="400"/>
      <c r="G658" s="79"/>
      <c r="H658" s="79"/>
      <c r="I658" s="79"/>
      <c r="J658" s="396"/>
      <c r="K658" s="399"/>
      <c r="L658" s="396"/>
      <c r="M658" s="396"/>
      <c r="N658" s="396"/>
      <c r="O658" s="396"/>
      <c r="P658" s="396"/>
      <c r="Q658" s="396"/>
      <c r="R658" s="396"/>
      <c r="S658" s="79"/>
      <c r="T658" s="79"/>
      <c r="U658" s="79"/>
      <c r="V658" s="79"/>
      <c r="W658" s="79"/>
      <c r="X658" s="79"/>
      <c r="Y658" s="79"/>
      <c r="Z658" s="79"/>
    </row>
    <row r="659" spans="1:26" ht="15.75" customHeight="1" x14ac:dyDescent="0.25">
      <c r="A659" s="79"/>
      <c r="B659" s="79"/>
      <c r="C659" s="400"/>
      <c r="D659" s="400"/>
      <c r="E659" s="400"/>
      <c r="F659" s="400"/>
      <c r="G659" s="79"/>
      <c r="H659" s="79"/>
      <c r="I659" s="79"/>
      <c r="J659" s="396"/>
      <c r="K659" s="399"/>
      <c r="L659" s="396"/>
      <c r="M659" s="396"/>
      <c r="N659" s="396"/>
      <c r="O659" s="396"/>
      <c r="P659" s="396"/>
      <c r="Q659" s="396"/>
      <c r="R659" s="396"/>
      <c r="S659" s="79"/>
      <c r="T659" s="79"/>
      <c r="U659" s="79"/>
      <c r="V659" s="79"/>
      <c r="W659" s="79"/>
      <c r="X659" s="79"/>
      <c r="Y659" s="79"/>
      <c r="Z659" s="79"/>
    </row>
    <row r="660" spans="1:26" ht="15.75" customHeight="1" x14ac:dyDescent="0.25">
      <c r="A660" s="79"/>
      <c r="B660" s="79"/>
      <c r="C660" s="400"/>
      <c r="D660" s="400"/>
      <c r="E660" s="400"/>
      <c r="F660" s="400"/>
      <c r="G660" s="79"/>
      <c r="H660" s="79"/>
      <c r="I660" s="79"/>
      <c r="J660" s="396"/>
      <c r="K660" s="399"/>
      <c r="L660" s="396"/>
      <c r="M660" s="396"/>
      <c r="N660" s="396"/>
      <c r="O660" s="396"/>
      <c r="P660" s="396"/>
      <c r="Q660" s="396"/>
      <c r="R660" s="396"/>
      <c r="S660" s="79"/>
      <c r="T660" s="79"/>
      <c r="U660" s="79"/>
      <c r="V660" s="79"/>
      <c r="W660" s="79"/>
      <c r="X660" s="79"/>
      <c r="Y660" s="79"/>
      <c r="Z660" s="79"/>
    </row>
    <row r="661" spans="1:26" ht="15.75" customHeight="1" x14ac:dyDescent="0.25">
      <c r="A661" s="79"/>
      <c r="B661" s="79"/>
      <c r="C661" s="400"/>
      <c r="D661" s="400"/>
      <c r="E661" s="400"/>
      <c r="F661" s="400"/>
      <c r="G661" s="79"/>
      <c r="H661" s="79"/>
      <c r="I661" s="79"/>
      <c r="J661" s="396"/>
      <c r="K661" s="399"/>
      <c r="L661" s="396"/>
      <c r="M661" s="396"/>
      <c r="N661" s="396"/>
      <c r="O661" s="396"/>
      <c r="P661" s="396"/>
      <c r="Q661" s="396"/>
      <c r="R661" s="396"/>
      <c r="S661" s="79"/>
      <c r="T661" s="79"/>
      <c r="U661" s="79"/>
      <c r="V661" s="79"/>
      <c r="W661" s="79"/>
      <c r="X661" s="79"/>
      <c r="Y661" s="79"/>
      <c r="Z661" s="79"/>
    </row>
    <row r="662" spans="1:26" ht="15.75" customHeight="1" x14ac:dyDescent="0.25">
      <c r="A662" s="79"/>
      <c r="B662" s="79"/>
      <c r="C662" s="400"/>
      <c r="D662" s="400"/>
      <c r="E662" s="400"/>
      <c r="F662" s="400"/>
      <c r="G662" s="79"/>
      <c r="H662" s="79"/>
      <c r="I662" s="79"/>
      <c r="J662" s="396"/>
      <c r="K662" s="399"/>
      <c r="L662" s="396"/>
      <c r="M662" s="396"/>
      <c r="N662" s="396"/>
      <c r="O662" s="396"/>
      <c r="P662" s="396"/>
      <c r="Q662" s="396"/>
      <c r="R662" s="396"/>
      <c r="S662" s="79"/>
      <c r="T662" s="79"/>
      <c r="U662" s="79"/>
      <c r="V662" s="79"/>
      <c r="W662" s="79"/>
      <c r="X662" s="79"/>
      <c r="Y662" s="79"/>
      <c r="Z662" s="79"/>
    </row>
    <row r="663" spans="1:26" ht="15.75" customHeight="1" x14ac:dyDescent="0.25">
      <c r="A663" s="79"/>
      <c r="B663" s="79"/>
      <c r="C663" s="400"/>
      <c r="D663" s="400"/>
      <c r="E663" s="400"/>
      <c r="F663" s="400"/>
      <c r="G663" s="79"/>
      <c r="H663" s="79"/>
      <c r="I663" s="79"/>
      <c r="J663" s="396"/>
      <c r="K663" s="399"/>
      <c r="L663" s="396"/>
      <c r="M663" s="396"/>
      <c r="N663" s="396"/>
      <c r="O663" s="396"/>
      <c r="P663" s="396"/>
      <c r="Q663" s="396"/>
      <c r="R663" s="396"/>
      <c r="S663" s="79"/>
      <c r="T663" s="79"/>
      <c r="U663" s="79"/>
      <c r="V663" s="79"/>
      <c r="W663" s="79"/>
      <c r="X663" s="79"/>
      <c r="Y663" s="79"/>
      <c r="Z663" s="79"/>
    </row>
    <row r="664" spans="1:26" ht="15.75" customHeight="1" x14ac:dyDescent="0.25">
      <c r="A664" s="79"/>
      <c r="B664" s="79"/>
      <c r="C664" s="400"/>
      <c r="D664" s="400"/>
      <c r="E664" s="400"/>
      <c r="F664" s="400"/>
      <c r="G664" s="79"/>
      <c r="H664" s="79"/>
      <c r="I664" s="79"/>
      <c r="J664" s="396"/>
      <c r="K664" s="399"/>
      <c r="L664" s="396"/>
      <c r="M664" s="396"/>
      <c r="N664" s="396"/>
      <c r="O664" s="396"/>
      <c r="P664" s="396"/>
      <c r="Q664" s="396"/>
      <c r="R664" s="396"/>
      <c r="S664" s="79"/>
      <c r="T664" s="79"/>
      <c r="U664" s="79"/>
      <c r="V664" s="79"/>
      <c r="W664" s="79"/>
      <c r="X664" s="79"/>
      <c r="Y664" s="79"/>
      <c r="Z664" s="79"/>
    </row>
    <row r="665" spans="1:26" ht="15.75" customHeight="1" x14ac:dyDescent="0.25">
      <c r="A665" s="79"/>
      <c r="B665" s="79"/>
      <c r="C665" s="400"/>
      <c r="D665" s="400"/>
      <c r="E665" s="400"/>
      <c r="F665" s="400"/>
      <c r="G665" s="79"/>
      <c r="H665" s="79"/>
      <c r="I665" s="79"/>
      <c r="J665" s="396"/>
      <c r="K665" s="399"/>
      <c r="L665" s="396"/>
      <c r="M665" s="396"/>
      <c r="N665" s="396"/>
      <c r="O665" s="396"/>
      <c r="P665" s="396"/>
      <c r="Q665" s="396"/>
      <c r="R665" s="396"/>
      <c r="S665" s="79"/>
      <c r="T665" s="79"/>
      <c r="U665" s="79"/>
      <c r="V665" s="79"/>
      <c r="W665" s="79"/>
      <c r="X665" s="79"/>
      <c r="Y665" s="79"/>
      <c r="Z665" s="79"/>
    </row>
    <row r="666" spans="1:26" ht="15.75" customHeight="1" x14ac:dyDescent="0.25">
      <c r="A666" s="79"/>
      <c r="B666" s="79"/>
      <c r="C666" s="400"/>
      <c r="D666" s="400"/>
      <c r="E666" s="400"/>
      <c r="F666" s="400"/>
      <c r="G666" s="79"/>
      <c r="H666" s="79"/>
      <c r="I666" s="79"/>
      <c r="J666" s="396"/>
      <c r="K666" s="399"/>
      <c r="L666" s="396"/>
      <c r="M666" s="396"/>
      <c r="N666" s="396"/>
      <c r="O666" s="396"/>
      <c r="P666" s="396"/>
      <c r="Q666" s="396"/>
      <c r="R666" s="396"/>
      <c r="S666" s="79"/>
      <c r="T666" s="79"/>
      <c r="U666" s="79"/>
      <c r="V666" s="79"/>
      <c r="W666" s="79"/>
      <c r="X666" s="79"/>
      <c r="Y666" s="79"/>
      <c r="Z666" s="79"/>
    </row>
    <row r="667" spans="1:26" ht="15.75" customHeight="1" x14ac:dyDescent="0.25">
      <c r="A667" s="79"/>
      <c r="B667" s="79"/>
      <c r="C667" s="400"/>
      <c r="D667" s="400"/>
      <c r="E667" s="400"/>
      <c r="F667" s="400"/>
      <c r="G667" s="79"/>
      <c r="H667" s="79"/>
      <c r="I667" s="79"/>
      <c r="J667" s="396"/>
      <c r="K667" s="399"/>
      <c r="L667" s="396"/>
      <c r="M667" s="396"/>
      <c r="N667" s="396"/>
      <c r="O667" s="396"/>
      <c r="P667" s="396"/>
      <c r="Q667" s="396"/>
      <c r="R667" s="396"/>
      <c r="S667" s="79"/>
      <c r="T667" s="79"/>
      <c r="U667" s="79"/>
      <c r="V667" s="79"/>
      <c r="W667" s="79"/>
      <c r="X667" s="79"/>
      <c r="Y667" s="79"/>
      <c r="Z667" s="79"/>
    </row>
    <row r="668" spans="1:26" ht="15.75" customHeight="1" x14ac:dyDescent="0.25">
      <c r="A668" s="79"/>
      <c r="B668" s="79"/>
      <c r="C668" s="400"/>
      <c r="D668" s="400"/>
      <c r="E668" s="400"/>
      <c r="F668" s="400"/>
      <c r="G668" s="79"/>
      <c r="H668" s="79"/>
      <c r="I668" s="79"/>
      <c r="J668" s="396"/>
      <c r="K668" s="399"/>
      <c r="L668" s="396"/>
      <c r="M668" s="396"/>
      <c r="N668" s="396"/>
      <c r="O668" s="396"/>
      <c r="P668" s="396"/>
      <c r="Q668" s="396"/>
      <c r="R668" s="396"/>
      <c r="S668" s="79"/>
      <c r="T668" s="79"/>
      <c r="U668" s="79"/>
      <c r="V668" s="79"/>
      <c r="W668" s="79"/>
      <c r="X668" s="79"/>
      <c r="Y668" s="79"/>
      <c r="Z668" s="79"/>
    </row>
    <row r="669" spans="1:26" ht="15.75" customHeight="1" x14ac:dyDescent="0.25">
      <c r="A669" s="79"/>
      <c r="B669" s="79"/>
      <c r="C669" s="400"/>
      <c r="D669" s="400"/>
      <c r="E669" s="400"/>
      <c r="F669" s="400"/>
      <c r="G669" s="79"/>
      <c r="H669" s="79"/>
      <c r="I669" s="79"/>
      <c r="J669" s="396"/>
      <c r="K669" s="399"/>
      <c r="L669" s="396"/>
      <c r="M669" s="396"/>
      <c r="N669" s="396"/>
      <c r="O669" s="396"/>
      <c r="P669" s="396"/>
      <c r="Q669" s="396"/>
      <c r="R669" s="396"/>
      <c r="S669" s="79"/>
      <c r="T669" s="79"/>
      <c r="U669" s="79"/>
      <c r="V669" s="79"/>
      <c r="W669" s="79"/>
      <c r="X669" s="79"/>
      <c r="Y669" s="79"/>
      <c r="Z669" s="79"/>
    </row>
    <row r="670" spans="1:26" ht="15.75" customHeight="1" x14ac:dyDescent="0.25">
      <c r="A670" s="79"/>
      <c r="B670" s="79"/>
      <c r="C670" s="400"/>
      <c r="D670" s="400"/>
      <c r="E670" s="400"/>
      <c r="F670" s="400"/>
      <c r="G670" s="79"/>
      <c r="H670" s="79"/>
      <c r="I670" s="79"/>
      <c r="J670" s="396"/>
      <c r="K670" s="399"/>
      <c r="L670" s="396"/>
      <c r="M670" s="396"/>
      <c r="N670" s="396"/>
      <c r="O670" s="396"/>
      <c r="P670" s="396"/>
      <c r="Q670" s="396"/>
      <c r="R670" s="396"/>
      <c r="S670" s="79"/>
      <c r="T670" s="79"/>
      <c r="U670" s="79"/>
      <c r="V670" s="79"/>
      <c r="W670" s="79"/>
      <c r="X670" s="79"/>
      <c r="Y670" s="79"/>
      <c r="Z670" s="79"/>
    </row>
    <row r="671" spans="1:26" ht="15.75" customHeight="1" x14ac:dyDescent="0.25">
      <c r="A671" s="79"/>
      <c r="B671" s="79"/>
      <c r="C671" s="400"/>
      <c r="D671" s="400"/>
      <c r="E671" s="400"/>
      <c r="F671" s="400"/>
      <c r="G671" s="79"/>
      <c r="H671" s="79"/>
      <c r="I671" s="79"/>
      <c r="J671" s="396"/>
      <c r="K671" s="399"/>
      <c r="L671" s="396"/>
      <c r="M671" s="396"/>
      <c r="N671" s="396"/>
      <c r="O671" s="396"/>
      <c r="P671" s="396"/>
      <c r="Q671" s="396"/>
      <c r="R671" s="396"/>
      <c r="S671" s="79"/>
      <c r="T671" s="79"/>
      <c r="U671" s="79"/>
      <c r="V671" s="79"/>
      <c r="W671" s="79"/>
      <c r="X671" s="79"/>
      <c r="Y671" s="79"/>
      <c r="Z671" s="79"/>
    </row>
    <row r="672" spans="1:26" ht="15.75" customHeight="1" x14ac:dyDescent="0.25">
      <c r="A672" s="79"/>
      <c r="B672" s="79"/>
      <c r="C672" s="400"/>
      <c r="D672" s="400"/>
      <c r="E672" s="400"/>
      <c r="F672" s="400"/>
      <c r="G672" s="79"/>
      <c r="H672" s="79"/>
      <c r="I672" s="79"/>
      <c r="J672" s="396"/>
      <c r="K672" s="399"/>
      <c r="L672" s="396"/>
      <c r="M672" s="396"/>
      <c r="N672" s="396"/>
      <c r="O672" s="396"/>
      <c r="P672" s="396"/>
      <c r="Q672" s="396"/>
      <c r="R672" s="396"/>
      <c r="S672" s="79"/>
      <c r="T672" s="79"/>
      <c r="U672" s="79"/>
      <c r="V672" s="79"/>
      <c r="W672" s="79"/>
      <c r="X672" s="79"/>
      <c r="Y672" s="79"/>
      <c r="Z672" s="79"/>
    </row>
    <row r="673" spans="1:26" ht="15.75" customHeight="1" x14ac:dyDescent="0.25">
      <c r="A673" s="79"/>
      <c r="B673" s="79"/>
      <c r="C673" s="400"/>
      <c r="D673" s="400"/>
      <c r="E673" s="400"/>
      <c r="F673" s="400"/>
      <c r="G673" s="79"/>
      <c r="H673" s="79"/>
      <c r="I673" s="79"/>
      <c r="J673" s="396"/>
      <c r="K673" s="399"/>
      <c r="L673" s="396"/>
      <c r="M673" s="396"/>
      <c r="N673" s="396"/>
      <c r="O673" s="396"/>
      <c r="P673" s="396"/>
      <c r="Q673" s="396"/>
      <c r="R673" s="396"/>
      <c r="S673" s="79"/>
      <c r="T673" s="79"/>
      <c r="U673" s="79"/>
      <c r="V673" s="79"/>
      <c r="W673" s="79"/>
      <c r="X673" s="79"/>
      <c r="Y673" s="79"/>
      <c r="Z673" s="79"/>
    </row>
    <row r="674" spans="1:26" ht="15.75" customHeight="1" x14ac:dyDescent="0.25">
      <c r="A674" s="79"/>
      <c r="B674" s="79"/>
      <c r="C674" s="400"/>
      <c r="D674" s="400"/>
      <c r="E674" s="400"/>
      <c r="F674" s="400"/>
      <c r="G674" s="79"/>
      <c r="H674" s="79"/>
      <c r="I674" s="79"/>
      <c r="J674" s="396"/>
      <c r="K674" s="399"/>
      <c r="L674" s="396"/>
      <c r="M674" s="396"/>
      <c r="N674" s="396"/>
      <c r="O674" s="396"/>
      <c r="P674" s="396"/>
      <c r="Q674" s="396"/>
      <c r="R674" s="396"/>
      <c r="S674" s="79"/>
      <c r="T674" s="79"/>
      <c r="U674" s="79"/>
      <c r="V674" s="79"/>
      <c r="W674" s="79"/>
      <c r="X674" s="79"/>
      <c r="Y674" s="79"/>
      <c r="Z674" s="79"/>
    </row>
    <row r="675" spans="1:26" ht="15.75" customHeight="1" x14ac:dyDescent="0.25">
      <c r="A675" s="79"/>
      <c r="B675" s="79"/>
      <c r="C675" s="400"/>
      <c r="D675" s="400"/>
      <c r="E675" s="400"/>
      <c r="F675" s="400"/>
      <c r="G675" s="79"/>
      <c r="H675" s="79"/>
      <c r="I675" s="79"/>
      <c r="J675" s="396"/>
      <c r="K675" s="399"/>
      <c r="L675" s="396"/>
      <c r="M675" s="396"/>
      <c r="N675" s="396"/>
      <c r="O675" s="396"/>
      <c r="P675" s="396"/>
      <c r="Q675" s="396"/>
      <c r="R675" s="396"/>
      <c r="S675" s="79"/>
      <c r="T675" s="79"/>
      <c r="U675" s="79"/>
      <c r="V675" s="79"/>
      <c r="W675" s="79"/>
      <c r="X675" s="79"/>
      <c r="Y675" s="79"/>
      <c r="Z675" s="79"/>
    </row>
    <row r="676" spans="1:26" ht="15.75" customHeight="1" x14ac:dyDescent="0.25">
      <c r="A676" s="79"/>
      <c r="B676" s="79"/>
      <c r="C676" s="400"/>
      <c r="D676" s="400"/>
      <c r="E676" s="400"/>
      <c r="F676" s="400"/>
      <c r="G676" s="79"/>
      <c r="H676" s="79"/>
      <c r="I676" s="79"/>
      <c r="J676" s="396"/>
      <c r="K676" s="399"/>
      <c r="L676" s="396"/>
      <c r="M676" s="396"/>
      <c r="N676" s="396"/>
      <c r="O676" s="396"/>
      <c r="P676" s="396"/>
      <c r="Q676" s="396"/>
      <c r="R676" s="396"/>
      <c r="S676" s="79"/>
      <c r="T676" s="79"/>
      <c r="U676" s="79"/>
      <c r="V676" s="79"/>
      <c r="W676" s="79"/>
      <c r="X676" s="79"/>
      <c r="Y676" s="79"/>
      <c r="Z676" s="79"/>
    </row>
    <row r="677" spans="1:26" ht="15.75" customHeight="1" x14ac:dyDescent="0.25">
      <c r="A677" s="79"/>
      <c r="B677" s="79"/>
      <c r="C677" s="400"/>
      <c r="D677" s="400"/>
      <c r="E677" s="400"/>
      <c r="F677" s="400"/>
      <c r="G677" s="79"/>
      <c r="H677" s="79"/>
      <c r="I677" s="79"/>
      <c r="J677" s="396"/>
      <c r="K677" s="399"/>
      <c r="L677" s="396"/>
      <c r="M677" s="396"/>
      <c r="N677" s="396"/>
      <c r="O677" s="396"/>
      <c r="P677" s="396"/>
      <c r="Q677" s="396"/>
      <c r="R677" s="396"/>
      <c r="S677" s="79"/>
      <c r="T677" s="79"/>
      <c r="U677" s="79"/>
      <c r="V677" s="79"/>
      <c r="W677" s="79"/>
      <c r="X677" s="79"/>
      <c r="Y677" s="79"/>
      <c r="Z677" s="79"/>
    </row>
    <row r="678" spans="1:26" ht="15.75" customHeight="1" x14ac:dyDescent="0.25">
      <c r="A678" s="79"/>
      <c r="B678" s="79"/>
      <c r="C678" s="400"/>
      <c r="D678" s="400"/>
      <c r="E678" s="400"/>
      <c r="F678" s="400"/>
      <c r="G678" s="79"/>
      <c r="H678" s="79"/>
      <c r="I678" s="79"/>
      <c r="J678" s="396"/>
      <c r="K678" s="399"/>
      <c r="L678" s="396"/>
      <c r="M678" s="396"/>
      <c r="N678" s="396"/>
      <c r="O678" s="396"/>
      <c r="P678" s="396"/>
      <c r="Q678" s="396"/>
      <c r="R678" s="396"/>
      <c r="S678" s="79"/>
      <c r="T678" s="79"/>
      <c r="U678" s="79"/>
      <c r="V678" s="79"/>
      <c r="W678" s="79"/>
      <c r="X678" s="79"/>
      <c r="Y678" s="79"/>
      <c r="Z678" s="79"/>
    </row>
    <row r="679" spans="1:26" ht="15.75" customHeight="1" x14ac:dyDescent="0.25">
      <c r="A679" s="79"/>
      <c r="B679" s="79"/>
      <c r="C679" s="400"/>
      <c r="D679" s="400"/>
      <c r="E679" s="400"/>
      <c r="F679" s="400"/>
      <c r="G679" s="79"/>
      <c r="H679" s="79"/>
      <c r="I679" s="79"/>
      <c r="J679" s="396"/>
      <c r="K679" s="399"/>
      <c r="L679" s="396"/>
      <c r="M679" s="396"/>
      <c r="N679" s="396"/>
      <c r="O679" s="396"/>
      <c r="P679" s="396"/>
      <c r="Q679" s="396"/>
      <c r="R679" s="396"/>
      <c r="S679" s="79"/>
      <c r="T679" s="79"/>
      <c r="U679" s="79"/>
      <c r="V679" s="79"/>
      <c r="W679" s="79"/>
      <c r="X679" s="79"/>
      <c r="Y679" s="79"/>
      <c r="Z679" s="79"/>
    </row>
    <row r="680" spans="1:26" ht="15.75" customHeight="1" x14ac:dyDescent="0.25">
      <c r="A680" s="79"/>
      <c r="B680" s="79"/>
      <c r="C680" s="400"/>
      <c r="D680" s="400"/>
      <c r="E680" s="400"/>
      <c r="F680" s="400"/>
      <c r="G680" s="79"/>
      <c r="H680" s="79"/>
      <c r="I680" s="79"/>
      <c r="J680" s="396"/>
      <c r="K680" s="399"/>
      <c r="L680" s="396"/>
      <c r="M680" s="396"/>
      <c r="N680" s="396"/>
      <c r="O680" s="396"/>
      <c r="P680" s="396"/>
      <c r="Q680" s="396"/>
      <c r="R680" s="396"/>
      <c r="S680" s="79"/>
      <c r="T680" s="79"/>
      <c r="U680" s="79"/>
      <c r="V680" s="79"/>
      <c r="W680" s="79"/>
      <c r="X680" s="79"/>
      <c r="Y680" s="79"/>
      <c r="Z680" s="79"/>
    </row>
    <row r="681" spans="1:26" ht="15.75" customHeight="1" x14ac:dyDescent="0.25">
      <c r="A681" s="79"/>
      <c r="B681" s="79"/>
      <c r="C681" s="400"/>
      <c r="D681" s="400"/>
      <c r="E681" s="400"/>
      <c r="F681" s="400"/>
      <c r="G681" s="79"/>
      <c r="H681" s="79"/>
      <c r="I681" s="79"/>
      <c r="J681" s="396"/>
      <c r="K681" s="399"/>
      <c r="L681" s="396"/>
      <c r="M681" s="396"/>
      <c r="N681" s="396"/>
      <c r="O681" s="396"/>
      <c r="P681" s="396"/>
      <c r="Q681" s="396"/>
      <c r="R681" s="396"/>
      <c r="S681" s="79"/>
      <c r="T681" s="79"/>
      <c r="U681" s="79"/>
      <c r="V681" s="79"/>
      <c r="W681" s="79"/>
      <c r="X681" s="79"/>
      <c r="Y681" s="79"/>
      <c r="Z681" s="79"/>
    </row>
    <row r="682" spans="1:26" ht="15.75" customHeight="1" x14ac:dyDescent="0.25">
      <c r="A682" s="79"/>
      <c r="B682" s="79"/>
      <c r="C682" s="400"/>
      <c r="D682" s="400"/>
      <c r="E682" s="400"/>
      <c r="F682" s="400"/>
      <c r="G682" s="79"/>
      <c r="H682" s="79"/>
      <c r="I682" s="79"/>
      <c r="J682" s="396"/>
      <c r="K682" s="399"/>
      <c r="L682" s="396"/>
      <c r="M682" s="396"/>
      <c r="N682" s="396"/>
      <c r="O682" s="396"/>
      <c r="P682" s="396"/>
      <c r="Q682" s="396"/>
      <c r="R682" s="396"/>
      <c r="S682" s="79"/>
      <c r="T682" s="79"/>
      <c r="U682" s="79"/>
      <c r="V682" s="79"/>
      <c r="W682" s="79"/>
      <c r="X682" s="79"/>
      <c r="Y682" s="79"/>
      <c r="Z682" s="79"/>
    </row>
    <row r="683" spans="1:26" ht="15.75" customHeight="1" x14ac:dyDescent="0.25">
      <c r="A683" s="79"/>
      <c r="B683" s="79"/>
      <c r="C683" s="400"/>
      <c r="D683" s="400"/>
      <c r="E683" s="400"/>
      <c r="F683" s="400"/>
      <c r="G683" s="79"/>
      <c r="H683" s="79"/>
      <c r="I683" s="79"/>
      <c r="J683" s="396"/>
      <c r="K683" s="399"/>
      <c r="L683" s="396"/>
      <c r="M683" s="396"/>
      <c r="N683" s="396"/>
      <c r="O683" s="396"/>
      <c r="P683" s="396"/>
      <c r="Q683" s="396"/>
      <c r="R683" s="396"/>
      <c r="S683" s="79"/>
      <c r="T683" s="79"/>
      <c r="U683" s="79"/>
      <c r="V683" s="79"/>
      <c r="W683" s="79"/>
      <c r="X683" s="79"/>
      <c r="Y683" s="79"/>
      <c r="Z683" s="79"/>
    </row>
    <row r="684" spans="1:26" ht="15.75" customHeight="1" x14ac:dyDescent="0.25">
      <c r="A684" s="79"/>
      <c r="B684" s="79"/>
      <c r="C684" s="400"/>
      <c r="D684" s="400"/>
      <c r="E684" s="400"/>
      <c r="F684" s="400"/>
      <c r="G684" s="79"/>
      <c r="H684" s="79"/>
      <c r="I684" s="79"/>
      <c r="J684" s="396"/>
      <c r="K684" s="399"/>
      <c r="L684" s="396"/>
      <c r="M684" s="396"/>
      <c r="N684" s="396"/>
      <c r="O684" s="396"/>
      <c r="P684" s="396"/>
      <c r="Q684" s="396"/>
      <c r="R684" s="396"/>
      <c r="S684" s="79"/>
      <c r="T684" s="79"/>
      <c r="U684" s="79"/>
      <c r="V684" s="79"/>
      <c r="W684" s="79"/>
      <c r="X684" s="79"/>
      <c r="Y684" s="79"/>
      <c r="Z684" s="79"/>
    </row>
    <row r="685" spans="1:26" ht="15.75" customHeight="1" x14ac:dyDescent="0.25">
      <c r="A685" s="79"/>
      <c r="B685" s="79"/>
      <c r="C685" s="400"/>
      <c r="D685" s="400"/>
      <c r="E685" s="400"/>
      <c r="F685" s="400"/>
      <c r="G685" s="79"/>
      <c r="H685" s="79"/>
      <c r="I685" s="79"/>
      <c r="J685" s="396"/>
      <c r="K685" s="399"/>
      <c r="L685" s="396"/>
      <c r="M685" s="396"/>
      <c r="N685" s="396"/>
      <c r="O685" s="396"/>
      <c r="P685" s="396"/>
      <c r="Q685" s="396"/>
      <c r="R685" s="396"/>
      <c r="S685" s="79"/>
      <c r="T685" s="79"/>
      <c r="U685" s="79"/>
      <c r="V685" s="79"/>
      <c r="W685" s="79"/>
      <c r="X685" s="79"/>
      <c r="Y685" s="79"/>
      <c r="Z685" s="79"/>
    </row>
    <row r="686" spans="1:26" ht="15.75" customHeight="1" x14ac:dyDescent="0.25">
      <c r="A686" s="79"/>
      <c r="B686" s="79"/>
      <c r="C686" s="400"/>
      <c r="D686" s="400"/>
      <c r="E686" s="400"/>
      <c r="F686" s="400"/>
      <c r="G686" s="79"/>
      <c r="H686" s="79"/>
      <c r="I686" s="79"/>
      <c r="J686" s="396"/>
      <c r="K686" s="399"/>
      <c r="L686" s="396"/>
      <c r="M686" s="396"/>
      <c r="N686" s="396"/>
      <c r="O686" s="396"/>
      <c r="P686" s="396"/>
      <c r="Q686" s="396"/>
      <c r="R686" s="396"/>
      <c r="S686" s="79"/>
      <c r="T686" s="79"/>
      <c r="U686" s="79"/>
      <c r="V686" s="79"/>
      <c r="W686" s="79"/>
      <c r="X686" s="79"/>
      <c r="Y686" s="79"/>
      <c r="Z686" s="79"/>
    </row>
    <row r="687" spans="1:26" ht="15.75" customHeight="1" x14ac:dyDescent="0.25">
      <c r="A687" s="79"/>
      <c r="B687" s="79"/>
      <c r="C687" s="400"/>
      <c r="D687" s="400"/>
      <c r="E687" s="400"/>
      <c r="F687" s="400"/>
      <c r="G687" s="79"/>
      <c r="H687" s="79"/>
      <c r="I687" s="79"/>
      <c r="J687" s="396"/>
      <c r="K687" s="399"/>
      <c r="L687" s="396"/>
      <c r="M687" s="396"/>
      <c r="N687" s="396"/>
      <c r="O687" s="396"/>
      <c r="P687" s="396"/>
      <c r="Q687" s="396"/>
      <c r="R687" s="396"/>
      <c r="S687" s="79"/>
      <c r="T687" s="79"/>
      <c r="U687" s="79"/>
      <c r="V687" s="79"/>
      <c r="W687" s="79"/>
      <c r="X687" s="79"/>
      <c r="Y687" s="79"/>
      <c r="Z687" s="79"/>
    </row>
    <row r="688" spans="1:26" ht="15.75" customHeight="1" x14ac:dyDescent="0.25">
      <c r="A688" s="79"/>
      <c r="B688" s="79"/>
      <c r="C688" s="400"/>
      <c r="D688" s="400"/>
      <c r="E688" s="400"/>
      <c r="F688" s="400"/>
      <c r="G688" s="79"/>
      <c r="H688" s="79"/>
      <c r="I688" s="79"/>
      <c r="J688" s="396"/>
      <c r="K688" s="399"/>
      <c r="L688" s="396"/>
      <c r="M688" s="396"/>
      <c r="N688" s="396"/>
      <c r="O688" s="396"/>
      <c r="P688" s="396"/>
      <c r="Q688" s="396"/>
      <c r="R688" s="396"/>
      <c r="S688" s="79"/>
      <c r="T688" s="79"/>
      <c r="U688" s="79"/>
      <c r="V688" s="79"/>
      <c r="W688" s="79"/>
      <c r="X688" s="79"/>
      <c r="Y688" s="79"/>
      <c r="Z688" s="79"/>
    </row>
    <row r="689" spans="1:26" ht="15.75" customHeight="1" x14ac:dyDescent="0.25">
      <c r="A689" s="79"/>
      <c r="B689" s="79"/>
      <c r="C689" s="400"/>
      <c r="D689" s="400"/>
      <c r="E689" s="400"/>
      <c r="F689" s="400"/>
      <c r="G689" s="79"/>
      <c r="H689" s="79"/>
      <c r="I689" s="79"/>
      <c r="J689" s="396"/>
      <c r="K689" s="399"/>
      <c r="L689" s="396"/>
      <c r="M689" s="396"/>
      <c r="N689" s="396"/>
      <c r="O689" s="396"/>
      <c r="P689" s="396"/>
      <c r="Q689" s="396"/>
      <c r="R689" s="396"/>
      <c r="S689" s="79"/>
      <c r="T689" s="79"/>
      <c r="U689" s="79"/>
      <c r="V689" s="79"/>
      <c r="W689" s="79"/>
      <c r="X689" s="79"/>
      <c r="Y689" s="79"/>
      <c r="Z689" s="79"/>
    </row>
    <row r="690" spans="1:26" ht="15.75" customHeight="1" x14ac:dyDescent="0.25">
      <c r="A690" s="79"/>
      <c r="B690" s="79"/>
      <c r="C690" s="400"/>
      <c r="D690" s="400"/>
      <c r="E690" s="400"/>
      <c r="F690" s="400"/>
      <c r="G690" s="79"/>
      <c r="H690" s="79"/>
      <c r="I690" s="79"/>
      <c r="J690" s="396"/>
      <c r="K690" s="399"/>
      <c r="L690" s="396"/>
      <c r="M690" s="396"/>
      <c r="N690" s="396"/>
      <c r="O690" s="396"/>
      <c r="P690" s="396"/>
      <c r="Q690" s="396"/>
      <c r="R690" s="396"/>
      <c r="S690" s="79"/>
      <c r="T690" s="79"/>
      <c r="U690" s="79"/>
      <c r="V690" s="79"/>
      <c r="W690" s="79"/>
      <c r="X690" s="79"/>
      <c r="Y690" s="79"/>
      <c r="Z690" s="79"/>
    </row>
    <row r="691" spans="1:26" ht="15.75" customHeight="1" x14ac:dyDescent="0.25">
      <c r="A691" s="79"/>
      <c r="B691" s="79"/>
      <c r="C691" s="400"/>
      <c r="D691" s="400"/>
      <c r="E691" s="400"/>
      <c r="F691" s="400"/>
      <c r="G691" s="79"/>
      <c r="H691" s="79"/>
      <c r="I691" s="79"/>
      <c r="J691" s="396"/>
      <c r="K691" s="399"/>
      <c r="L691" s="396"/>
      <c r="M691" s="396"/>
      <c r="N691" s="396"/>
      <c r="O691" s="396"/>
      <c r="P691" s="396"/>
      <c r="Q691" s="396"/>
      <c r="R691" s="396"/>
      <c r="S691" s="79"/>
      <c r="T691" s="79"/>
      <c r="U691" s="79"/>
      <c r="V691" s="79"/>
      <c r="W691" s="79"/>
      <c r="X691" s="79"/>
      <c r="Y691" s="79"/>
      <c r="Z691" s="79"/>
    </row>
    <row r="692" spans="1:26" ht="15.75" customHeight="1" x14ac:dyDescent="0.25">
      <c r="A692" s="79"/>
      <c r="B692" s="79"/>
      <c r="C692" s="400"/>
      <c r="D692" s="400"/>
      <c r="E692" s="400"/>
      <c r="F692" s="400"/>
      <c r="G692" s="79"/>
      <c r="H692" s="79"/>
      <c r="I692" s="79"/>
      <c r="J692" s="396"/>
      <c r="K692" s="399"/>
      <c r="L692" s="396"/>
      <c r="M692" s="396"/>
      <c r="N692" s="396"/>
      <c r="O692" s="396"/>
      <c r="P692" s="396"/>
      <c r="Q692" s="396"/>
      <c r="R692" s="396"/>
      <c r="S692" s="79"/>
      <c r="T692" s="79"/>
      <c r="U692" s="79"/>
      <c r="V692" s="79"/>
      <c r="W692" s="79"/>
      <c r="X692" s="79"/>
      <c r="Y692" s="79"/>
      <c r="Z692" s="79"/>
    </row>
    <row r="693" spans="1:26" ht="15.75" customHeight="1" x14ac:dyDescent="0.25">
      <c r="A693" s="79"/>
      <c r="B693" s="79"/>
      <c r="C693" s="400"/>
      <c r="D693" s="400"/>
      <c r="E693" s="400"/>
      <c r="F693" s="400"/>
      <c r="G693" s="79"/>
      <c r="H693" s="79"/>
      <c r="I693" s="79"/>
      <c r="J693" s="396"/>
      <c r="K693" s="399"/>
      <c r="L693" s="396"/>
      <c r="M693" s="396"/>
      <c r="N693" s="396"/>
      <c r="O693" s="396"/>
      <c r="P693" s="396"/>
      <c r="Q693" s="396"/>
      <c r="R693" s="396"/>
      <c r="S693" s="79"/>
      <c r="T693" s="79"/>
      <c r="U693" s="79"/>
      <c r="V693" s="79"/>
      <c r="W693" s="79"/>
      <c r="X693" s="79"/>
      <c r="Y693" s="79"/>
      <c r="Z693" s="79"/>
    </row>
    <row r="694" spans="1:26" ht="15.75" customHeight="1" x14ac:dyDescent="0.25">
      <c r="A694" s="79"/>
      <c r="B694" s="79"/>
      <c r="C694" s="400"/>
      <c r="D694" s="400"/>
      <c r="E694" s="400"/>
      <c r="F694" s="400"/>
      <c r="G694" s="79"/>
      <c r="H694" s="79"/>
      <c r="I694" s="79"/>
      <c r="J694" s="396"/>
      <c r="K694" s="399"/>
      <c r="L694" s="396"/>
      <c r="M694" s="396"/>
      <c r="N694" s="396"/>
      <c r="O694" s="396"/>
      <c r="P694" s="396"/>
      <c r="Q694" s="396"/>
      <c r="R694" s="396"/>
      <c r="S694" s="79"/>
      <c r="T694" s="79"/>
      <c r="U694" s="79"/>
      <c r="V694" s="79"/>
      <c r="W694" s="79"/>
      <c r="X694" s="79"/>
      <c r="Y694" s="79"/>
      <c r="Z694" s="79"/>
    </row>
    <row r="695" spans="1:26" ht="15.75" customHeight="1" x14ac:dyDescent="0.25">
      <c r="A695" s="79"/>
      <c r="B695" s="79"/>
      <c r="C695" s="400"/>
      <c r="D695" s="400"/>
      <c r="E695" s="400"/>
      <c r="F695" s="400"/>
      <c r="G695" s="79"/>
      <c r="H695" s="79"/>
      <c r="I695" s="79"/>
      <c r="J695" s="396"/>
      <c r="K695" s="399"/>
      <c r="L695" s="396"/>
      <c r="M695" s="396"/>
      <c r="N695" s="396"/>
      <c r="O695" s="396"/>
      <c r="P695" s="396"/>
      <c r="Q695" s="396"/>
      <c r="R695" s="396"/>
      <c r="S695" s="79"/>
      <c r="T695" s="79"/>
      <c r="U695" s="79"/>
      <c r="V695" s="79"/>
      <c r="W695" s="79"/>
      <c r="X695" s="79"/>
      <c r="Y695" s="79"/>
      <c r="Z695" s="79"/>
    </row>
    <row r="696" spans="1:26" ht="15.75" customHeight="1" x14ac:dyDescent="0.25">
      <c r="A696" s="79"/>
      <c r="B696" s="79"/>
      <c r="C696" s="400"/>
      <c r="D696" s="400"/>
      <c r="E696" s="400"/>
      <c r="F696" s="400"/>
      <c r="G696" s="79"/>
      <c r="H696" s="79"/>
      <c r="I696" s="79"/>
      <c r="J696" s="396"/>
      <c r="K696" s="399"/>
      <c r="L696" s="396"/>
      <c r="M696" s="396"/>
      <c r="N696" s="396"/>
      <c r="O696" s="396"/>
      <c r="P696" s="396"/>
      <c r="Q696" s="396"/>
      <c r="R696" s="396"/>
      <c r="S696" s="79"/>
      <c r="T696" s="79"/>
      <c r="U696" s="79"/>
      <c r="V696" s="79"/>
      <c r="W696" s="79"/>
      <c r="X696" s="79"/>
      <c r="Y696" s="79"/>
      <c r="Z696" s="79"/>
    </row>
    <row r="697" spans="1:26" ht="15.75" customHeight="1" x14ac:dyDescent="0.25">
      <c r="A697" s="79"/>
      <c r="B697" s="79"/>
      <c r="C697" s="400"/>
      <c r="D697" s="400"/>
      <c r="E697" s="400"/>
      <c r="F697" s="400"/>
      <c r="G697" s="79"/>
      <c r="H697" s="79"/>
      <c r="I697" s="79"/>
      <c r="J697" s="396"/>
      <c r="K697" s="399"/>
      <c r="L697" s="396"/>
      <c r="M697" s="396"/>
      <c r="N697" s="396"/>
      <c r="O697" s="396"/>
      <c r="P697" s="396"/>
      <c r="Q697" s="396"/>
      <c r="R697" s="396"/>
      <c r="S697" s="79"/>
      <c r="T697" s="79"/>
      <c r="U697" s="79"/>
      <c r="V697" s="79"/>
      <c r="W697" s="79"/>
      <c r="X697" s="79"/>
      <c r="Y697" s="79"/>
      <c r="Z697" s="79"/>
    </row>
    <row r="698" spans="1:26" ht="15.75" customHeight="1" x14ac:dyDescent="0.25">
      <c r="A698" s="79"/>
      <c r="B698" s="79"/>
      <c r="C698" s="400"/>
      <c r="D698" s="400"/>
      <c r="E698" s="400"/>
      <c r="F698" s="400"/>
      <c r="G698" s="79"/>
      <c r="H698" s="79"/>
      <c r="I698" s="79"/>
      <c r="J698" s="396"/>
      <c r="K698" s="399"/>
      <c r="L698" s="396"/>
      <c r="M698" s="396"/>
      <c r="N698" s="396"/>
      <c r="O698" s="396"/>
      <c r="P698" s="396"/>
      <c r="Q698" s="396"/>
      <c r="R698" s="396"/>
      <c r="S698" s="79"/>
      <c r="T698" s="79"/>
      <c r="U698" s="79"/>
      <c r="V698" s="79"/>
      <c r="W698" s="79"/>
      <c r="X698" s="79"/>
      <c r="Y698" s="79"/>
      <c r="Z698" s="79"/>
    </row>
    <row r="699" spans="1:26" ht="15.75" customHeight="1" x14ac:dyDescent="0.25">
      <c r="A699" s="79"/>
      <c r="B699" s="79"/>
      <c r="C699" s="400"/>
      <c r="D699" s="400"/>
      <c r="E699" s="400"/>
      <c r="F699" s="400"/>
      <c r="G699" s="79"/>
      <c r="H699" s="79"/>
      <c r="I699" s="79"/>
      <c r="J699" s="396"/>
      <c r="K699" s="399"/>
      <c r="L699" s="396"/>
      <c r="M699" s="396"/>
      <c r="N699" s="396"/>
      <c r="O699" s="396"/>
      <c r="P699" s="396"/>
      <c r="Q699" s="396"/>
      <c r="R699" s="396"/>
      <c r="S699" s="79"/>
      <c r="T699" s="79"/>
      <c r="U699" s="79"/>
      <c r="V699" s="79"/>
      <c r="W699" s="79"/>
      <c r="X699" s="79"/>
      <c r="Y699" s="79"/>
      <c r="Z699" s="79"/>
    </row>
    <row r="700" spans="1:26" ht="15.75" customHeight="1" x14ac:dyDescent="0.25">
      <c r="A700" s="79"/>
      <c r="B700" s="79"/>
      <c r="C700" s="400"/>
      <c r="D700" s="400"/>
      <c r="E700" s="400"/>
      <c r="F700" s="400"/>
      <c r="G700" s="79"/>
      <c r="H700" s="79"/>
      <c r="I700" s="79"/>
      <c r="J700" s="396"/>
      <c r="K700" s="399"/>
      <c r="L700" s="396"/>
      <c r="M700" s="396"/>
      <c r="N700" s="396"/>
      <c r="O700" s="396"/>
      <c r="P700" s="396"/>
      <c r="Q700" s="396"/>
      <c r="R700" s="396"/>
      <c r="S700" s="79"/>
      <c r="T700" s="79"/>
      <c r="U700" s="79"/>
      <c r="V700" s="79"/>
      <c r="W700" s="79"/>
      <c r="X700" s="79"/>
      <c r="Y700" s="79"/>
      <c r="Z700" s="79"/>
    </row>
    <row r="701" spans="1:26" ht="15.75" customHeight="1" x14ac:dyDescent="0.25">
      <c r="A701" s="79"/>
      <c r="B701" s="79"/>
      <c r="C701" s="400"/>
      <c r="D701" s="400"/>
      <c r="E701" s="400"/>
      <c r="F701" s="400"/>
      <c r="G701" s="79"/>
      <c r="H701" s="79"/>
      <c r="I701" s="79"/>
      <c r="J701" s="396"/>
      <c r="K701" s="399"/>
      <c r="L701" s="396"/>
      <c r="M701" s="396"/>
      <c r="N701" s="396"/>
      <c r="O701" s="396"/>
      <c r="P701" s="396"/>
      <c r="Q701" s="396"/>
      <c r="R701" s="396"/>
      <c r="S701" s="79"/>
      <c r="T701" s="79"/>
      <c r="U701" s="79"/>
      <c r="V701" s="79"/>
      <c r="W701" s="79"/>
      <c r="X701" s="79"/>
      <c r="Y701" s="79"/>
      <c r="Z701" s="79"/>
    </row>
    <row r="702" spans="1:26" ht="15.75" customHeight="1" x14ac:dyDescent="0.25">
      <c r="A702" s="79"/>
      <c r="B702" s="79"/>
      <c r="C702" s="400"/>
      <c r="D702" s="400"/>
      <c r="E702" s="400"/>
      <c r="F702" s="400"/>
      <c r="G702" s="79"/>
      <c r="H702" s="79"/>
      <c r="I702" s="79"/>
      <c r="J702" s="396"/>
      <c r="K702" s="399"/>
      <c r="L702" s="396"/>
      <c r="M702" s="396"/>
      <c r="N702" s="396"/>
      <c r="O702" s="396"/>
      <c r="P702" s="396"/>
      <c r="Q702" s="396"/>
      <c r="R702" s="396"/>
      <c r="S702" s="79"/>
      <c r="T702" s="79"/>
      <c r="U702" s="79"/>
      <c r="V702" s="79"/>
      <c r="W702" s="79"/>
      <c r="X702" s="79"/>
      <c r="Y702" s="79"/>
      <c r="Z702" s="79"/>
    </row>
    <row r="703" spans="1:26" ht="15.75" customHeight="1" x14ac:dyDescent="0.25">
      <c r="A703" s="79"/>
      <c r="B703" s="79"/>
      <c r="C703" s="400"/>
      <c r="D703" s="400"/>
      <c r="E703" s="400"/>
      <c r="F703" s="400"/>
      <c r="G703" s="79"/>
      <c r="H703" s="79"/>
      <c r="I703" s="79"/>
      <c r="J703" s="396"/>
      <c r="K703" s="399"/>
      <c r="L703" s="396"/>
      <c r="M703" s="396"/>
      <c r="N703" s="396"/>
      <c r="O703" s="396"/>
      <c r="P703" s="396"/>
      <c r="Q703" s="396"/>
      <c r="R703" s="396"/>
      <c r="S703" s="79"/>
      <c r="T703" s="79"/>
      <c r="U703" s="79"/>
      <c r="V703" s="79"/>
      <c r="W703" s="79"/>
      <c r="X703" s="79"/>
      <c r="Y703" s="79"/>
      <c r="Z703" s="79"/>
    </row>
    <row r="704" spans="1:26" ht="15.75" customHeight="1" x14ac:dyDescent="0.25">
      <c r="A704" s="79"/>
      <c r="B704" s="79"/>
      <c r="C704" s="400"/>
      <c r="D704" s="400"/>
      <c r="E704" s="400"/>
      <c r="F704" s="400"/>
      <c r="G704" s="79"/>
      <c r="H704" s="79"/>
      <c r="I704" s="79"/>
      <c r="J704" s="396"/>
      <c r="K704" s="399"/>
      <c r="L704" s="396"/>
      <c r="M704" s="396"/>
      <c r="N704" s="396"/>
      <c r="O704" s="396"/>
      <c r="P704" s="396"/>
      <c r="Q704" s="396"/>
      <c r="R704" s="396"/>
      <c r="S704" s="79"/>
      <c r="T704" s="79"/>
      <c r="U704" s="79"/>
      <c r="V704" s="79"/>
      <c r="W704" s="79"/>
      <c r="X704" s="79"/>
      <c r="Y704" s="79"/>
      <c r="Z704" s="79"/>
    </row>
    <row r="705" spans="1:26" ht="15.75" customHeight="1" x14ac:dyDescent="0.25">
      <c r="A705" s="79"/>
      <c r="B705" s="79"/>
      <c r="C705" s="400"/>
      <c r="D705" s="400"/>
      <c r="E705" s="400"/>
      <c r="F705" s="400"/>
      <c r="G705" s="79"/>
      <c r="H705" s="79"/>
      <c r="I705" s="79"/>
      <c r="J705" s="396"/>
      <c r="K705" s="399"/>
      <c r="L705" s="396"/>
      <c r="M705" s="396"/>
      <c r="N705" s="396"/>
      <c r="O705" s="396"/>
      <c r="P705" s="396"/>
      <c r="Q705" s="396"/>
      <c r="R705" s="396"/>
      <c r="S705" s="79"/>
      <c r="T705" s="79"/>
      <c r="U705" s="79"/>
      <c r="V705" s="79"/>
      <c r="W705" s="79"/>
      <c r="X705" s="79"/>
      <c r="Y705" s="79"/>
      <c r="Z705" s="79"/>
    </row>
    <row r="706" spans="1:26" ht="15.75" customHeight="1" x14ac:dyDescent="0.25">
      <c r="A706" s="79"/>
      <c r="B706" s="79"/>
      <c r="C706" s="400"/>
      <c r="D706" s="400"/>
      <c r="E706" s="400"/>
      <c r="F706" s="400"/>
      <c r="G706" s="79"/>
      <c r="H706" s="79"/>
      <c r="I706" s="79"/>
      <c r="J706" s="396"/>
      <c r="K706" s="399"/>
      <c r="L706" s="396"/>
      <c r="M706" s="396"/>
      <c r="N706" s="396"/>
      <c r="O706" s="396"/>
      <c r="P706" s="396"/>
      <c r="Q706" s="396"/>
      <c r="R706" s="396"/>
      <c r="S706" s="79"/>
      <c r="T706" s="79"/>
      <c r="U706" s="79"/>
      <c r="V706" s="79"/>
      <c r="W706" s="79"/>
      <c r="X706" s="79"/>
      <c r="Y706" s="79"/>
      <c r="Z706" s="79"/>
    </row>
    <row r="707" spans="1:26" ht="15.75" customHeight="1" x14ac:dyDescent="0.25">
      <c r="A707" s="79"/>
      <c r="B707" s="79"/>
      <c r="C707" s="400"/>
      <c r="D707" s="400"/>
      <c r="E707" s="400"/>
      <c r="F707" s="400"/>
      <c r="G707" s="79"/>
      <c r="H707" s="79"/>
      <c r="I707" s="79"/>
      <c r="J707" s="396"/>
      <c r="K707" s="399"/>
      <c r="L707" s="396"/>
      <c r="M707" s="396"/>
      <c r="N707" s="396"/>
      <c r="O707" s="396"/>
      <c r="P707" s="396"/>
      <c r="Q707" s="396"/>
      <c r="R707" s="396"/>
      <c r="S707" s="79"/>
      <c r="T707" s="79"/>
      <c r="U707" s="79"/>
      <c r="V707" s="79"/>
      <c r="W707" s="79"/>
      <c r="X707" s="79"/>
      <c r="Y707" s="79"/>
      <c r="Z707" s="79"/>
    </row>
    <row r="708" spans="1:26" ht="15.75" customHeight="1" x14ac:dyDescent="0.25">
      <c r="A708" s="79"/>
      <c r="B708" s="79"/>
      <c r="C708" s="400"/>
      <c r="D708" s="400"/>
      <c r="E708" s="400"/>
      <c r="F708" s="400"/>
      <c r="G708" s="79"/>
      <c r="H708" s="79"/>
      <c r="I708" s="79"/>
      <c r="J708" s="396"/>
      <c r="K708" s="399"/>
      <c r="L708" s="396"/>
      <c r="M708" s="396"/>
      <c r="N708" s="396"/>
      <c r="O708" s="396"/>
      <c r="P708" s="396"/>
      <c r="Q708" s="396"/>
      <c r="R708" s="396"/>
      <c r="S708" s="79"/>
      <c r="T708" s="79"/>
      <c r="U708" s="79"/>
      <c r="V708" s="79"/>
      <c r="W708" s="79"/>
      <c r="X708" s="79"/>
      <c r="Y708" s="79"/>
      <c r="Z708" s="79"/>
    </row>
    <row r="709" spans="1:26" ht="15.75" customHeight="1" x14ac:dyDescent="0.25">
      <c r="A709" s="79"/>
      <c r="B709" s="79"/>
      <c r="C709" s="400"/>
      <c r="D709" s="400"/>
      <c r="E709" s="400"/>
      <c r="F709" s="400"/>
      <c r="G709" s="79"/>
      <c r="H709" s="79"/>
      <c r="I709" s="79"/>
      <c r="J709" s="396"/>
      <c r="K709" s="399"/>
      <c r="L709" s="396"/>
      <c r="M709" s="396"/>
      <c r="N709" s="396"/>
      <c r="O709" s="396"/>
      <c r="P709" s="396"/>
      <c r="Q709" s="396"/>
      <c r="R709" s="396"/>
      <c r="S709" s="79"/>
      <c r="T709" s="79"/>
      <c r="U709" s="79"/>
      <c r="V709" s="79"/>
      <c r="W709" s="79"/>
      <c r="X709" s="79"/>
      <c r="Y709" s="79"/>
      <c r="Z709" s="79"/>
    </row>
    <row r="710" spans="1:26" ht="15.75" customHeight="1" x14ac:dyDescent="0.25">
      <c r="A710" s="79"/>
      <c r="B710" s="79"/>
      <c r="C710" s="400"/>
      <c r="D710" s="400"/>
      <c r="E710" s="400"/>
      <c r="F710" s="400"/>
      <c r="G710" s="79"/>
      <c r="H710" s="79"/>
      <c r="I710" s="79"/>
      <c r="J710" s="396"/>
      <c r="K710" s="399"/>
      <c r="L710" s="396"/>
      <c r="M710" s="396"/>
      <c r="N710" s="396"/>
      <c r="O710" s="396"/>
      <c r="P710" s="396"/>
      <c r="Q710" s="396"/>
      <c r="R710" s="396"/>
      <c r="S710" s="79"/>
      <c r="T710" s="79"/>
      <c r="U710" s="79"/>
      <c r="V710" s="79"/>
      <c r="W710" s="79"/>
      <c r="X710" s="79"/>
      <c r="Y710" s="79"/>
      <c r="Z710" s="79"/>
    </row>
    <row r="711" spans="1:26" ht="15.75" customHeight="1" x14ac:dyDescent="0.25">
      <c r="A711" s="79"/>
      <c r="B711" s="79"/>
      <c r="C711" s="400"/>
      <c r="D711" s="400"/>
      <c r="E711" s="400"/>
      <c r="F711" s="400"/>
      <c r="G711" s="79"/>
      <c r="H711" s="79"/>
      <c r="I711" s="79"/>
      <c r="J711" s="396"/>
      <c r="K711" s="399"/>
      <c r="L711" s="396"/>
      <c r="M711" s="396"/>
      <c r="N711" s="396"/>
      <c r="O711" s="396"/>
      <c r="P711" s="396"/>
      <c r="Q711" s="396"/>
      <c r="R711" s="396"/>
      <c r="S711" s="79"/>
      <c r="T711" s="79"/>
      <c r="U711" s="79"/>
      <c r="V711" s="79"/>
      <c r="W711" s="79"/>
      <c r="X711" s="79"/>
      <c r="Y711" s="79"/>
      <c r="Z711" s="79"/>
    </row>
    <row r="712" spans="1:26" ht="15.75" customHeight="1" x14ac:dyDescent="0.25">
      <c r="A712" s="79"/>
      <c r="B712" s="79"/>
      <c r="C712" s="400"/>
      <c r="D712" s="400"/>
      <c r="E712" s="400"/>
      <c r="F712" s="400"/>
      <c r="G712" s="79"/>
      <c r="H712" s="79"/>
      <c r="I712" s="79"/>
      <c r="J712" s="396"/>
      <c r="K712" s="399"/>
      <c r="L712" s="396"/>
      <c r="M712" s="396"/>
      <c r="N712" s="396"/>
      <c r="O712" s="396"/>
      <c r="P712" s="396"/>
      <c r="Q712" s="396"/>
      <c r="R712" s="396"/>
      <c r="S712" s="79"/>
      <c r="T712" s="79"/>
      <c r="U712" s="79"/>
      <c r="V712" s="79"/>
      <c r="W712" s="79"/>
      <c r="X712" s="79"/>
      <c r="Y712" s="79"/>
      <c r="Z712" s="79"/>
    </row>
    <row r="713" spans="1:26" ht="15.75" customHeight="1" x14ac:dyDescent="0.25">
      <c r="A713" s="79"/>
      <c r="B713" s="79"/>
      <c r="C713" s="400"/>
      <c r="D713" s="400"/>
      <c r="E713" s="400"/>
      <c r="F713" s="400"/>
      <c r="G713" s="79"/>
      <c r="H713" s="79"/>
      <c r="I713" s="79"/>
      <c r="J713" s="396"/>
      <c r="K713" s="399"/>
      <c r="L713" s="396"/>
      <c r="M713" s="396"/>
      <c r="N713" s="396"/>
      <c r="O713" s="396"/>
      <c r="P713" s="396"/>
      <c r="Q713" s="396"/>
      <c r="R713" s="396"/>
      <c r="S713" s="79"/>
      <c r="T713" s="79"/>
      <c r="U713" s="79"/>
      <c r="V713" s="79"/>
      <c r="W713" s="79"/>
      <c r="X713" s="79"/>
      <c r="Y713" s="79"/>
      <c r="Z713" s="79"/>
    </row>
    <row r="714" spans="1:26" ht="15.75" customHeight="1" x14ac:dyDescent="0.25">
      <c r="A714" s="79"/>
      <c r="B714" s="79"/>
      <c r="C714" s="400"/>
      <c r="D714" s="400"/>
      <c r="E714" s="400"/>
      <c r="F714" s="400"/>
      <c r="G714" s="79"/>
      <c r="H714" s="79"/>
      <c r="I714" s="79"/>
      <c r="J714" s="396"/>
      <c r="K714" s="399"/>
      <c r="L714" s="396"/>
      <c r="M714" s="396"/>
      <c r="N714" s="396"/>
      <c r="O714" s="396"/>
      <c r="P714" s="396"/>
      <c r="Q714" s="396"/>
      <c r="R714" s="396"/>
      <c r="S714" s="79"/>
      <c r="T714" s="79"/>
      <c r="U714" s="79"/>
      <c r="V714" s="79"/>
      <c r="W714" s="79"/>
      <c r="X714" s="79"/>
      <c r="Y714" s="79"/>
      <c r="Z714" s="79"/>
    </row>
    <row r="715" spans="1:26" ht="15.75" customHeight="1" x14ac:dyDescent="0.25">
      <c r="A715" s="79"/>
      <c r="B715" s="79"/>
      <c r="C715" s="400"/>
      <c r="D715" s="400"/>
      <c r="E715" s="400"/>
      <c r="F715" s="400"/>
      <c r="G715" s="79"/>
      <c r="H715" s="79"/>
      <c r="I715" s="79"/>
      <c r="J715" s="396"/>
      <c r="K715" s="399"/>
      <c r="L715" s="396"/>
      <c r="M715" s="396"/>
      <c r="N715" s="396"/>
      <c r="O715" s="396"/>
      <c r="P715" s="396"/>
      <c r="Q715" s="396"/>
      <c r="R715" s="396"/>
      <c r="S715" s="79"/>
      <c r="T715" s="79"/>
      <c r="U715" s="79"/>
      <c r="V715" s="79"/>
      <c r="W715" s="79"/>
      <c r="X715" s="79"/>
      <c r="Y715" s="79"/>
      <c r="Z715" s="79"/>
    </row>
    <row r="716" spans="1:26" ht="15.75" customHeight="1" x14ac:dyDescent="0.25">
      <c r="A716" s="79"/>
      <c r="B716" s="79"/>
      <c r="C716" s="400"/>
      <c r="D716" s="400"/>
      <c r="E716" s="400"/>
      <c r="F716" s="400"/>
      <c r="G716" s="79"/>
      <c r="H716" s="79"/>
      <c r="I716" s="79"/>
      <c r="J716" s="396"/>
      <c r="K716" s="399"/>
      <c r="L716" s="396"/>
      <c r="M716" s="396"/>
      <c r="N716" s="396"/>
      <c r="O716" s="396"/>
      <c r="P716" s="396"/>
      <c r="Q716" s="396"/>
      <c r="R716" s="396"/>
      <c r="S716" s="79"/>
      <c r="T716" s="79"/>
      <c r="U716" s="79"/>
      <c r="V716" s="79"/>
      <c r="W716" s="79"/>
      <c r="X716" s="79"/>
      <c r="Y716" s="79"/>
      <c r="Z716" s="79"/>
    </row>
    <row r="717" spans="1:26" ht="15.75" customHeight="1" x14ac:dyDescent="0.25">
      <c r="A717" s="79"/>
      <c r="B717" s="79"/>
      <c r="C717" s="400"/>
      <c r="D717" s="400"/>
      <c r="E717" s="400"/>
      <c r="F717" s="400"/>
      <c r="G717" s="79"/>
      <c r="H717" s="79"/>
      <c r="I717" s="79"/>
      <c r="J717" s="396"/>
      <c r="K717" s="399"/>
      <c r="L717" s="396"/>
      <c r="M717" s="396"/>
      <c r="N717" s="396"/>
      <c r="O717" s="396"/>
      <c r="P717" s="396"/>
      <c r="Q717" s="396"/>
      <c r="R717" s="396"/>
      <c r="S717" s="79"/>
      <c r="T717" s="79"/>
      <c r="U717" s="79"/>
      <c r="V717" s="79"/>
      <c r="W717" s="79"/>
      <c r="X717" s="79"/>
      <c r="Y717" s="79"/>
      <c r="Z717" s="79"/>
    </row>
    <row r="718" spans="1:26" ht="15.75" customHeight="1" x14ac:dyDescent="0.25">
      <c r="A718" s="79"/>
      <c r="B718" s="79"/>
      <c r="C718" s="400"/>
      <c r="D718" s="400"/>
      <c r="E718" s="400"/>
      <c r="F718" s="400"/>
      <c r="G718" s="79"/>
      <c r="H718" s="79"/>
      <c r="I718" s="79"/>
      <c r="J718" s="396"/>
      <c r="K718" s="399"/>
      <c r="L718" s="396"/>
      <c r="M718" s="396"/>
      <c r="N718" s="396"/>
      <c r="O718" s="396"/>
      <c r="P718" s="396"/>
      <c r="Q718" s="396"/>
      <c r="R718" s="396"/>
      <c r="S718" s="79"/>
      <c r="T718" s="79"/>
      <c r="U718" s="79"/>
      <c r="V718" s="79"/>
      <c r="W718" s="79"/>
      <c r="X718" s="79"/>
      <c r="Y718" s="79"/>
      <c r="Z718" s="79"/>
    </row>
    <row r="719" spans="1:26" ht="15.75" customHeight="1" x14ac:dyDescent="0.25">
      <c r="A719" s="79"/>
      <c r="B719" s="79"/>
      <c r="C719" s="400"/>
      <c r="D719" s="400"/>
      <c r="E719" s="400"/>
      <c r="F719" s="400"/>
      <c r="G719" s="79"/>
      <c r="H719" s="79"/>
      <c r="I719" s="79"/>
      <c r="J719" s="396"/>
      <c r="K719" s="399"/>
      <c r="L719" s="396"/>
      <c r="M719" s="396"/>
      <c r="N719" s="396"/>
      <c r="O719" s="396"/>
      <c r="P719" s="396"/>
      <c r="Q719" s="396"/>
      <c r="R719" s="396"/>
      <c r="S719" s="79"/>
      <c r="T719" s="79"/>
      <c r="U719" s="79"/>
      <c r="V719" s="79"/>
      <c r="W719" s="79"/>
      <c r="X719" s="79"/>
      <c r="Y719" s="79"/>
      <c r="Z719" s="79"/>
    </row>
    <row r="720" spans="1:26" ht="15.75" customHeight="1" x14ac:dyDescent="0.25">
      <c r="A720" s="79"/>
      <c r="B720" s="79"/>
      <c r="C720" s="400"/>
      <c r="D720" s="400"/>
      <c r="E720" s="400"/>
      <c r="F720" s="400"/>
      <c r="G720" s="79"/>
      <c r="H720" s="79"/>
      <c r="I720" s="79"/>
      <c r="J720" s="396"/>
      <c r="K720" s="399"/>
      <c r="L720" s="396"/>
      <c r="M720" s="396"/>
      <c r="N720" s="396"/>
      <c r="O720" s="396"/>
      <c r="P720" s="396"/>
      <c r="Q720" s="396"/>
      <c r="R720" s="396"/>
      <c r="S720" s="79"/>
      <c r="T720" s="79"/>
      <c r="U720" s="79"/>
      <c r="V720" s="79"/>
      <c r="W720" s="79"/>
      <c r="X720" s="79"/>
      <c r="Y720" s="79"/>
      <c r="Z720" s="79"/>
    </row>
    <row r="721" spans="1:26" ht="15.75" customHeight="1" x14ac:dyDescent="0.25">
      <c r="A721" s="79"/>
      <c r="B721" s="79"/>
      <c r="C721" s="400"/>
      <c r="D721" s="400"/>
      <c r="E721" s="400"/>
      <c r="F721" s="400"/>
      <c r="G721" s="79"/>
      <c r="H721" s="79"/>
      <c r="I721" s="79"/>
      <c r="J721" s="396"/>
      <c r="K721" s="399"/>
      <c r="L721" s="396"/>
      <c r="M721" s="396"/>
      <c r="N721" s="396"/>
      <c r="O721" s="396"/>
      <c r="P721" s="396"/>
      <c r="Q721" s="396"/>
      <c r="R721" s="396"/>
      <c r="S721" s="79"/>
      <c r="T721" s="79"/>
      <c r="U721" s="79"/>
      <c r="V721" s="79"/>
      <c r="W721" s="79"/>
      <c r="X721" s="79"/>
      <c r="Y721" s="79"/>
      <c r="Z721" s="79"/>
    </row>
    <row r="722" spans="1:26" ht="15.75" customHeight="1" x14ac:dyDescent="0.25">
      <c r="A722" s="79"/>
      <c r="B722" s="79"/>
      <c r="C722" s="400"/>
      <c r="D722" s="400"/>
      <c r="E722" s="400"/>
      <c r="F722" s="400"/>
      <c r="G722" s="79"/>
      <c r="H722" s="79"/>
      <c r="I722" s="79"/>
      <c r="J722" s="396"/>
      <c r="K722" s="399"/>
      <c r="L722" s="396"/>
      <c r="M722" s="396"/>
      <c r="N722" s="396"/>
      <c r="O722" s="396"/>
      <c r="P722" s="396"/>
      <c r="Q722" s="396"/>
      <c r="R722" s="396"/>
      <c r="S722" s="79"/>
      <c r="T722" s="79"/>
      <c r="U722" s="79"/>
      <c r="V722" s="79"/>
      <c r="W722" s="79"/>
      <c r="X722" s="79"/>
      <c r="Y722" s="79"/>
      <c r="Z722" s="79"/>
    </row>
    <row r="723" spans="1:26" ht="15.75" customHeight="1" x14ac:dyDescent="0.25">
      <c r="A723" s="79"/>
      <c r="B723" s="79"/>
      <c r="C723" s="400"/>
      <c r="D723" s="400"/>
      <c r="E723" s="400"/>
      <c r="F723" s="400"/>
      <c r="G723" s="79"/>
      <c r="H723" s="79"/>
      <c r="I723" s="79"/>
      <c r="J723" s="396"/>
      <c r="K723" s="399"/>
      <c r="L723" s="396"/>
      <c r="M723" s="396"/>
      <c r="N723" s="396"/>
      <c r="O723" s="396"/>
      <c r="P723" s="396"/>
      <c r="Q723" s="396"/>
      <c r="R723" s="396"/>
      <c r="S723" s="79"/>
      <c r="T723" s="79"/>
      <c r="U723" s="79"/>
      <c r="V723" s="79"/>
      <c r="W723" s="79"/>
      <c r="X723" s="79"/>
      <c r="Y723" s="79"/>
      <c r="Z723" s="79"/>
    </row>
    <row r="724" spans="1:26" ht="15.75" customHeight="1" x14ac:dyDescent="0.25">
      <c r="A724" s="79"/>
      <c r="B724" s="79"/>
      <c r="C724" s="400"/>
      <c r="D724" s="400"/>
      <c r="E724" s="400"/>
      <c r="F724" s="400"/>
      <c r="G724" s="79"/>
      <c r="H724" s="79"/>
      <c r="I724" s="79"/>
      <c r="J724" s="396"/>
      <c r="K724" s="399"/>
      <c r="L724" s="396"/>
      <c r="M724" s="396"/>
      <c r="N724" s="396"/>
      <c r="O724" s="396"/>
      <c r="P724" s="396"/>
      <c r="Q724" s="396"/>
      <c r="R724" s="396"/>
      <c r="S724" s="79"/>
      <c r="T724" s="79"/>
      <c r="U724" s="79"/>
      <c r="V724" s="79"/>
      <c r="W724" s="79"/>
      <c r="X724" s="79"/>
      <c r="Y724" s="79"/>
      <c r="Z724" s="79"/>
    </row>
    <row r="725" spans="1:26" ht="15.75" customHeight="1" x14ac:dyDescent="0.25">
      <c r="A725" s="79"/>
      <c r="B725" s="79"/>
      <c r="C725" s="400"/>
      <c r="D725" s="400"/>
      <c r="E725" s="400"/>
      <c r="F725" s="400"/>
      <c r="G725" s="79"/>
      <c r="H725" s="79"/>
      <c r="I725" s="79"/>
      <c r="J725" s="396"/>
      <c r="K725" s="399"/>
      <c r="L725" s="396"/>
      <c r="M725" s="396"/>
      <c r="N725" s="396"/>
      <c r="O725" s="396"/>
      <c r="P725" s="396"/>
      <c r="Q725" s="396"/>
      <c r="R725" s="396"/>
      <c r="S725" s="79"/>
      <c r="T725" s="79"/>
      <c r="U725" s="79"/>
      <c r="V725" s="79"/>
      <c r="W725" s="79"/>
      <c r="X725" s="79"/>
      <c r="Y725" s="79"/>
      <c r="Z725" s="79"/>
    </row>
    <row r="726" spans="1:26" ht="15.75" customHeight="1" x14ac:dyDescent="0.25">
      <c r="A726" s="79"/>
      <c r="B726" s="79"/>
      <c r="C726" s="400"/>
      <c r="D726" s="400"/>
      <c r="E726" s="400"/>
      <c r="F726" s="400"/>
      <c r="G726" s="79"/>
      <c r="H726" s="79"/>
      <c r="I726" s="79"/>
      <c r="J726" s="396"/>
      <c r="K726" s="399"/>
      <c r="L726" s="396"/>
      <c r="M726" s="396"/>
      <c r="N726" s="396"/>
      <c r="O726" s="396"/>
      <c r="P726" s="396"/>
      <c r="Q726" s="396"/>
      <c r="R726" s="396"/>
      <c r="S726" s="79"/>
      <c r="T726" s="79"/>
      <c r="U726" s="79"/>
      <c r="V726" s="79"/>
      <c r="W726" s="79"/>
      <c r="X726" s="79"/>
      <c r="Y726" s="79"/>
      <c r="Z726" s="79"/>
    </row>
    <row r="727" spans="1:26" ht="15.75" customHeight="1" x14ac:dyDescent="0.25">
      <c r="A727" s="79"/>
      <c r="B727" s="79"/>
      <c r="C727" s="400"/>
      <c r="D727" s="400"/>
      <c r="E727" s="400"/>
      <c r="F727" s="400"/>
      <c r="G727" s="79"/>
      <c r="H727" s="79"/>
      <c r="I727" s="79"/>
      <c r="J727" s="396"/>
      <c r="K727" s="399"/>
      <c r="L727" s="396"/>
      <c r="M727" s="396"/>
      <c r="N727" s="396"/>
      <c r="O727" s="396"/>
      <c r="P727" s="396"/>
      <c r="Q727" s="396"/>
      <c r="R727" s="396"/>
      <c r="S727" s="79"/>
      <c r="T727" s="79"/>
      <c r="U727" s="79"/>
      <c r="V727" s="79"/>
      <c r="W727" s="79"/>
      <c r="X727" s="79"/>
      <c r="Y727" s="79"/>
      <c r="Z727" s="79"/>
    </row>
    <row r="728" spans="1:26" ht="15.75" customHeight="1" x14ac:dyDescent="0.25">
      <c r="A728" s="79"/>
      <c r="B728" s="79"/>
      <c r="C728" s="400"/>
      <c r="D728" s="400"/>
      <c r="E728" s="400"/>
      <c r="F728" s="400"/>
      <c r="G728" s="79"/>
      <c r="H728" s="79"/>
      <c r="I728" s="79"/>
      <c r="J728" s="396"/>
      <c r="K728" s="399"/>
      <c r="L728" s="396"/>
      <c r="M728" s="396"/>
      <c r="N728" s="396"/>
      <c r="O728" s="396"/>
      <c r="P728" s="396"/>
      <c r="Q728" s="396"/>
      <c r="R728" s="396"/>
      <c r="S728" s="79"/>
      <c r="T728" s="79"/>
      <c r="U728" s="79"/>
      <c r="V728" s="79"/>
      <c r="W728" s="79"/>
      <c r="X728" s="79"/>
      <c r="Y728" s="79"/>
      <c r="Z728" s="79"/>
    </row>
    <row r="729" spans="1:26" ht="15.75" customHeight="1" x14ac:dyDescent="0.25">
      <c r="A729" s="79"/>
      <c r="B729" s="79"/>
      <c r="C729" s="400"/>
      <c r="D729" s="400"/>
      <c r="E729" s="400"/>
      <c r="F729" s="400"/>
      <c r="G729" s="79"/>
      <c r="H729" s="79"/>
      <c r="I729" s="79"/>
      <c r="J729" s="396"/>
      <c r="K729" s="399"/>
      <c r="L729" s="396"/>
      <c r="M729" s="396"/>
      <c r="N729" s="396"/>
      <c r="O729" s="396"/>
      <c r="P729" s="396"/>
      <c r="Q729" s="396"/>
      <c r="R729" s="396"/>
      <c r="S729" s="79"/>
      <c r="T729" s="79"/>
      <c r="U729" s="79"/>
      <c r="V729" s="79"/>
      <c r="W729" s="79"/>
      <c r="X729" s="79"/>
      <c r="Y729" s="79"/>
      <c r="Z729" s="79"/>
    </row>
    <row r="730" spans="1:26" ht="15.75" customHeight="1" x14ac:dyDescent="0.25">
      <c r="A730" s="79"/>
      <c r="B730" s="79"/>
      <c r="C730" s="400"/>
      <c r="D730" s="400"/>
      <c r="E730" s="400"/>
      <c r="F730" s="400"/>
      <c r="G730" s="79"/>
      <c r="H730" s="79"/>
      <c r="I730" s="79"/>
      <c r="J730" s="396"/>
      <c r="K730" s="399"/>
      <c r="L730" s="396"/>
      <c r="M730" s="396"/>
      <c r="N730" s="396"/>
      <c r="O730" s="396"/>
      <c r="P730" s="396"/>
      <c r="Q730" s="396"/>
      <c r="R730" s="396"/>
      <c r="S730" s="79"/>
      <c r="T730" s="79"/>
      <c r="U730" s="79"/>
      <c r="V730" s="79"/>
      <c r="W730" s="79"/>
      <c r="X730" s="79"/>
      <c r="Y730" s="79"/>
      <c r="Z730" s="79"/>
    </row>
    <row r="731" spans="1:26" ht="15.75" customHeight="1" x14ac:dyDescent="0.25">
      <c r="A731" s="79"/>
      <c r="B731" s="79"/>
      <c r="C731" s="400"/>
      <c r="D731" s="400"/>
      <c r="E731" s="400"/>
      <c r="F731" s="400"/>
      <c r="G731" s="79"/>
      <c r="H731" s="79"/>
      <c r="I731" s="79"/>
      <c r="J731" s="396"/>
      <c r="K731" s="399"/>
      <c r="L731" s="396"/>
      <c r="M731" s="396"/>
      <c r="N731" s="396"/>
      <c r="O731" s="396"/>
      <c r="P731" s="396"/>
      <c r="Q731" s="396"/>
      <c r="R731" s="396"/>
      <c r="S731" s="79"/>
      <c r="T731" s="79"/>
      <c r="U731" s="79"/>
      <c r="V731" s="79"/>
      <c r="W731" s="79"/>
      <c r="X731" s="79"/>
      <c r="Y731" s="79"/>
      <c r="Z731" s="79"/>
    </row>
    <row r="732" spans="1:26" ht="15.75" customHeight="1" x14ac:dyDescent="0.25">
      <c r="A732" s="79"/>
      <c r="B732" s="79"/>
      <c r="C732" s="400"/>
      <c r="D732" s="400"/>
      <c r="E732" s="400"/>
      <c r="F732" s="400"/>
      <c r="G732" s="79"/>
      <c r="H732" s="79"/>
      <c r="I732" s="79"/>
      <c r="J732" s="396"/>
      <c r="K732" s="399"/>
      <c r="L732" s="396"/>
      <c r="M732" s="396"/>
      <c r="N732" s="396"/>
      <c r="O732" s="396"/>
      <c r="P732" s="396"/>
      <c r="Q732" s="396"/>
      <c r="R732" s="396"/>
      <c r="S732" s="79"/>
      <c r="T732" s="79"/>
      <c r="U732" s="79"/>
      <c r="V732" s="79"/>
      <c r="W732" s="79"/>
      <c r="X732" s="79"/>
      <c r="Y732" s="79"/>
      <c r="Z732" s="79"/>
    </row>
    <row r="733" spans="1:26" ht="15.75" customHeight="1" x14ac:dyDescent="0.25">
      <c r="A733" s="79"/>
      <c r="B733" s="79"/>
      <c r="C733" s="400"/>
      <c r="D733" s="400"/>
      <c r="E733" s="400"/>
      <c r="F733" s="400"/>
      <c r="G733" s="79"/>
      <c r="H733" s="79"/>
      <c r="I733" s="79"/>
      <c r="J733" s="396"/>
      <c r="K733" s="399"/>
      <c r="L733" s="396"/>
      <c r="M733" s="396"/>
      <c r="N733" s="396"/>
      <c r="O733" s="396"/>
      <c r="P733" s="396"/>
      <c r="Q733" s="396"/>
      <c r="R733" s="396"/>
      <c r="S733" s="79"/>
      <c r="T733" s="79"/>
      <c r="U733" s="79"/>
      <c r="V733" s="79"/>
      <c r="W733" s="79"/>
      <c r="X733" s="79"/>
      <c r="Y733" s="79"/>
      <c r="Z733" s="79"/>
    </row>
    <row r="734" spans="1:26" ht="15.75" customHeight="1" x14ac:dyDescent="0.25">
      <c r="A734" s="79"/>
      <c r="B734" s="79"/>
      <c r="C734" s="400"/>
      <c r="D734" s="400"/>
      <c r="E734" s="400"/>
      <c r="F734" s="400"/>
      <c r="G734" s="79"/>
      <c r="H734" s="79"/>
      <c r="I734" s="79"/>
      <c r="J734" s="396"/>
      <c r="K734" s="399"/>
      <c r="L734" s="396"/>
      <c r="M734" s="396"/>
      <c r="N734" s="396"/>
      <c r="O734" s="396"/>
      <c r="P734" s="396"/>
      <c r="Q734" s="396"/>
      <c r="R734" s="396"/>
      <c r="S734" s="79"/>
      <c r="T734" s="79"/>
      <c r="U734" s="79"/>
      <c r="V734" s="79"/>
      <c r="W734" s="79"/>
      <c r="X734" s="79"/>
      <c r="Y734" s="79"/>
      <c r="Z734" s="79"/>
    </row>
    <row r="735" spans="1:26" ht="15.75" customHeight="1" x14ac:dyDescent="0.25">
      <c r="A735" s="79"/>
      <c r="B735" s="79"/>
      <c r="C735" s="400"/>
      <c r="D735" s="400"/>
      <c r="E735" s="400"/>
      <c r="F735" s="400"/>
      <c r="G735" s="79"/>
      <c r="H735" s="79"/>
      <c r="I735" s="79"/>
      <c r="J735" s="396"/>
      <c r="K735" s="399"/>
      <c r="L735" s="396"/>
      <c r="M735" s="396"/>
      <c r="N735" s="396"/>
      <c r="O735" s="396"/>
      <c r="P735" s="396"/>
      <c r="Q735" s="396"/>
      <c r="R735" s="396"/>
      <c r="S735" s="79"/>
      <c r="T735" s="79"/>
      <c r="U735" s="79"/>
      <c r="V735" s="79"/>
      <c r="W735" s="79"/>
      <c r="X735" s="79"/>
      <c r="Y735" s="79"/>
      <c r="Z735" s="79"/>
    </row>
    <row r="736" spans="1:26" ht="15.75" customHeight="1" x14ac:dyDescent="0.25">
      <c r="A736" s="79"/>
      <c r="B736" s="79"/>
      <c r="C736" s="400"/>
      <c r="D736" s="400"/>
      <c r="E736" s="400"/>
      <c r="F736" s="400"/>
      <c r="G736" s="79"/>
      <c r="H736" s="79"/>
      <c r="I736" s="79"/>
      <c r="J736" s="396"/>
      <c r="K736" s="399"/>
      <c r="L736" s="396"/>
      <c r="M736" s="396"/>
      <c r="N736" s="396"/>
      <c r="O736" s="396"/>
      <c r="P736" s="396"/>
      <c r="Q736" s="396"/>
      <c r="R736" s="396"/>
      <c r="S736" s="79"/>
      <c r="T736" s="79"/>
      <c r="U736" s="79"/>
      <c r="V736" s="79"/>
      <c r="W736" s="79"/>
      <c r="X736" s="79"/>
      <c r="Y736" s="79"/>
      <c r="Z736" s="79"/>
    </row>
    <row r="737" spans="1:26" ht="15.75" customHeight="1" x14ac:dyDescent="0.25">
      <c r="A737" s="79"/>
      <c r="B737" s="79"/>
      <c r="C737" s="400"/>
      <c r="D737" s="400"/>
      <c r="E737" s="400"/>
      <c r="F737" s="400"/>
      <c r="G737" s="79"/>
      <c r="H737" s="79"/>
      <c r="I737" s="79"/>
      <c r="J737" s="396"/>
      <c r="K737" s="399"/>
      <c r="L737" s="396"/>
      <c r="M737" s="396"/>
      <c r="N737" s="396"/>
      <c r="O737" s="396"/>
      <c r="P737" s="396"/>
      <c r="Q737" s="396"/>
      <c r="R737" s="396"/>
      <c r="S737" s="79"/>
      <c r="T737" s="79"/>
      <c r="U737" s="79"/>
      <c r="V737" s="79"/>
      <c r="W737" s="79"/>
      <c r="X737" s="79"/>
      <c r="Y737" s="79"/>
      <c r="Z737" s="79"/>
    </row>
    <row r="738" spans="1:26" ht="15.75" customHeight="1" x14ac:dyDescent="0.25">
      <c r="A738" s="79"/>
      <c r="B738" s="79"/>
      <c r="C738" s="400"/>
      <c r="D738" s="400"/>
      <c r="E738" s="400"/>
      <c r="F738" s="400"/>
      <c r="G738" s="79"/>
      <c r="H738" s="79"/>
      <c r="I738" s="79"/>
      <c r="J738" s="396"/>
      <c r="K738" s="399"/>
      <c r="L738" s="396"/>
      <c r="M738" s="396"/>
      <c r="N738" s="396"/>
      <c r="O738" s="396"/>
      <c r="P738" s="396"/>
      <c r="Q738" s="396"/>
      <c r="R738" s="396"/>
      <c r="S738" s="79"/>
      <c r="T738" s="79"/>
      <c r="U738" s="79"/>
      <c r="V738" s="79"/>
      <c r="W738" s="79"/>
      <c r="X738" s="79"/>
      <c r="Y738" s="79"/>
      <c r="Z738" s="79"/>
    </row>
    <row r="739" spans="1:26" ht="15.75" customHeight="1" x14ac:dyDescent="0.25">
      <c r="A739" s="79"/>
      <c r="B739" s="79"/>
      <c r="C739" s="400"/>
      <c r="D739" s="400"/>
      <c r="E739" s="400"/>
      <c r="F739" s="400"/>
      <c r="G739" s="79"/>
      <c r="H739" s="79"/>
      <c r="I739" s="79"/>
      <c r="J739" s="396"/>
      <c r="K739" s="399"/>
      <c r="L739" s="396"/>
      <c r="M739" s="396"/>
      <c r="N739" s="396"/>
      <c r="O739" s="396"/>
      <c r="P739" s="396"/>
      <c r="Q739" s="396"/>
      <c r="R739" s="396"/>
      <c r="S739" s="79"/>
      <c r="T739" s="79"/>
      <c r="U739" s="79"/>
      <c r="V739" s="79"/>
      <c r="W739" s="79"/>
      <c r="X739" s="79"/>
      <c r="Y739" s="79"/>
      <c r="Z739" s="79"/>
    </row>
    <row r="740" spans="1:26" ht="15.75" customHeight="1" x14ac:dyDescent="0.25">
      <c r="A740" s="79"/>
      <c r="B740" s="79"/>
      <c r="C740" s="400"/>
      <c r="D740" s="400"/>
      <c r="E740" s="400"/>
      <c r="F740" s="400"/>
      <c r="G740" s="79"/>
      <c r="H740" s="79"/>
      <c r="I740" s="79"/>
      <c r="J740" s="396"/>
      <c r="K740" s="399"/>
      <c r="L740" s="396"/>
      <c r="M740" s="396"/>
      <c r="N740" s="396"/>
      <c r="O740" s="396"/>
      <c r="P740" s="396"/>
      <c r="Q740" s="396"/>
      <c r="R740" s="396"/>
      <c r="S740" s="79"/>
      <c r="T740" s="79"/>
      <c r="U740" s="79"/>
      <c r="V740" s="79"/>
      <c r="W740" s="79"/>
      <c r="X740" s="79"/>
      <c r="Y740" s="79"/>
      <c r="Z740" s="79"/>
    </row>
    <row r="741" spans="1:26" ht="15.75" customHeight="1" x14ac:dyDescent="0.25">
      <c r="A741" s="79"/>
      <c r="B741" s="79"/>
      <c r="C741" s="400"/>
      <c r="D741" s="400"/>
      <c r="E741" s="400"/>
      <c r="F741" s="400"/>
      <c r="G741" s="79"/>
      <c r="H741" s="79"/>
      <c r="I741" s="79"/>
      <c r="J741" s="396"/>
      <c r="K741" s="399"/>
      <c r="L741" s="396"/>
      <c r="M741" s="396"/>
      <c r="N741" s="396"/>
      <c r="O741" s="396"/>
      <c r="P741" s="396"/>
      <c r="Q741" s="396"/>
      <c r="R741" s="396"/>
      <c r="S741" s="79"/>
      <c r="T741" s="79"/>
      <c r="U741" s="79"/>
      <c r="V741" s="79"/>
      <c r="W741" s="79"/>
      <c r="X741" s="79"/>
      <c r="Y741" s="79"/>
      <c r="Z741" s="79"/>
    </row>
    <row r="742" spans="1:26" ht="15.75" customHeight="1" x14ac:dyDescent="0.25">
      <c r="A742" s="79"/>
      <c r="B742" s="79"/>
      <c r="C742" s="400"/>
      <c r="D742" s="400"/>
      <c r="E742" s="400"/>
      <c r="F742" s="400"/>
      <c r="G742" s="79"/>
      <c r="H742" s="79"/>
      <c r="I742" s="79"/>
      <c r="J742" s="396"/>
      <c r="K742" s="399"/>
      <c r="L742" s="396"/>
      <c r="M742" s="396"/>
      <c r="N742" s="396"/>
      <c r="O742" s="396"/>
      <c r="P742" s="396"/>
      <c r="Q742" s="396"/>
      <c r="R742" s="396"/>
      <c r="S742" s="79"/>
      <c r="T742" s="79"/>
      <c r="U742" s="79"/>
      <c r="V742" s="79"/>
      <c r="W742" s="79"/>
      <c r="X742" s="79"/>
      <c r="Y742" s="79"/>
      <c r="Z742" s="79"/>
    </row>
    <row r="743" spans="1:26" ht="15.75" customHeight="1" x14ac:dyDescent="0.25">
      <c r="A743" s="79"/>
      <c r="B743" s="79"/>
      <c r="C743" s="400"/>
      <c r="D743" s="400"/>
      <c r="E743" s="400"/>
      <c r="F743" s="400"/>
      <c r="G743" s="79"/>
      <c r="H743" s="79"/>
      <c r="I743" s="79"/>
      <c r="J743" s="396"/>
      <c r="K743" s="399"/>
      <c r="L743" s="396"/>
      <c r="M743" s="396"/>
      <c r="N743" s="396"/>
      <c r="O743" s="396"/>
      <c r="P743" s="396"/>
      <c r="Q743" s="396"/>
      <c r="R743" s="396"/>
      <c r="S743" s="79"/>
      <c r="T743" s="79"/>
      <c r="U743" s="79"/>
      <c r="V743" s="79"/>
      <c r="W743" s="79"/>
      <c r="X743" s="79"/>
      <c r="Y743" s="79"/>
      <c r="Z743" s="79"/>
    </row>
    <row r="744" spans="1:26" ht="15.75" customHeight="1" x14ac:dyDescent="0.25">
      <c r="A744" s="79"/>
      <c r="B744" s="79"/>
      <c r="C744" s="400"/>
      <c r="D744" s="400"/>
      <c r="E744" s="400"/>
      <c r="F744" s="400"/>
      <c r="G744" s="79"/>
      <c r="H744" s="79"/>
      <c r="I744" s="79"/>
      <c r="J744" s="396"/>
      <c r="K744" s="399"/>
      <c r="L744" s="396"/>
      <c r="M744" s="396"/>
      <c r="N744" s="396"/>
      <c r="O744" s="396"/>
      <c r="P744" s="396"/>
      <c r="Q744" s="396"/>
      <c r="R744" s="396"/>
      <c r="S744" s="79"/>
      <c r="T744" s="79"/>
      <c r="U744" s="79"/>
      <c r="V744" s="79"/>
      <c r="W744" s="79"/>
      <c r="X744" s="79"/>
      <c r="Y744" s="79"/>
      <c r="Z744" s="79"/>
    </row>
    <row r="745" spans="1:26" ht="15.75" customHeight="1" x14ac:dyDescent="0.25">
      <c r="A745" s="79"/>
      <c r="B745" s="79"/>
      <c r="C745" s="400"/>
      <c r="D745" s="400"/>
      <c r="E745" s="400"/>
      <c r="F745" s="400"/>
      <c r="G745" s="79"/>
      <c r="H745" s="79"/>
      <c r="I745" s="79"/>
      <c r="J745" s="396"/>
      <c r="K745" s="399"/>
      <c r="L745" s="396"/>
      <c r="M745" s="396"/>
      <c r="N745" s="396"/>
      <c r="O745" s="396"/>
      <c r="P745" s="396"/>
      <c r="Q745" s="396"/>
      <c r="R745" s="396"/>
      <c r="S745" s="79"/>
      <c r="T745" s="79"/>
      <c r="U745" s="79"/>
      <c r="V745" s="79"/>
      <c r="W745" s="79"/>
      <c r="X745" s="79"/>
      <c r="Y745" s="79"/>
      <c r="Z745" s="79"/>
    </row>
    <row r="746" spans="1:26" ht="15.75" customHeight="1" x14ac:dyDescent="0.25">
      <c r="A746" s="79"/>
      <c r="B746" s="79"/>
      <c r="C746" s="400"/>
      <c r="D746" s="400"/>
      <c r="E746" s="400"/>
      <c r="F746" s="400"/>
      <c r="G746" s="79"/>
      <c r="H746" s="79"/>
      <c r="I746" s="79"/>
      <c r="J746" s="396"/>
      <c r="K746" s="399"/>
      <c r="L746" s="396"/>
      <c r="M746" s="396"/>
      <c r="N746" s="396"/>
      <c r="O746" s="396"/>
      <c r="P746" s="396"/>
      <c r="Q746" s="396"/>
      <c r="R746" s="396"/>
      <c r="S746" s="79"/>
      <c r="T746" s="79"/>
      <c r="U746" s="79"/>
      <c r="V746" s="79"/>
      <c r="W746" s="79"/>
      <c r="X746" s="79"/>
      <c r="Y746" s="79"/>
      <c r="Z746" s="79"/>
    </row>
    <row r="747" spans="1:26" ht="15.75" customHeight="1" x14ac:dyDescent="0.25">
      <c r="A747" s="79"/>
      <c r="B747" s="79"/>
      <c r="C747" s="400"/>
      <c r="D747" s="400"/>
      <c r="E747" s="400"/>
      <c r="F747" s="400"/>
      <c r="G747" s="79"/>
      <c r="H747" s="79"/>
      <c r="I747" s="79"/>
      <c r="J747" s="396"/>
      <c r="K747" s="399"/>
      <c r="L747" s="396"/>
      <c r="M747" s="396"/>
      <c r="N747" s="396"/>
      <c r="O747" s="396"/>
      <c r="P747" s="396"/>
      <c r="Q747" s="396"/>
      <c r="R747" s="396"/>
      <c r="S747" s="79"/>
      <c r="T747" s="79"/>
      <c r="U747" s="79"/>
      <c r="V747" s="79"/>
      <c r="W747" s="79"/>
      <c r="X747" s="79"/>
      <c r="Y747" s="79"/>
      <c r="Z747" s="79"/>
    </row>
    <row r="748" spans="1:26" ht="15.75" customHeight="1" x14ac:dyDescent="0.25">
      <c r="A748" s="79"/>
      <c r="B748" s="79"/>
      <c r="C748" s="400"/>
      <c r="D748" s="400"/>
      <c r="E748" s="400"/>
      <c r="F748" s="400"/>
      <c r="G748" s="79"/>
      <c r="H748" s="79"/>
      <c r="I748" s="79"/>
      <c r="J748" s="396"/>
      <c r="K748" s="399"/>
      <c r="L748" s="396"/>
      <c r="M748" s="396"/>
      <c r="N748" s="396"/>
      <c r="O748" s="396"/>
      <c r="P748" s="396"/>
      <c r="Q748" s="396"/>
      <c r="R748" s="396"/>
      <c r="S748" s="79"/>
      <c r="T748" s="79"/>
      <c r="U748" s="79"/>
      <c r="V748" s="79"/>
      <c r="W748" s="79"/>
      <c r="X748" s="79"/>
      <c r="Y748" s="79"/>
      <c r="Z748" s="79"/>
    </row>
    <row r="749" spans="1:26" ht="15.75" customHeight="1" x14ac:dyDescent="0.25">
      <c r="A749" s="79"/>
      <c r="B749" s="79"/>
      <c r="C749" s="400"/>
      <c r="D749" s="400"/>
      <c r="E749" s="400"/>
      <c r="F749" s="400"/>
      <c r="G749" s="79"/>
      <c r="H749" s="79"/>
      <c r="I749" s="79"/>
      <c r="J749" s="396"/>
      <c r="K749" s="399"/>
      <c r="L749" s="396"/>
      <c r="M749" s="396"/>
      <c r="N749" s="396"/>
      <c r="O749" s="396"/>
      <c r="P749" s="396"/>
      <c r="Q749" s="396"/>
      <c r="R749" s="396"/>
      <c r="S749" s="79"/>
      <c r="T749" s="79"/>
      <c r="U749" s="79"/>
      <c r="V749" s="79"/>
      <c r="W749" s="79"/>
      <c r="X749" s="79"/>
      <c r="Y749" s="79"/>
      <c r="Z749" s="79"/>
    </row>
    <row r="750" spans="1:26" ht="15.75" customHeight="1" x14ac:dyDescent="0.25">
      <c r="A750" s="79"/>
      <c r="B750" s="79"/>
      <c r="C750" s="400"/>
      <c r="D750" s="400"/>
      <c r="E750" s="400"/>
      <c r="F750" s="400"/>
      <c r="G750" s="79"/>
      <c r="H750" s="79"/>
      <c r="I750" s="79"/>
      <c r="J750" s="396"/>
      <c r="K750" s="399"/>
      <c r="L750" s="396"/>
      <c r="M750" s="396"/>
      <c r="N750" s="396"/>
      <c r="O750" s="396"/>
      <c r="P750" s="396"/>
      <c r="Q750" s="396"/>
      <c r="R750" s="396"/>
      <c r="S750" s="79"/>
      <c r="T750" s="79"/>
      <c r="U750" s="79"/>
      <c r="V750" s="79"/>
      <c r="W750" s="79"/>
      <c r="X750" s="79"/>
      <c r="Y750" s="79"/>
      <c r="Z750" s="79"/>
    </row>
    <row r="751" spans="1:26" ht="15.75" customHeight="1" x14ac:dyDescent="0.25">
      <c r="A751" s="79"/>
      <c r="B751" s="79"/>
      <c r="C751" s="400"/>
      <c r="D751" s="400"/>
      <c r="E751" s="400"/>
      <c r="F751" s="400"/>
      <c r="G751" s="79"/>
      <c r="H751" s="79"/>
      <c r="I751" s="79"/>
      <c r="J751" s="396"/>
      <c r="K751" s="399"/>
      <c r="L751" s="396"/>
      <c r="M751" s="396"/>
      <c r="N751" s="396"/>
      <c r="O751" s="396"/>
      <c r="P751" s="396"/>
      <c r="Q751" s="396"/>
      <c r="R751" s="396"/>
      <c r="S751" s="79"/>
      <c r="T751" s="79"/>
      <c r="U751" s="79"/>
      <c r="V751" s="79"/>
      <c r="W751" s="79"/>
      <c r="X751" s="79"/>
      <c r="Y751" s="79"/>
      <c r="Z751" s="79"/>
    </row>
    <row r="752" spans="1:26" ht="15.75" customHeight="1" x14ac:dyDescent="0.25">
      <c r="A752" s="79"/>
      <c r="B752" s="79"/>
      <c r="C752" s="400"/>
      <c r="D752" s="400"/>
      <c r="E752" s="400"/>
      <c r="F752" s="400"/>
      <c r="G752" s="79"/>
      <c r="H752" s="79"/>
      <c r="I752" s="79"/>
      <c r="J752" s="396"/>
      <c r="K752" s="399"/>
      <c r="L752" s="396"/>
      <c r="M752" s="396"/>
      <c r="N752" s="396"/>
      <c r="O752" s="396"/>
      <c r="P752" s="396"/>
      <c r="Q752" s="396"/>
      <c r="R752" s="396"/>
      <c r="S752" s="79"/>
      <c r="T752" s="79"/>
      <c r="U752" s="79"/>
      <c r="V752" s="79"/>
      <c r="W752" s="79"/>
      <c r="X752" s="79"/>
      <c r="Y752" s="79"/>
      <c r="Z752" s="79"/>
    </row>
    <row r="753" spans="1:26" ht="15.75" customHeight="1" x14ac:dyDescent="0.25">
      <c r="A753" s="79"/>
      <c r="B753" s="79"/>
      <c r="C753" s="400"/>
      <c r="D753" s="400"/>
      <c r="E753" s="400"/>
      <c r="F753" s="400"/>
      <c r="G753" s="79"/>
      <c r="H753" s="79"/>
      <c r="I753" s="79"/>
      <c r="J753" s="396"/>
      <c r="K753" s="399"/>
      <c r="L753" s="396"/>
      <c r="M753" s="396"/>
      <c r="N753" s="396"/>
      <c r="O753" s="396"/>
      <c r="P753" s="396"/>
      <c r="Q753" s="396"/>
      <c r="R753" s="396"/>
      <c r="S753" s="79"/>
      <c r="T753" s="79"/>
      <c r="U753" s="79"/>
      <c r="V753" s="79"/>
      <c r="W753" s="79"/>
      <c r="X753" s="79"/>
      <c r="Y753" s="79"/>
      <c r="Z753" s="79"/>
    </row>
    <row r="754" spans="1:26" ht="15.75" customHeight="1" x14ac:dyDescent="0.25">
      <c r="A754" s="79"/>
      <c r="B754" s="79"/>
      <c r="C754" s="400"/>
      <c r="D754" s="400"/>
      <c r="E754" s="400"/>
      <c r="F754" s="400"/>
      <c r="G754" s="79"/>
      <c r="H754" s="79"/>
      <c r="I754" s="79"/>
      <c r="J754" s="396"/>
      <c r="K754" s="399"/>
      <c r="L754" s="396"/>
      <c r="M754" s="396"/>
      <c r="N754" s="396"/>
      <c r="O754" s="396"/>
      <c r="P754" s="396"/>
      <c r="Q754" s="396"/>
      <c r="R754" s="396"/>
      <c r="S754" s="79"/>
      <c r="T754" s="79"/>
      <c r="U754" s="79"/>
      <c r="V754" s="79"/>
      <c r="W754" s="79"/>
      <c r="X754" s="79"/>
      <c r="Y754" s="79"/>
      <c r="Z754" s="79"/>
    </row>
    <row r="755" spans="1:26" ht="15.75" customHeight="1" x14ac:dyDescent="0.25">
      <c r="A755" s="79"/>
      <c r="B755" s="79"/>
      <c r="C755" s="400"/>
      <c r="D755" s="400"/>
      <c r="E755" s="400"/>
      <c r="F755" s="400"/>
      <c r="G755" s="79"/>
      <c r="H755" s="79"/>
      <c r="I755" s="79"/>
      <c r="J755" s="396"/>
      <c r="K755" s="399"/>
      <c r="L755" s="396"/>
      <c r="M755" s="396"/>
      <c r="N755" s="396"/>
      <c r="O755" s="396"/>
      <c r="P755" s="396"/>
      <c r="Q755" s="396"/>
      <c r="R755" s="396"/>
      <c r="S755" s="79"/>
      <c r="T755" s="79"/>
      <c r="U755" s="79"/>
      <c r="V755" s="79"/>
      <c r="W755" s="79"/>
      <c r="X755" s="79"/>
      <c r="Y755" s="79"/>
      <c r="Z755" s="79"/>
    </row>
    <row r="756" spans="1:26" ht="15.75" customHeight="1" x14ac:dyDescent="0.25">
      <c r="A756" s="79"/>
      <c r="B756" s="79"/>
      <c r="C756" s="400"/>
      <c r="D756" s="400"/>
      <c r="E756" s="400"/>
      <c r="F756" s="400"/>
      <c r="G756" s="79"/>
      <c r="H756" s="79"/>
      <c r="I756" s="79"/>
      <c r="J756" s="396"/>
      <c r="K756" s="399"/>
      <c r="L756" s="396"/>
      <c r="M756" s="396"/>
      <c r="N756" s="396"/>
      <c r="O756" s="396"/>
      <c r="P756" s="396"/>
      <c r="Q756" s="396"/>
      <c r="R756" s="396"/>
      <c r="S756" s="79"/>
      <c r="T756" s="79"/>
      <c r="U756" s="79"/>
      <c r="V756" s="79"/>
      <c r="W756" s="79"/>
      <c r="X756" s="79"/>
      <c r="Y756" s="79"/>
      <c r="Z756" s="79"/>
    </row>
    <row r="757" spans="1:26" ht="15.75" customHeight="1" x14ac:dyDescent="0.25">
      <c r="A757" s="79"/>
      <c r="B757" s="79"/>
      <c r="C757" s="400"/>
      <c r="D757" s="400"/>
      <c r="E757" s="400"/>
      <c r="F757" s="400"/>
      <c r="G757" s="79"/>
      <c r="H757" s="79"/>
      <c r="I757" s="79"/>
      <c r="J757" s="396"/>
      <c r="K757" s="399"/>
      <c r="L757" s="396"/>
      <c r="M757" s="396"/>
      <c r="N757" s="396"/>
      <c r="O757" s="396"/>
      <c r="P757" s="396"/>
      <c r="Q757" s="396"/>
      <c r="R757" s="396"/>
      <c r="S757" s="79"/>
      <c r="T757" s="79"/>
      <c r="U757" s="79"/>
      <c r="V757" s="79"/>
      <c r="W757" s="79"/>
      <c r="X757" s="79"/>
      <c r="Y757" s="79"/>
      <c r="Z757" s="79"/>
    </row>
    <row r="758" spans="1:26" ht="15.75" customHeight="1" x14ac:dyDescent="0.25">
      <c r="A758" s="79"/>
      <c r="B758" s="79"/>
      <c r="C758" s="400"/>
      <c r="D758" s="400"/>
      <c r="E758" s="400"/>
      <c r="F758" s="400"/>
      <c r="G758" s="79"/>
      <c r="H758" s="79"/>
      <c r="I758" s="79"/>
      <c r="J758" s="396"/>
      <c r="K758" s="399"/>
      <c r="L758" s="396"/>
      <c r="M758" s="396"/>
      <c r="N758" s="396"/>
      <c r="O758" s="396"/>
      <c r="P758" s="396"/>
      <c r="Q758" s="396"/>
      <c r="R758" s="396"/>
      <c r="S758" s="79"/>
      <c r="T758" s="79"/>
      <c r="U758" s="79"/>
      <c r="V758" s="79"/>
      <c r="W758" s="79"/>
      <c r="X758" s="79"/>
      <c r="Y758" s="79"/>
      <c r="Z758" s="79"/>
    </row>
    <row r="759" spans="1:26" ht="15.75" customHeight="1" x14ac:dyDescent="0.25">
      <c r="A759" s="79"/>
      <c r="B759" s="79"/>
      <c r="C759" s="400"/>
      <c r="D759" s="400"/>
      <c r="E759" s="400"/>
      <c r="F759" s="400"/>
      <c r="G759" s="79"/>
      <c r="H759" s="79"/>
      <c r="I759" s="79"/>
      <c r="J759" s="396"/>
      <c r="K759" s="399"/>
      <c r="L759" s="396"/>
      <c r="M759" s="396"/>
      <c r="N759" s="396"/>
      <c r="O759" s="396"/>
      <c r="P759" s="396"/>
      <c r="Q759" s="396"/>
      <c r="R759" s="396"/>
      <c r="S759" s="79"/>
      <c r="T759" s="79"/>
      <c r="U759" s="79"/>
      <c r="V759" s="79"/>
      <c r="W759" s="79"/>
      <c r="X759" s="79"/>
      <c r="Y759" s="79"/>
      <c r="Z759" s="79"/>
    </row>
    <row r="760" spans="1:26" ht="15.75" customHeight="1" x14ac:dyDescent="0.25">
      <c r="A760" s="79"/>
      <c r="B760" s="79"/>
      <c r="C760" s="400"/>
      <c r="D760" s="400"/>
      <c r="E760" s="400"/>
      <c r="F760" s="400"/>
      <c r="G760" s="79"/>
      <c r="H760" s="79"/>
      <c r="I760" s="79"/>
      <c r="J760" s="396"/>
      <c r="K760" s="399"/>
      <c r="L760" s="396"/>
      <c r="M760" s="396"/>
      <c r="N760" s="396"/>
      <c r="O760" s="396"/>
      <c r="P760" s="396"/>
      <c r="Q760" s="396"/>
      <c r="R760" s="396"/>
      <c r="S760" s="79"/>
      <c r="T760" s="79"/>
      <c r="U760" s="79"/>
      <c r="V760" s="79"/>
      <c r="W760" s="79"/>
      <c r="X760" s="79"/>
      <c r="Y760" s="79"/>
      <c r="Z760" s="79"/>
    </row>
    <row r="761" spans="1:26" ht="15.75" customHeight="1" x14ac:dyDescent="0.25">
      <c r="A761" s="79"/>
      <c r="B761" s="79"/>
      <c r="C761" s="400"/>
      <c r="D761" s="400"/>
      <c r="E761" s="400"/>
      <c r="F761" s="400"/>
      <c r="G761" s="79"/>
      <c r="H761" s="79"/>
      <c r="I761" s="79"/>
      <c r="J761" s="396"/>
      <c r="K761" s="399"/>
      <c r="L761" s="396"/>
      <c r="M761" s="396"/>
      <c r="N761" s="396"/>
      <c r="O761" s="396"/>
      <c r="P761" s="396"/>
      <c r="Q761" s="396"/>
      <c r="R761" s="396"/>
      <c r="S761" s="79"/>
      <c r="T761" s="79"/>
      <c r="U761" s="79"/>
      <c r="V761" s="79"/>
      <c r="W761" s="79"/>
      <c r="X761" s="79"/>
      <c r="Y761" s="79"/>
      <c r="Z761" s="79"/>
    </row>
    <row r="762" spans="1:26" ht="15.75" customHeight="1" x14ac:dyDescent="0.25">
      <c r="A762" s="79"/>
      <c r="B762" s="79"/>
      <c r="C762" s="400"/>
      <c r="D762" s="400"/>
      <c r="E762" s="400"/>
      <c r="F762" s="400"/>
      <c r="G762" s="79"/>
      <c r="H762" s="79"/>
      <c r="I762" s="79"/>
      <c r="J762" s="396"/>
      <c r="K762" s="399"/>
      <c r="L762" s="396"/>
      <c r="M762" s="396"/>
      <c r="N762" s="396"/>
      <c r="O762" s="396"/>
      <c r="P762" s="396"/>
      <c r="Q762" s="396"/>
      <c r="R762" s="396"/>
      <c r="S762" s="79"/>
      <c r="T762" s="79"/>
      <c r="U762" s="79"/>
      <c r="V762" s="79"/>
      <c r="W762" s="79"/>
      <c r="X762" s="79"/>
      <c r="Y762" s="79"/>
      <c r="Z762" s="79"/>
    </row>
    <row r="763" spans="1:26" ht="15.75" customHeight="1" x14ac:dyDescent="0.25">
      <c r="A763" s="79"/>
      <c r="B763" s="79"/>
      <c r="C763" s="400"/>
      <c r="D763" s="400"/>
      <c r="E763" s="400"/>
      <c r="F763" s="400"/>
      <c r="G763" s="79"/>
      <c r="H763" s="79"/>
      <c r="I763" s="79"/>
      <c r="J763" s="396"/>
      <c r="K763" s="399"/>
      <c r="L763" s="396"/>
      <c r="M763" s="396"/>
      <c r="N763" s="396"/>
      <c r="O763" s="396"/>
      <c r="P763" s="396"/>
      <c r="Q763" s="396"/>
      <c r="R763" s="396"/>
      <c r="S763" s="79"/>
      <c r="T763" s="79"/>
      <c r="U763" s="79"/>
      <c r="V763" s="79"/>
      <c r="W763" s="79"/>
      <c r="X763" s="79"/>
      <c r="Y763" s="79"/>
      <c r="Z763" s="79"/>
    </row>
    <row r="764" spans="1:26" ht="15.75" customHeight="1" x14ac:dyDescent="0.25">
      <c r="A764" s="79"/>
      <c r="B764" s="79"/>
      <c r="C764" s="400"/>
      <c r="D764" s="400"/>
      <c r="E764" s="400"/>
      <c r="F764" s="400"/>
      <c r="G764" s="79"/>
      <c r="H764" s="79"/>
      <c r="I764" s="79"/>
      <c r="J764" s="396"/>
      <c r="K764" s="399"/>
      <c r="L764" s="396"/>
      <c r="M764" s="396"/>
      <c r="N764" s="396"/>
      <c r="O764" s="396"/>
      <c r="P764" s="396"/>
      <c r="Q764" s="396"/>
      <c r="R764" s="396"/>
      <c r="S764" s="79"/>
      <c r="T764" s="79"/>
      <c r="U764" s="79"/>
      <c r="V764" s="79"/>
      <c r="W764" s="79"/>
      <c r="X764" s="79"/>
      <c r="Y764" s="79"/>
      <c r="Z764" s="79"/>
    </row>
    <row r="765" spans="1:26" ht="15.75" customHeight="1" x14ac:dyDescent="0.25">
      <c r="A765" s="79"/>
      <c r="B765" s="79"/>
      <c r="C765" s="400"/>
      <c r="D765" s="400"/>
      <c r="E765" s="400"/>
      <c r="F765" s="400"/>
      <c r="G765" s="79"/>
      <c r="H765" s="79"/>
      <c r="I765" s="79"/>
      <c r="J765" s="396"/>
      <c r="K765" s="399"/>
      <c r="L765" s="396"/>
      <c r="M765" s="396"/>
      <c r="N765" s="396"/>
      <c r="O765" s="396"/>
      <c r="P765" s="396"/>
      <c r="Q765" s="396"/>
      <c r="R765" s="396"/>
      <c r="S765" s="79"/>
      <c r="T765" s="79"/>
      <c r="U765" s="79"/>
      <c r="V765" s="79"/>
      <c r="W765" s="79"/>
      <c r="X765" s="79"/>
      <c r="Y765" s="79"/>
      <c r="Z765" s="79"/>
    </row>
    <row r="766" spans="1:26" ht="15.75" customHeight="1" x14ac:dyDescent="0.25">
      <c r="A766" s="79"/>
      <c r="B766" s="79"/>
      <c r="C766" s="400"/>
      <c r="D766" s="400"/>
      <c r="E766" s="400"/>
      <c r="F766" s="400"/>
      <c r="G766" s="79"/>
      <c r="H766" s="79"/>
      <c r="I766" s="79"/>
      <c r="J766" s="396"/>
      <c r="K766" s="399"/>
      <c r="L766" s="396"/>
      <c r="M766" s="396"/>
      <c r="N766" s="396"/>
      <c r="O766" s="396"/>
      <c r="P766" s="396"/>
      <c r="Q766" s="396"/>
      <c r="R766" s="396"/>
      <c r="S766" s="79"/>
      <c r="T766" s="79"/>
      <c r="U766" s="79"/>
      <c r="V766" s="79"/>
      <c r="W766" s="79"/>
      <c r="X766" s="79"/>
      <c r="Y766" s="79"/>
      <c r="Z766" s="79"/>
    </row>
    <row r="767" spans="1:26" ht="15.75" customHeight="1" x14ac:dyDescent="0.25">
      <c r="A767" s="79"/>
      <c r="B767" s="79"/>
      <c r="C767" s="400"/>
      <c r="D767" s="400"/>
      <c r="E767" s="400"/>
      <c r="F767" s="400"/>
      <c r="G767" s="79"/>
      <c r="H767" s="79"/>
      <c r="I767" s="79"/>
      <c r="J767" s="396"/>
      <c r="K767" s="399"/>
      <c r="L767" s="396"/>
      <c r="M767" s="396"/>
      <c r="N767" s="396"/>
      <c r="O767" s="396"/>
      <c r="P767" s="396"/>
      <c r="Q767" s="396"/>
      <c r="R767" s="396"/>
      <c r="S767" s="79"/>
      <c r="T767" s="79"/>
      <c r="U767" s="79"/>
      <c r="V767" s="79"/>
      <c r="W767" s="79"/>
      <c r="X767" s="79"/>
      <c r="Y767" s="79"/>
      <c r="Z767" s="79"/>
    </row>
    <row r="768" spans="1:26" ht="15.75" customHeight="1" x14ac:dyDescent="0.25">
      <c r="A768" s="79"/>
      <c r="B768" s="79"/>
      <c r="C768" s="400"/>
      <c r="D768" s="400"/>
      <c r="E768" s="400"/>
      <c r="F768" s="400"/>
      <c r="G768" s="79"/>
      <c r="H768" s="79"/>
      <c r="I768" s="79"/>
      <c r="J768" s="396"/>
      <c r="K768" s="399"/>
      <c r="L768" s="396"/>
      <c r="M768" s="396"/>
      <c r="N768" s="396"/>
      <c r="O768" s="396"/>
      <c r="P768" s="396"/>
      <c r="Q768" s="396"/>
      <c r="R768" s="396"/>
      <c r="S768" s="79"/>
      <c r="T768" s="79"/>
      <c r="U768" s="79"/>
      <c r="V768" s="79"/>
      <c r="W768" s="79"/>
      <c r="X768" s="79"/>
      <c r="Y768" s="79"/>
      <c r="Z768" s="79"/>
    </row>
    <row r="769" spans="1:26" ht="15.75" customHeight="1" x14ac:dyDescent="0.25">
      <c r="A769" s="79"/>
      <c r="B769" s="79"/>
      <c r="C769" s="400"/>
      <c r="D769" s="400"/>
      <c r="E769" s="400"/>
      <c r="F769" s="400"/>
      <c r="G769" s="79"/>
      <c r="H769" s="79"/>
      <c r="I769" s="79"/>
      <c r="J769" s="396"/>
      <c r="K769" s="399"/>
      <c r="L769" s="396"/>
      <c r="M769" s="396"/>
      <c r="N769" s="396"/>
      <c r="O769" s="396"/>
      <c r="P769" s="396"/>
      <c r="Q769" s="396"/>
      <c r="R769" s="396"/>
      <c r="S769" s="79"/>
      <c r="T769" s="79"/>
      <c r="U769" s="79"/>
      <c r="V769" s="79"/>
      <c r="W769" s="79"/>
      <c r="X769" s="79"/>
      <c r="Y769" s="79"/>
      <c r="Z769" s="79"/>
    </row>
    <row r="770" spans="1:26" ht="15.75" customHeight="1" x14ac:dyDescent="0.25">
      <c r="A770" s="79"/>
      <c r="B770" s="79"/>
      <c r="C770" s="400"/>
      <c r="D770" s="400"/>
      <c r="E770" s="400"/>
      <c r="F770" s="400"/>
      <c r="G770" s="79"/>
      <c r="H770" s="79"/>
      <c r="I770" s="79"/>
      <c r="J770" s="396"/>
      <c r="K770" s="399"/>
      <c r="L770" s="396"/>
      <c r="M770" s="396"/>
      <c r="N770" s="396"/>
      <c r="O770" s="396"/>
      <c r="P770" s="396"/>
      <c r="Q770" s="396"/>
      <c r="R770" s="396"/>
      <c r="S770" s="79"/>
      <c r="T770" s="79"/>
      <c r="U770" s="79"/>
      <c r="V770" s="79"/>
      <c r="W770" s="79"/>
      <c r="X770" s="79"/>
      <c r="Y770" s="79"/>
      <c r="Z770" s="79"/>
    </row>
    <row r="771" spans="1:26" ht="15.75" customHeight="1" x14ac:dyDescent="0.25">
      <c r="A771" s="79"/>
      <c r="B771" s="79"/>
      <c r="C771" s="400"/>
      <c r="D771" s="400"/>
      <c r="E771" s="400"/>
      <c r="F771" s="400"/>
      <c r="G771" s="79"/>
      <c r="H771" s="79"/>
      <c r="I771" s="79"/>
      <c r="J771" s="396"/>
      <c r="K771" s="399"/>
      <c r="L771" s="396"/>
      <c r="M771" s="396"/>
      <c r="N771" s="396"/>
      <c r="O771" s="396"/>
      <c r="P771" s="396"/>
      <c r="Q771" s="396"/>
      <c r="R771" s="396"/>
      <c r="S771" s="79"/>
      <c r="T771" s="79"/>
      <c r="U771" s="79"/>
      <c r="V771" s="79"/>
      <c r="W771" s="79"/>
      <c r="X771" s="79"/>
      <c r="Y771" s="79"/>
      <c r="Z771" s="79"/>
    </row>
    <row r="772" spans="1:26" ht="15.75" customHeight="1" x14ac:dyDescent="0.25">
      <c r="A772" s="79"/>
      <c r="B772" s="79"/>
      <c r="C772" s="400"/>
      <c r="D772" s="400"/>
      <c r="E772" s="400"/>
      <c r="F772" s="400"/>
      <c r="G772" s="79"/>
      <c r="H772" s="79"/>
      <c r="I772" s="79"/>
      <c r="J772" s="396"/>
      <c r="K772" s="399"/>
      <c r="L772" s="396"/>
      <c r="M772" s="396"/>
      <c r="N772" s="396"/>
      <c r="O772" s="396"/>
      <c r="P772" s="396"/>
      <c r="Q772" s="396"/>
      <c r="R772" s="396"/>
      <c r="S772" s="79"/>
      <c r="T772" s="79"/>
      <c r="U772" s="79"/>
      <c r="V772" s="79"/>
      <c r="W772" s="79"/>
      <c r="X772" s="79"/>
      <c r="Y772" s="79"/>
      <c r="Z772" s="79"/>
    </row>
    <row r="773" spans="1:26" ht="15.75" customHeight="1" x14ac:dyDescent="0.25">
      <c r="A773" s="79"/>
      <c r="B773" s="79"/>
      <c r="C773" s="400"/>
      <c r="D773" s="400"/>
      <c r="E773" s="400"/>
      <c r="F773" s="400"/>
      <c r="G773" s="79"/>
      <c r="H773" s="79"/>
      <c r="I773" s="79"/>
      <c r="J773" s="396"/>
      <c r="K773" s="399"/>
      <c r="L773" s="396"/>
      <c r="M773" s="396"/>
      <c r="N773" s="396"/>
      <c r="O773" s="396"/>
      <c r="P773" s="396"/>
      <c r="Q773" s="396"/>
      <c r="R773" s="396"/>
      <c r="S773" s="79"/>
      <c r="T773" s="79"/>
      <c r="U773" s="79"/>
      <c r="V773" s="79"/>
      <c r="W773" s="79"/>
      <c r="X773" s="79"/>
      <c r="Y773" s="79"/>
      <c r="Z773" s="79"/>
    </row>
    <row r="774" spans="1:26" ht="15.75" customHeight="1" x14ac:dyDescent="0.25">
      <c r="A774" s="79"/>
      <c r="B774" s="79"/>
      <c r="C774" s="400"/>
      <c r="D774" s="400"/>
      <c r="E774" s="400"/>
      <c r="F774" s="400"/>
      <c r="G774" s="79"/>
      <c r="H774" s="79"/>
      <c r="I774" s="79"/>
      <c r="J774" s="396"/>
      <c r="K774" s="399"/>
      <c r="L774" s="396"/>
      <c r="M774" s="396"/>
      <c r="N774" s="396"/>
      <c r="O774" s="396"/>
      <c r="P774" s="396"/>
      <c r="Q774" s="396"/>
      <c r="R774" s="396"/>
      <c r="S774" s="79"/>
      <c r="T774" s="79"/>
      <c r="U774" s="79"/>
      <c r="V774" s="79"/>
      <c r="W774" s="79"/>
      <c r="X774" s="79"/>
      <c r="Y774" s="79"/>
      <c r="Z774" s="79"/>
    </row>
    <row r="775" spans="1:26" ht="15.75" customHeight="1" x14ac:dyDescent="0.25">
      <c r="A775" s="79"/>
      <c r="B775" s="79"/>
      <c r="C775" s="400"/>
      <c r="D775" s="400"/>
      <c r="E775" s="400"/>
      <c r="F775" s="400"/>
      <c r="G775" s="79"/>
      <c r="H775" s="79"/>
      <c r="I775" s="79"/>
      <c r="J775" s="396"/>
      <c r="K775" s="399"/>
      <c r="L775" s="396"/>
      <c r="M775" s="396"/>
      <c r="N775" s="396"/>
      <c r="O775" s="396"/>
      <c r="P775" s="396"/>
      <c r="Q775" s="396"/>
      <c r="R775" s="396"/>
      <c r="S775" s="79"/>
      <c r="T775" s="79"/>
      <c r="U775" s="79"/>
      <c r="V775" s="79"/>
      <c r="W775" s="79"/>
      <c r="X775" s="79"/>
      <c r="Y775" s="79"/>
      <c r="Z775" s="79"/>
    </row>
    <row r="776" spans="1:26" ht="15.75" customHeight="1" x14ac:dyDescent="0.25">
      <c r="A776" s="79"/>
      <c r="B776" s="79"/>
      <c r="C776" s="400"/>
      <c r="D776" s="400"/>
      <c r="E776" s="400"/>
      <c r="F776" s="400"/>
      <c r="G776" s="79"/>
      <c r="H776" s="79"/>
      <c r="I776" s="79"/>
      <c r="J776" s="396"/>
      <c r="K776" s="399"/>
      <c r="L776" s="396"/>
      <c r="M776" s="396"/>
      <c r="N776" s="396"/>
      <c r="O776" s="396"/>
      <c r="P776" s="396"/>
      <c r="Q776" s="396"/>
      <c r="R776" s="396"/>
      <c r="S776" s="79"/>
      <c r="T776" s="79"/>
      <c r="U776" s="79"/>
      <c r="V776" s="79"/>
      <c r="W776" s="79"/>
      <c r="X776" s="79"/>
      <c r="Y776" s="79"/>
      <c r="Z776" s="79"/>
    </row>
    <row r="777" spans="1:26" ht="15.75" customHeight="1" x14ac:dyDescent="0.25">
      <c r="A777" s="79"/>
      <c r="B777" s="79"/>
      <c r="C777" s="400"/>
      <c r="D777" s="400"/>
      <c r="E777" s="400"/>
      <c r="F777" s="400"/>
      <c r="G777" s="79"/>
      <c r="H777" s="79"/>
      <c r="I777" s="79"/>
      <c r="J777" s="396"/>
      <c r="K777" s="399"/>
      <c r="L777" s="396"/>
      <c r="M777" s="396"/>
      <c r="N777" s="396"/>
      <c r="O777" s="396"/>
      <c r="P777" s="396"/>
      <c r="Q777" s="396"/>
      <c r="R777" s="396"/>
      <c r="S777" s="79"/>
      <c r="T777" s="79"/>
      <c r="U777" s="79"/>
      <c r="V777" s="79"/>
      <c r="W777" s="79"/>
      <c r="X777" s="79"/>
      <c r="Y777" s="79"/>
      <c r="Z777" s="79"/>
    </row>
    <row r="778" spans="1:26" ht="15.75" customHeight="1" x14ac:dyDescent="0.25">
      <c r="A778" s="79"/>
      <c r="B778" s="79"/>
      <c r="C778" s="400"/>
      <c r="D778" s="400"/>
      <c r="E778" s="400"/>
      <c r="F778" s="400"/>
      <c r="G778" s="79"/>
      <c r="H778" s="79"/>
      <c r="I778" s="79"/>
      <c r="J778" s="396"/>
      <c r="K778" s="399"/>
      <c r="L778" s="396"/>
      <c r="M778" s="396"/>
      <c r="N778" s="396"/>
      <c r="O778" s="396"/>
      <c r="P778" s="396"/>
      <c r="Q778" s="396"/>
      <c r="R778" s="396"/>
      <c r="S778" s="79"/>
      <c r="T778" s="79"/>
      <c r="U778" s="79"/>
      <c r="V778" s="79"/>
      <c r="W778" s="79"/>
      <c r="X778" s="79"/>
      <c r="Y778" s="79"/>
      <c r="Z778" s="79"/>
    </row>
    <row r="779" spans="1:26" ht="15.75" customHeight="1" x14ac:dyDescent="0.25">
      <c r="A779" s="79"/>
      <c r="B779" s="79"/>
      <c r="C779" s="400"/>
      <c r="D779" s="400"/>
      <c r="E779" s="400"/>
      <c r="F779" s="400"/>
      <c r="G779" s="79"/>
      <c r="H779" s="79"/>
      <c r="I779" s="79"/>
      <c r="J779" s="396"/>
      <c r="K779" s="399"/>
      <c r="L779" s="396"/>
      <c r="M779" s="396"/>
      <c r="N779" s="396"/>
      <c r="O779" s="396"/>
      <c r="P779" s="396"/>
      <c r="Q779" s="396"/>
      <c r="R779" s="396"/>
      <c r="S779" s="79"/>
      <c r="T779" s="79"/>
      <c r="U779" s="79"/>
      <c r="V779" s="79"/>
      <c r="W779" s="79"/>
      <c r="X779" s="79"/>
      <c r="Y779" s="79"/>
      <c r="Z779" s="79"/>
    </row>
    <row r="780" spans="1:26" ht="15.75" customHeight="1" x14ac:dyDescent="0.25">
      <c r="A780" s="79"/>
      <c r="B780" s="79"/>
      <c r="C780" s="400"/>
      <c r="D780" s="400"/>
      <c r="E780" s="400"/>
      <c r="F780" s="400"/>
      <c r="G780" s="79"/>
      <c r="H780" s="79"/>
      <c r="I780" s="79"/>
      <c r="J780" s="396"/>
      <c r="K780" s="399"/>
      <c r="L780" s="396"/>
      <c r="M780" s="396"/>
      <c r="N780" s="396"/>
      <c r="O780" s="396"/>
      <c r="P780" s="396"/>
      <c r="Q780" s="396"/>
      <c r="R780" s="396"/>
      <c r="S780" s="79"/>
      <c r="T780" s="79"/>
      <c r="U780" s="79"/>
      <c r="V780" s="79"/>
      <c r="W780" s="79"/>
      <c r="X780" s="79"/>
      <c r="Y780" s="79"/>
      <c r="Z780" s="79"/>
    </row>
    <row r="781" spans="1:26" ht="15.75" customHeight="1" x14ac:dyDescent="0.25">
      <c r="A781" s="79"/>
      <c r="B781" s="79"/>
      <c r="C781" s="400"/>
      <c r="D781" s="400"/>
      <c r="E781" s="400"/>
      <c r="F781" s="400"/>
      <c r="G781" s="79"/>
      <c r="H781" s="79"/>
      <c r="I781" s="79"/>
      <c r="J781" s="396"/>
      <c r="K781" s="399"/>
      <c r="L781" s="396"/>
      <c r="M781" s="396"/>
      <c r="N781" s="396"/>
      <c r="O781" s="396"/>
      <c r="P781" s="396"/>
      <c r="Q781" s="396"/>
      <c r="R781" s="396"/>
      <c r="S781" s="79"/>
      <c r="T781" s="79"/>
      <c r="U781" s="79"/>
      <c r="V781" s="79"/>
      <c r="W781" s="79"/>
      <c r="X781" s="79"/>
      <c r="Y781" s="79"/>
      <c r="Z781" s="79"/>
    </row>
    <row r="782" spans="1:26" ht="15.75" customHeight="1" x14ac:dyDescent="0.25">
      <c r="A782" s="79"/>
      <c r="B782" s="79"/>
      <c r="C782" s="400"/>
      <c r="D782" s="400"/>
      <c r="E782" s="400"/>
      <c r="F782" s="400"/>
      <c r="G782" s="79"/>
      <c r="H782" s="79"/>
      <c r="I782" s="79"/>
      <c r="J782" s="396"/>
      <c r="K782" s="399"/>
      <c r="L782" s="396"/>
      <c r="M782" s="396"/>
      <c r="N782" s="396"/>
      <c r="O782" s="396"/>
      <c r="P782" s="396"/>
      <c r="Q782" s="396"/>
      <c r="R782" s="396"/>
      <c r="S782" s="79"/>
      <c r="T782" s="79"/>
      <c r="U782" s="79"/>
      <c r="V782" s="79"/>
      <c r="W782" s="79"/>
      <c r="X782" s="79"/>
      <c r="Y782" s="79"/>
      <c r="Z782" s="79"/>
    </row>
    <row r="783" spans="1:26" ht="15.75" customHeight="1" x14ac:dyDescent="0.25">
      <c r="A783" s="79"/>
      <c r="B783" s="79"/>
      <c r="C783" s="400"/>
      <c r="D783" s="400"/>
      <c r="E783" s="400"/>
      <c r="F783" s="400"/>
      <c r="G783" s="79"/>
      <c r="H783" s="79"/>
      <c r="I783" s="79"/>
      <c r="J783" s="396"/>
      <c r="K783" s="399"/>
      <c r="L783" s="396"/>
      <c r="M783" s="396"/>
      <c r="N783" s="396"/>
      <c r="O783" s="396"/>
      <c r="P783" s="396"/>
      <c r="Q783" s="396"/>
      <c r="R783" s="396"/>
      <c r="S783" s="79"/>
      <c r="T783" s="79"/>
      <c r="U783" s="79"/>
      <c r="V783" s="79"/>
      <c r="W783" s="79"/>
      <c r="X783" s="79"/>
      <c r="Y783" s="79"/>
      <c r="Z783" s="79"/>
    </row>
    <row r="784" spans="1:26" ht="15.75" customHeight="1" x14ac:dyDescent="0.25">
      <c r="A784" s="79"/>
      <c r="B784" s="79"/>
      <c r="C784" s="400"/>
      <c r="D784" s="400"/>
      <c r="E784" s="400"/>
      <c r="F784" s="400"/>
      <c r="G784" s="79"/>
      <c r="H784" s="79"/>
      <c r="I784" s="79"/>
      <c r="J784" s="396"/>
      <c r="K784" s="399"/>
      <c r="L784" s="396"/>
      <c r="M784" s="396"/>
      <c r="N784" s="396"/>
      <c r="O784" s="396"/>
      <c r="P784" s="396"/>
      <c r="Q784" s="396"/>
      <c r="R784" s="396"/>
      <c r="S784" s="79"/>
      <c r="T784" s="79"/>
      <c r="U784" s="79"/>
      <c r="V784" s="79"/>
      <c r="W784" s="79"/>
      <c r="X784" s="79"/>
      <c r="Y784" s="79"/>
      <c r="Z784" s="79"/>
    </row>
    <row r="785" spans="1:26" ht="15.75" customHeight="1" x14ac:dyDescent="0.25">
      <c r="A785" s="79"/>
      <c r="B785" s="79"/>
      <c r="C785" s="400"/>
      <c r="D785" s="400"/>
      <c r="E785" s="400"/>
      <c r="F785" s="400"/>
      <c r="G785" s="79"/>
      <c r="H785" s="79"/>
      <c r="I785" s="79"/>
      <c r="J785" s="396"/>
      <c r="K785" s="399"/>
      <c r="L785" s="396"/>
      <c r="M785" s="396"/>
      <c r="N785" s="396"/>
      <c r="O785" s="396"/>
      <c r="P785" s="396"/>
      <c r="Q785" s="396"/>
      <c r="R785" s="396"/>
      <c r="S785" s="79"/>
      <c r="T785" s="79"/>
      <c r="U785" s="79"/>
      <c r="V785" s="79"/>
      <c r="W785" s="79"/>
      <c r="X785" s="79"/>
      <c r="Y785" s="79"/>
      <c r="Z785" s="79"/>
    </row>
    <row r="786" spans="1:26" ht="15.75" customHeight="1" x14ac:dyDescent="0.25">
      <c r="A786" s="79"/>
      <c r="B786" s="79"/>
      <c r="C786" s="400"/>
      <c r="D786" s="400"/>
      <c r="E786" s="400"/>
      <c r="F786" s="400"/>
      <c r="G786" s="79"/>
      <c r="H786" s="79"/>
      <c r="I786" s="79"/>
      <c r="J786" s="396"/>
      <c r="K786" s="399"/>
      <c r="L786" s="396"/>
      <c r="M786" s="396"/>
      <c r="N786" s="396"/>
      <c r="O786" s="396"/>
      <c r="P786" s="396"/>
      <c r="Q786" s="396"/>
      <c r="R786" s="396"/>
      <c r="S786" s="79"/>
      <c r="T786" s="79"/>
      <c r="U786" s="79"/>
      <c r="V786" s="79"/>
      <c r="W786" s="79"/>
      <c r="X786" s="79"/>
      <c r="Y786" s="79"/>
      <c r="Z786" s="79"/>
    </row>
    <row r="787" spans="1:26" ht="15.75" customHeight="1" x14ac:dyDescent="0.25">
      <c r="A787" s="79"/>
      <c r="B787" s="79"/>
      <c r="C787" s="400"/>
      <c r="D787" s="400"/>
      <c r="E787" s="400"/>
      <c r="F787" s="400"/>
      <c r="G787" s="79"/>
      <c r="H787" s="79"/>
      <c r="I787" s="79"/>
      <c r="J787" s="396"/>
      <c r="K787" s="399"/>
      <c r="L787" s="396"/>
      <c r="M787" s="396"/>
      <c r="N787" s="396"/>
      <c r="O787" s="396"/>
      <c r="P787" s="396"/>
      <c r="Q787" s="396"/>
      <c r="R787" s="396"/>
      <c r="S787" s="79"/>
      <c r="T787" s="79"/>
      <c r="U787" s="79"/>
      <c r="V787" s="79"/>
      <c r="W787" s="79"/>
      <c r="X787" s="79"/>
      <c r="Y787" s="79"/>
      <c r="Z787" s="79"/>
    </row>
    <row r="788" spans="1:26" ht="15.75" customHeight="1" x14ac:dyDescent="0.25">
      <c r="A788" s="79"/>
      <c r="B788" s="79"/>
      <c r="C788" s="400"/>
      <c r="D788" s="400"/>
      <c r="E788" s="400"/>
      <c r="F788" s="400"/>
      <c r="G788" s="79"/>
      <c r="H788" s="79"/>
      <c r="I788" s="79"/>
      <c r="J788" s="396"/>
      <c r="K788" s="399"/>
      <c r="L788" s="396"/>
      <c r="M788" s="396"/>
      <c r="N788" s="396"/>
      <c r="O788" s="396"/>
      <c r="P788" s="396"/>
      <c r="Q788" s="396"/>
      <c r="R788" s="396"/>
      <c r="S788" s="79"/>
      <c r="T788" s="79"/>
      <c r="U788" s="79"/>
      <c r="V788" s="79"/>
      <c r="W788" s="79"/>
      <c r="X788" s="79"/>
      <c r="Y788" s="79"/>
      <c r="Z788" s="79"/>
    </row>
    <row r="789" spans="1:26" ht="15.75" customHeight="1" x14ac:dyDescent="0.25">
      <c r="A789" s="79"/>
      <c r="B789" s="79"/>
      <c r="C789" s="400"/>
      <c r="D789" s="400"/>
      <c r="E789" s="400"/>
      <c r="F789" s="400"/>
      <c r="G789" s="79"/>
      <c r="H789" s="79"/>
      <c r="I789" s="79"/>
      <c r="J789" s="396"/>
      <c r="K789" s="399"/>
      <c r="L789" s="396"/>
      <c r="M789" s="396"/>
      <c r="N789" s="396"/>
      <c r="O789" s="396"/>
      <c r="P789" s="396"/>
      <c r="Q789" s="396"/>
      <c r="R789" s="396"/>
      <c r="S789" s="79"/>
      <c r="T789" s="79"/>
      <c r="U789" s="79"/>
      <c r="V789" s="79"/>
      <c r="W789" s="79"/>
      <c r="X789" s="79"/>
      <c r="Y789" s="79"/>
      <c r="Z789" s="79"/>
    </row>
    <row r="790" spans="1:26" ht="15.75" customHeight="1" x14ac:dyDescent="0.25">
      <c r="A790" s="79"/>
      <c r="B790" s="79"/>
      <c r="C790" s="400"/>
      <c r="D790" s="400"/>
      <c r="E790" s="400"/>
      <c r="F790" s="400"/>
      <c r="G790" s="79"/>
      <c r="H790" s="79"/>
      <c r="I790" s="79"/>
      <c r="J790" s="396"/>
      <c r="K790" s="399"/>
      <c r="L790" s="396"/>
      <c r="M790" s="396"/>
      <c r="N790" s="396"/>
      <c r="O790" s="396"/>
      <c r="P790" s="396"/>
      <c r="Q790" s="396"/>
      <c r="R790" s="396"/>
      <c r="S790" s="79"/>
      <c r="T790" s="79"/>
      <c r="U790" s="79"/>
      <c r="V790" s="79"/>
      <c r="W790" s="79"/>
      <c r="X790" s="79"/>
      <c r="Y790" s="79"/>
      <c r="Z790" s="79"/>
    </row>
    <row r="791" spans="1:26" ht="15.75" customHeight="1" x14ac:dyDescent="0.25">
      <c r="A791" s="79"/>
      <c r="B791" s="79"/>
      <c r="C791" s="400"/>
      <c r="D791" s="400"/>
      <c r="E791" s="400"/>
      <c r="F791" s="400"/>
      <c r="G791" s="79"/>
      <c r="H791" s="79"/>
      <c r="I791" s="79"/>
      <c r="J791" s="396"/>
      <c r="K791" s="399"/>
      <c r="L791" s="396"/>
      <c r="M791" s="396"/>
      <c r="N791" s="396"/>
      <c r="O791" s="396"/>
      <c r="P791" s="396"/>
      <c r="Q791" s="396"/>
      <c r="R791" s="396"/>
      <c r="S791" s="79"/>
      <c r="T791" s="79"/>
      <c r="U791" s="79"/>
      <c r="V791" s="79"/>
      <c r="W791" s="79"/>
      <c r="X791" s="79"/>
      <c r="Y791" s="79"/>
      <c r="Z791" s="79"/>
    </row>
    <row r="792" spans="1:26" ht="15.75" customHeight="1" x14ac:dyDescent="0.25">
      <c r="A792" s="79"/>
      <c r="B792" s="79"/>
      <c r="C792" s="400"/>
      <c r="D792" s="400"/>
      <c r="E792" s="400"/>
      <c r="F792" s="400"/>
      <c r="G792" s="79"/>
      <c r="H792" s="79"/>
      <c r="I792" s="79"/>
      <c r="J792" s="396"/>
      <c r="K792" s="399"/>
      <c r="L792" s="396"/>
      <c r="M792" s="396"/>
      <c r="N792" s="396"/>
      <c r="O792" s="396"/>
      <c r="P792" s="396"/>
      <c r="Q792" s="396"/>
      <c r="R792" s="396"/>
      <c r="S792" s="79"/>
      <c r="T792" s="79"/>
      <c r="U792" s="79"/>
      <c r="V792" s="79"/>
      <c r="W792" s="79"/>
      <c r="X792" s="79"/>
      <c r="Y792" s="79"/>
      <c r="Z792" s="79"/>
    </row>
    <row r="793" spans="1:26" ht="15.75" customHeight="1" x14ac:dyDescent="0.25">
      <c r="A793" s="79"/>
      <c r="B793" s="79"/>
      <c r="C793" s="400"/>
      <c r="D793" s="400"/>
      <c r="E793" s="400"/>
      <c r="F793" s="400"/>
      <c r="G793" s="79"/>
      <c r="H793" s="79"/>
      <c r="I793" s="79"/>
      <c r="J793" s="396"/>
      <c r="K793" s="399"/>
      <c r="L793" s="396"/>
      <c r="M793" s="396"/>
      <c r="N793" s="396"/>
      <c r="O793" s="396"/>
      <c r="P793" s="396"/>
      <c r="Q793" s="396"/>
      <c r="R793" s="396"/>
      <c r="S793" s="79"/>
      <c r="T793" s="79"/>
      <c r="U793" s="79"/>
      <c r="V793" s="79"/>
      <c r="W793" s="79"/>
      <c r="X793" s="79"/>
      <c r="Y793" s="79"/>
      <c r="Z793" s="79"/>
    </row>
    <row r="794" spans="1:26" ht="15.75" customHeight="1" x14ac:dyDescent="0.25">
      <c r="A794" s="79"/>
      <c r="B794" s="79"/>
      <c r="C794" s="400"/>
      <c r="D794" s="400"/>
      <c r="E794" s="400"/>
      <c r="F794" s="400"/>
      <c r="G794" s="79"/>
      <c r="H794" s="79"/>
      <c r="I794" s="79"/>
      <c r="J794" s="396"/>
      <c r="K794" s="399"/>
      <c r="L794" s="396"/>
      <c r="M794" s="396"/>
      <c r="N794" s="396"/>
      <c r="O794" s="396"/>
      <c r="P794" s="396"/>
      <c r="Q794" s="396"/>
      <c r="R794" s="396"/>
      <c r="S794" s="79"/>
      <c r="T794" s="79"/>
      <c r="U794" s="79"/>
      <c r="V794" s="79"/>
      <c r="W794" s="79"/>
      <c r="X794" s="79"/>
      <c r="Y794" s="79"/>
      <c r="Z794" s="79"/>
    </row>
    <row r="795" spans="1:26" ht="15.75" customHeight="1" x14ac:dyDescent="0.25">
      <c r="A795" s="79"/>
      <c r="B795" s="79"/>
      <c r="C795" s="400"/>
      <c r="D795" s="400"/>
      <c r="E795" s="400"/>
      <c r="F795" s="400"/>
      <c r="G795" s="79"/>
      <c r="H795" s="79"/>
      <c r="I795" s="79"/>
      <c r="J795" s="396"/>
      <c r="K795" s="399"/>
      <c r="L795" s="396"/>
      <c r="M795" s="396"/>
      <c r="N795" s="396"/>
      <c r="O795" s="396"/>
      <c r="P795" s="396"/>
      <c r="Q795" s="396"/>
      <c r="R795" s="396"/>
      <c r="S795" s="79"/>
      <c r="T795" s="79"/>
      <c r="U795" s="79"/>
      <c r="V795" s="79"/>
      <c r="W795" s="79"/>
      <c r="X795" s="79"/>
      <c r="Y795" s="79"/>
      <c r="Z795" s="79"/>
    </row>
    <row r="796" spans="1:26" ht="15.75" customHeight="1" x14ac:dyDescent="0.25">
      <c r="A796" s="79"/>
      <c r="B796" s="79"/>
      <c r="C796" s="400"/>
      <c r="D796" s="400"/>
      <c r="E796" s="400"/>
      <c r="F796" s="400"/>
      <c r="G796" s="79"/>
      <c r="H796" s="79"/>
      <c r="I796" s="79"/>
      <c r="J796" s="396"/>
      <c r="K796" s="399"/>
      <c r="L796" s="396"/>
      <c r="M796" s="396"/>
      <c r="N796" s="396"/>
      <c r="O796" s="396"/>
      <c r="P796" s="396"/>
      <c r="Q796" s="396"/>
      <c r="R796" s="396"/>
      <c r="S796" s="79"/>
      <c r="T796" s="79"/>
      <c r="U796" s="79"/>
      <c r="V796" s="79"/>
      <c r="W796" s="79"/>
      <c r="X796" s="79"/>
      <c r="Y796" s="79"/>
      <c r="Z796" s="79"/>
    </row>
    <row r="797" spans="1:26" ht="15.75" customHeight="1" x14ac:dyDescent="0.25">
      <c r="A797" s="79"/>
      <c r="B797" s="79"/>
      <c r="C797" s="400"/>
      <c r="D797" s="400"/>
      <c r="E797" s="400"/>
      <c r="F797" s="400"/>
      <c r="G797" s="79"/>
      <c r="H797" s="79"/>
      <c r="I797" s="79"/>
      <c r="J797" s="396"/>
      <c r="K797" s="399"/>
      <c r="L797" s="396"/>
      <c r="M797" s="396"/>
      <c r="N797" s="396"/>
      <c r="O797" s="396"/>
      <c r="P797" s="396"/>
      <c r="Q797" s="396"/>
      <c r="R797" s="396"/>
      <c r="S797" s="79"/>
      <c r="T797" s="79"/>
      <c r="U797" s="79"/>
      <c r="V797" s="79"/>
      <c r="W797" s="79"/>
      <c r="X797" s="79"/>
      <c r="Y797" s="79"/>
      <c r="Z797" s="79"/>
    </row>
    <row r="798" spans="1:26" ht="15.75" customHeight="1" x14ac:dyDescent="0.25">
      <c r="A798" s="79"/>
      <c r="B798" s="79"/>
      <c r="C798" s="400"/>
      <c r="D798" s="400"/>
      <c r="E798" s="400"/>
      <c r="F798" s="400"/>
      <c r="G798" s="79"/>
      <c r="H798" s="79"/>
      <c r="I798" s="79"/>
      <c r="J798" s="396"/>
      <c r="K798" s="399"/>
      <c r="L798" s="396"/>
      <c r="M798" s="396"/>
      <c r="N798" s="396"/>
      <c r="O798" s="396"/>
      <c r="P798" s="396"/>
      <c r="Q798" s="396"/>
      <c r="R798" s="396"/>
      <c r="S798" s="79"/>
      <c r="T798" s="79"/>
      <c r="U798" s="79"/>
      <c r="V798" s="79"/>
      <c r="W798" s="79"/>
      <c r="X798" s="79"/>
      <c r="Y798" s="79"/>
      <c r="Z798" s="79"/>
    </row>
    <row r="799" spans="1:26" ht="15.75" customHeight="1" x14ac:dyDescent="0.25">
      <c r="A799" s="79"/>
      <c r="B799" s="79"/>
      <c r="C799" s="400"/>
      <c r="D799" s="400"/>
      <c r="E799" s="400"/>
      <c r="F799" s="400"/>
      <c r="G799" s="79"/>
      <c r="H799" s="79"/>
      <c r="I799" s="79"/>
      <c r="J799" s="396"/>
      <c r="K799" s="399"/>
      <c r="L799" s="396"/>
      <c r="M799" s="396"/>
      <c r="N799" s="396"/>
      <c r="O799" s="396"/>
      <c r="P799" s="396"/>
      <c r="Q799" s="396"/>
      <c r="R799" s="396"/>
      <c r="S799" s="79"/>
      <c r="T799" s="79"/>
      <c r="U799" s="79"/>
      <c r="V799" s="79"/>
      <c r="W799" s="79"/>
      <c r="X799" s="79"/>
      <c r="Y799" s="79"/>
      <c r="Z799" s="79"/>
    </row>
    <row r="800" spans="1:26" ht="15.75" customHeight="1" x14ac:dyDescent="0.25">
      <c r="A800" s="79"/>
      <c r="B800" s="79"/>
      <c r="C800" s="400"/>
      <c r="D800" s="400"/>
      <c r="E800" s="400"/>
      <c r="F800" s="400"/>
      <c r="G800" s="79"/>
      <c r="H800" s="79"/>
      <c r="I800" s="79"/>
      <c r="J800" s="396"/>
      <c r="K800" s="399"/>
      <c r="L800" s="396"/>
      <c r="M800" s="396"/>
      <c r="N800" s="396"/>
      <c r="O800" s="396"/>
      <c r="P800" s="396"/>
      <c r="Q800" s="396"/>
      <c r="R800" s="396"/>
      <c r="S800" s="79"/>
      <c r="T800" s="79"/>
      <c r="U800" s="79"/>
      <c r="V800" s="79"/>
      <c r="W800" s="79"/>
      <c r="X800" s="79"/>
      <c r="Y800" s="79"/>
      <c r="Z800" s="79"/>
    </row>
    <row r="801" spans="1:26" ht="15.75" customHeight="1" x14ac:dyDescent="0.25">
      <c r="A801" s="79"/>
      <c r="B801" s="79"/>
      <c r="C801" s="400"/>
      <c r="D801" s="400"/>
      <c r="E801" s="400"/>
      <c r="F801" s="400"/>
      <c r="G801" s="79"/>
      <c r="H801" s="79"/>
      <c r="I801" s="79"/>
      <c r="J801" s="396"/>
      <c r="K801" s="399"/>
      <c r="L801" s="396"/>
      <c r="M801" s="396"/>
      <c r="N801" s="396"/>
      <c r="O801" s="396"/>
      <c r="P801" s="396"/>
      <c r="Q801" s="396"/>
      <c r="R801" s="396"/>
      <c r="S801" s="79"/>
      <c r="T801" s="79"/>
      <c r="U801" s="79"/>
      <c r="V801" s="79"/>
      <c r="W801" s="79"/>
      <c r="X801" s="79"/>
      <c r="Y801" s="79"/>
      <c r="Z801" s="79"/>
    </row>
    <row r="802" spans="1:26" ht="15.75" customHeight="1" x14ac:dyDescent="0.25">
      <c r="A802" s="79"/>
      <c r="B802" s="79"/>
      <c r="C802" s="400"/>
      <c r="D802" s="400"/>
      <c r="E802" s="400"/>
      <c r="F802" s="400"/>
      <c r="G802" s="79"/>
      <c r="H802" s="79"/>
      <c r="I802" s="79"/>
      <c r="J802" s="396"/>
      <c r="K802" s="399"/>
      <c r="L802" s="396"/>
      <c r="M802" s="396"/>
      <c r="N802" s="396"/>
      <c r="O802" s="396"/>
      <c r="P802" s="396"/>
      <c r="Q802" s="396"/>
      <c r="R802" s="396"/>
      <c r="S802" s="79"/>
      <c r="T802" s="79"/>
      <c r="U802" s="79"/>
      <c r="V802" s="79"/>
      <c r="W802" s="79"/>
      <c r="X802" s="79"/>
      <c r="Y802" s="79"/>
      <c r="Z802" s="79"/>
    </row>
    <row r="803" spans="1:26" ht="15.75" customHeight="1" x14ac:dyDescent="0.25">
      <c r="A803" s="79"/>
      <c r="B803" s="79"/>
      <c r="C803" s="400"/>
      <c r="D803" s="400"/>
      <c r="E803" s="400"/>
      <c r="F803" s="400"/>
      <c r="G803" s="79"/>
      <c r="H803" s="79"/>
      <c r="I803" s="79"/>
      <c r="J803" s="396"/>
      <c r="K803" s="399"/>
      <c r="L803" s="396"/>
      <c r="M803" s="396"/>
      <c r="N803" s="396"/>
      <c r="O803" s="396"/>
      <c r="P803" s="396"/>
      <c r="Q803" s="396"/>
      <c r="R803" s="396"/>
      <c r="S803" s="79"/>
      <c r="T803" s="79"/>
      <c r="U803" s="79"/>
      <c r="V803" s="79"/>
      <c r="W803" s="79"/>
      <c r="X803" s="79"/>
      <c r="Y803" s="79"/>
      <c r="Z803" s="79"/>
    </row>
    <row r="804" spans="1:26" ht="15.75" customHeight="1" x14ac:dyDescent="0.25">
      <c r="A804" s="79"/>
      <c r="B804" s="79"/>
      <c r="C804" s="400"/>
      <c r="D804" s="400"/>
      <c r="E804" s="400"/>
      <c r="F804" s="400"/>
      <c r="G804" s="79"/>
      <c r="H804" s="79"/>
      <c r="I804" s="79"/>
      <c r="J804" s="396"/>
      <c r="K804" s="399"/>
      <c r="L804" s="396"/>
      <c r="M804" s="396"/>
      <c r="N804" s="396"/>
      <c r="O804" s="396"/>
      <c r="P804" s="396"/>
      <c r="Q804" s="396"/>
      <c r="R804" s="396"/>
      <c r="S804" s="79"/>
      <c r="T804" s="79"/>
      <c r="U804" s="79"/>
      <c r="V804" s="79"/>
      <c r="W804" s="79"/>
      <c r="X804" s="79"/>
      <c r="Y804" s="79"/>
      <c r="Z804" s="79"/>
    </row>
    <row r="805" spans="1:26" ht="15.75" customHeight="1" x14ac:dyDescent="0.25">
      <c r="A805" s="79"/>
      <c r="B805" s="79"/>
      <c r="C805" s="400"/>
      <c r="D805" s="400"/>
      <c r="E805" s="400"/>
      <c r="F805" s="400"/>
      <c r="G805" s="79"/>
      <c r="H805" s="79"/>
      <c r="I805" s="79"/>
      <c r="J805" s="396"/>
      <c r="K805" s="399"/>
      <c r="L805" s="396"/>
      <c r="M805" s="396"/>
      <c r="N805" s="396"/>
      <c r="O805" s="396"/>
      <c r="P805" s="396"/>
      <c r="Q805" s="396"/>
      <c r="R805" s="396"/>
      <c r="S805" s="79"/>
      <c r="T805" s="79"/>
      <c r="U805" s="79"/>
      <c r="V805" s="79"/>
      <c r="W805" s="79"/>
      <c r="X805" s="79"/>
      <c r="Y805" s="79"/>
      <c r="Z805" s="79"/>
    </row>
    <row r="806" spans="1:26" ht="15.75" customHeight="1" x14ac:dyDescent="0.25">
      <c r="A806" s="79"/>
      <c r="B806" s="79"/>
      <c r="C806" s="400"/>
      <c r="D806" s="400"/>
      <c r="E806" s="400"/>
      <c r="F806" s="400"/>
      <c r="G806" s="79"/>
      <c r="H806" s="79"/>
      <c r="I806" s="79"/>
      <c r="J806" s="396"/>
      <c r="K806" s="399"/>
      <c r="L806" s="396"/>
      <c r="M806" s="396"/>
      <c r="N806" s="396"/>
      <c r="O806" s="396"/>
      <c r="P806" s="396"/>
      <c r="Q806" s="396"/>
      <c r="R806" s="396"/>
      <c r="S806" s="79"/>
      <c r="T806" s="79"/>
      <c r="U806" s="79"/>
      <c r="V806" s="79"/>
      <c r="W806" s="79"/>
      <c r="X806" s="79"/>
      <c r="Y806" s="79"/>
      <c r="Z806" s="79"/>
    </row>
    <row r="807" spans="1:26" ht="15.75" customHeight="1" x14ac:dyDescent="0.25">
      <c r="A807" s="79"/>
      <c r="B807" s="79"/>
      <c r="C807" s="400"/>
      <c r="D807" s="400"/>
      <c r="E807" s="400"/>
      <c r="F807" s="400"/>
      <c r="G807" s="79"/>
      <c r="H807" s="79"/>
      <c r="I807" s="79"/>
      <c r="J807" s="396"/>
      <c r="K807" s="399"/>
      <c r="L807" s="396"/>
      <c r="M807" s="396"/>
      <c r="N807" s="396"/>
      <c r="O807" s="396"/>
      <c r="P807" s="396"/>
      <c r="Q807" s="396"/>
      <c r="R807" s="396"/>
      <c r="S807" s="79"/>
      <c r="T807" s="79"/>
      <c r="U807" s="79"/>
      <c r="V807" s="79"/>
      <c r="W807" s="79"/>
      <c r="X807" s="79"/>
      <c r="Y807" s="79"/>
      <c r="Z807" s="79"/>
    </row>
    <row r="808" spans="1:26" ht="15.75" customHeight="1" x14ac:dyDescent="0.25">
      <c r="A808" s="79"/>
      <c r="B808" s="79"/>
      <c r="C808" s="400"/>
      <c r="D808" s="400"/>
      <c r="E808" s="400"/>
      <c r="F808" s="400"/>
      <c r="G808" s="79"/>
      <c r="H808" s="79"/>
      <c r="I808" s="79"/>
      <c r="J808" s="396"/>
      <c r="K808" s="399"/>
      <c r="L808" s="396"/>
      <c r="M808" s="396"/>
      <c r="N808" s="396"/>
      <c r="O808" s="396"/>
      <c r="P808" s="396"/>
      <c r="Q808" s="396"/>
      <c r="R808" s="396"/>
      <c r="S808" s="79"/>
      <c r="T808" s="79"/>
      <c r="U808" s="79"/>
      <c r="V808" s="79"/>
      <c r="W808" s="79"/>
      <c r="X808" s="79"/>
      <c r="Y808" s="79"/>
      <c r="Z808" s="79"/>
    </row>
    <row r="809" spans="1:26" ht="15.75" customHeight="1" x14ac:dyDescent="0.25">
      <c r="A809" s="79"/>
      <c r="B809" s="79"/>
      <c r="C809" s="400"/>
      <c r="D809" s="400"/>
      <c r="E809" s="400"/>
      <c r="F809" s="400"/>
      <c r="G809" s="79"/>
      <c r="H809" s="79"/>
      <c r="I809" s="79"/>
      <c r="J809" s="396"/>
      <c r="K809" s="399"/>
      <c r="L809" s="396"/>
      <c r="M809" s="396"/>
      <c r="N809" s="396"/>
      <c r="O809" s="396"/>
      <c r="P809" s="396"/>
      <c r="Q809" s="396"/>
      <c r="R809" s="396"/>
      <c r="S809" s="79"/>
      <c r="T809" s="79"/>
      <c r="U809" s="79"/>
      <c r="V809" s="79"/>
      <c r="W809" s="79"/>
      <c r="X809" s="79"/>
      <c r="Y809" s="79"/>
      <c r="Z809" s="79"/>
    </row>
    <row r="810" spans="1:26" ht="15.75" customHeight="1" x14ac:dyDescent="0.25">
      <c r="A810" s="79"/>
      <c r="B810" s="79"/>
      <c r="C810" s="400"/>
      <c r="D810" s="400"/>
      <c r="E810" s="400"/>
      <c r="F810" s="400"/>
      <c r="G810" s="79"/>
      <c r="H810" s="79"/>
      <c r="I810" s="79"/>
      <c r="J810" s="396"/>
      <c r="K810" s="399"/>
      <c r="L810" s="396"/>
      <c r="M810" s="396"/>
      <c r="N810" s="396"/>
      <c r="O810" s="396"/>
      <c r="P810" s="396"/>
      <c r="Q810" s="396"/>
      <c r="R810" s="396"/>
      <c r="S810" s="79"/>
      <c r="T810" s="79"/>
      <c r="U810" s="79"/>
      <c r="V810" s="79"/>
      <c r="W810" s="79"/>
      <c r="X810" s="79"/>
      <c r="Y810" s="79"/>
      <c r="Z810" s="79"/>
    </row>
    <row r="811" spans="1:26" ht="15.75" customHeight="1" x14ac:dyDescent="0.25">
      <c r="A811" s="79"/>
      <c r="B811" s="79"/>
      <c r="C811" s="400"/>
      <c r="D811" s="400"/>
      <c r="E811" s="400"/>
      <c r="F811" s="400"/>
      <c r="G811" s="79"/>
      <c r="H811" s="79"/>
      <c r="I811" s="79"/>
      <c r="J811" s="396"/>
      <c r="K811" s="399"/>
      <c r="L811" s="396"/>
      <c r="M811" s="396"/>
      <c r="N811" s="396"/>
      <c r="O811" s="396"/>
      <c r="P811" s="396"/>
      <c r="Q811" s="396"/>
      <c r="R811" s="396"/>
      <c r="S811" s="79"/>
      <c r="T811" s="79"/>
      <c r="U811" s="79"/>
      <c r="V811" s="79"/>
      <c r="W811" s="79"/>
      <c r="X811" s="79"/>
      <c r="Y811" s="79"/>
      <c r="Z811" s="79"/>
    </row>
    <row r="812" spans="1:26" ht="15.75" customHeight="1" x14ac:dyDescent="0.25">
      <c r="A812" s="79"/>
      <c r="B812" s="79"/>
      <c r="C812" s="400"/>
      <c r="D812" s="400"/>
      <c r="E812" s="400"/>
      <c r="F812" s="400"/>
      <c r="G812" s="79"/>
      <c r="H812" s="79"/>
      <c r="I812" s="79"/>
      <c r="J812" s="396"/>
      <c r="K812" s="399"/>
      <c r="L812" s="396"/>
      <c r="M812" s="396"/>
      <c r="N812" s="396"/>
      <c r="O812" s="396"/>
      <c r="P812" s="396"/>
      <c r="Q812" s="396"/>
      <c r="R812" s="396"/>
      <c r="S812" s="79"/>
      <c r="T812" s="79"/>
      <c r="U812" s="79"/>
      <c r="V812" s="79"/>
      <c r="W812" s="79"/>
      <c r="X812" s="79"/>
      <c r="Y812" s="79"/>
      <c r="Z812" s="79"/>
    </row>
    <row r="813" spans="1:26" ht="15.75" customHeight="1" x14ac:dyDescent="0.25">
      <c r="A813" s="79"/>
      <c r="B813" s="79"/>
      <c r="C813" s="400"/>
      <c r="D813" s="400"/>
      <c r="E813" s="400"/>
      <c r="F813" s="400"/>
      <c r="G813" s="79"/>
      <c r="H813" s="79"/>
      <c r="I813" s="79"/>
      <c r="J813" s="396"/>
      <c r="K813" s="399"/>
      <c r="L813" s="396"/>
      <c r="M813" s="396"/>
      <c r="N813" s="396"/>
      <c r="O813" s="396"/>
      <c r="P813" s="396"/>
      <c r="Q813" s="396"/>
      <c r="R813" s="396"/>
      <c r="S813" s="79"/>
      <c r="T813" s="79"/>
      <c r="U813" s="79"/>
      <c r="V813" s="79"/>
      <c r="W813" s="79"/>
      <c r="X813" s="79"/>
      <c r="Y813" s="79"/>
      <c r="Z813" s="79"/>
    </row>
    <row r="814" spans="1:26" ht="15.75" customHeight="1" x14ac:dyDescent="0.25">
      <c r="A814" s="79"/>
      <c r="B814" s="79"/>
      <c r="C814" s="400"/>
      <c r="D814" s="400"/>
      <c r="E814" s="400"/>
      <c r="F814" s="400"/>
      <c r="G814" s="79"/>
      <c r="H814" s="79"/>
      <c r="I814" s="79"/>
      <c r="J814" s="396"/>
      <c r="K814" s="399"/>
      <c r="L814" s="396"/>
      <c r="M814" s="396"/>
      <c r="N814" s="396"/>
      <c r="O814" s="396"/>
      <c r="P814" s="396"/>
      <c r="Q814" s="396"/>
      <c r="R814" s="396"/>
      <c r="S814" s="79"/>
      <c r="T814" s="79"/>
      <c r="U814" s="79"/>
      <c r="V814" s="79"/>
      <c r="W814" s="79"/>
      <c r="X814" s="79"/>
      <c r="Y814" s="79"/>
      <c r="Z814" s="79"/>
    </row>
    <row r="815" spans="1:26" ht="15.75" customHeight="1" x14ac:dyDescent="0.25">
      <c r="A815" s="79"/>
      <c r="B815" s="79"/>
      <c r="C815" s="400"/>
      <c r="D815" s="400"/>
      <c r="E815" s="400"/>
      <c r="F815" s="400"/>
      <c r="G815" s="79"/>
      <c r="H815" s="79"/>
      <c r="I815" s="79"/>
      <c r="J815" s="396"/>
      <c r="K815" s="399"/>
      <c r="L815" s="396"/>
      <c r="M815" s="396"/>
      <c r="N815" s="396"/>
      <c r="O815" s="396"/>
      <c r="P815" s="396"/>
      <c r="Q815" s="396"/>
      <c r="R815" s="396"/>
      <c r="S815" s="79"/>
      <c r="T815" s="79"/>
      <c r="U815" s="79"/>
      <c r="V815" s="79"/>
      <c r="W815" s="79"/>
      <c r="X815" s="79"/>
      <c r="Y815" s="79"/>
      <c r="Z815" s="79"/>
    </row>
    <row r="816" spans="1:26" ht="15.75" customHeight="1" x14ac:dyDescent="0.25">
      <c r="A816" s="79"/>
      <c r="B816" s="79"/>
      <c r="C816" s="400"/>
      <c r="D816" s="400"/>
      <c r="E816" s="400"/>
      <c r="F816" s="400"/>
      <c r="G816" s="79"/>
      <c r="H816" s="79"/>
      <c r="I816" s="79"/>
      <c r="J816" s="396"/>
      <c r="K816" s="399"/>
      <c r="L816" s="396"/>
      <c r="M816" s="396"/>
      <c r="N816" s="396"/>
      <c r="O816" s="396"/>
      <c r="P816" s="396"/>
      <c r="Q816" s="396"/>
      <c r="R816" s="396"/>
      <c r="S816" s="79"/>
      <c r="T816" s="79"/>
      <c r="U816" s="79"/>
      <c r="V816" s="79"/>
      <c r="W816" s="79"/>
      <c r="X816" s="79"/>
      <c r="Y816" s="79"/>
      <c r="Z816" s="79"/>
    </row>
    <row r="817" spans="1:26" ht="15.75" customHeight="1" x14ac:dyDescent="0.25">
      <c r="A817" s="79"/>
      <c r="B817" s="79"/>
      <c r="C817" s="400"/>
      <c r="D817" s="400"/>
      <c r="E817" s="400"/>
      <c r="F817" s="400"/>
      <c r="G817" s="79"/>
      <c r="H817" s="79"/>
      <c r="I817" s="79"/>
      <c r="J817" s="396"/>
      <c r="K817" s="399"/>
      <c r="L817" s="396"/>
      <c r="M817" s="396"/>
      <c r="N817" s="396"/>
      <c r="O817" s="396"/>
      <c r="P817" s="396"/>
      <c r="Q817" s="396"/>
      <c r="R817" s="396"/>
      <c r="S817" s="79"/>
      <c r="T817" s="79"/>
      <c r="U817" s="79"/>
      <c r="V817" s="79"/>
      <c r="W817" s="79"/>
      <c r="X817" s="79"/>
      <c r="Y817" s="79"/>
      <c r="Z817" s="79"/>
    </row>
    <row r="818" spans="1:26" ht="15.75" customHeight="1" x14ac:dyDescent="0.25">
      <c r="A818" s="79"/>
      <c r="B818" s="79"/>
      <c r="C818" s="400"/>
      <c r="D818" s="400"/>
      <c r="E818" s="400"/>
      <c r="F818" s="400"/>
      <c r="G818" s="79"/>
      <c r="H818" s="79"/>
      <c r="I818" s="79"/>
      <c r="J818" s="396"/>
      <c r="K818" s="399"/>
      <c r="L818" s="396"/>
      <c r="M818" s="396"/>
      <c r="N818" s="396"/>
      <c r="O818" s="396"/>
      <c r="P818" s="396"/>
      <c r="Q818" s="396"/>
      <c r="R818" s="396"/>
      <c r="S818" s="79"/>
      <c r="T818" s="79"/>
      <c r="U818" s="79"/>
      <c r="V818" s="79"/>
      <c r="W818" s="79"/>
      <c r="X818" s="79"/>
      <c r="Y818" s="79"/>
      <c r="Z818" s="79"/>
    </row>
    <row r="819" spans="1:26" ht="15.75" customHeight="1" x14ac:dyDescent="0.25">
      <c r="A819" s="79"/>
      <c r="B819" s="79"/>
      <c r="C819" s="400"/>
      <c r="D819" s="400"/>
      <c r="E819" s="400"/>
      <c r="F819" s="400"/>
      <c r="G819" s="79"/>
      <c r="H819" s="79"/>
      <c r="I819" s="79"/>
      <c r="J819" s="396"/>
      <c r="K819" s="399"/>
      <c r="L819" s="396"/>
      <c r="M819" s="396"/>
      <c r="N819" s="396"/>
      <c r="O819" s="396"/>
      <c r="P819" s="396"/>
      <c r="Q819" s="396"/>
      <c r="R819" s="396"/>
      <c r="S819" s="79"/>
      <c r="T819" s="79"/>
      <c r="U819" s="79"/>
      <c r="V819" s="79"/>
      <c r="W819" s="79"/>
      <c r="X819" s="79"/>
      <c r="Y819" s="79"/>
      <c r="Z819" s="79"/>
    </row>
    <row r="820" spans="1:26" ht="15.75" customHeight="1" x14ac:dyDescent="0.25">
      <c r="A820" s="79"/>
      <c r="B820" s="79"/>
      <c r="C820" s="400"/>
      <c r="D820" s="400"/>
      <c r="E820" s="400"/>
      <c r="F820" s="400"/>
      <c r="G820" s="79"/>
      <c r="H820" s="79"/>
      <c r="I820" s="79"/>
      <c r="J820" s="396"/>
      <c r="K820" s="399"/>
      <c r="L820" s="396"/>
      <c r="M820" s="396"/>
      <c r="N820" s="396"/>
      <c r="O820" s="396"/>
      <c r="P820" s="396"/>
      <c r="Q820" s="396"/>
      <c r="R820" s="396"/>
      <c r="S820" s="79"/>
      <c r="T820" s="79"/>
      <c r="U820" s="79"/>
      <c r="V820" s="79"/>
      <c r="W820" s="79"/>
      <c r="X820" s="79"/>
      <c r="Y820" s="79"/>
      <c r="Z820" s="79"/>
    </row>
    <row r="821" spans="1:26" ht="15.75" customHeight="1" x14ac:dyDescent="0.25">
      <c r="A821" s="79"/>
      <c r="B821" s="79"/>
      <c r="C821" s="400"/>
      <c r="D821" s="400"/>
      <c r="E821" s="400"/>
      <c r="F821" s="400"/>
      <c r="G821" s="79"/>
      <c r="H821" s="79"/>
      <c r="I821" s="79"/>
      <c r="J821" s="396"/>
      <c r="K821" s="399"/>
      <c r="L821" s="396"/>
      <c r="M821" s="396"/>
      <c r="N821" s="396"/>
      <c r="O821" s="396"/>
      <c r="P821" s="396"/>
      <c r="Q821" s="396"/>
      <c r="R821" s="396"/>
      <c r="S821" s="79"/>
      <c r="T821" s="79"/>
      <c r="U821" s="79"/>
      <c r="V821" s="79"/>
      <c r="W821" s="79"/>
      <c r="X821" s="79"/>
      <c r="Y821" s="79"/>
      <c r="Z821" s="79"/>
    </row>
    <row r="822" spans="1:26" ht="15.75" customHeight="1" x14ac:dyDescent="0.25">
      <c r="A822" s="79"/>
      <c r="B822" s="79"/>
      <c r="C822" s="400"/>
      <c r="D822" s="400"/>
      <c r="E822" s="400"/>
      <c r="F822" s="400"/>
      <c r="G822" s="79"/>
      <c r="H822" s="79"/>
      <c r="I822" s="79"/>
      <c r="J822" s="396"/>
      <c r="K822" s="399"/>
      <c r="L822" s="396"/>
      <c r="M822" s="396"/>
      <c r="N822" s="396"/>
      <c r="O822" s="396"/>
      <c r="P822" s="396"/>
      <c r="Q822" s="396"/>
      <c r="R822" s="396"/>
      <c r="S822" s="79"/>
      <c r="T822" s="79"/>
      <c r="U822" s="79"/>
      <c r="V822" s="79"/>
      <c r="W822" s="79"/>
      <c r="X822" s="79"/>
      <c r="Y822" s="79"/>
      <c r="Z822" s="79"/>
    </row>
    <row r="823" spans="1:26" ht="15.75" customHeight="1" x14ac:dyDescent="0.25">
      <c r="A823" s="79"/>
      <c r="B823" s="79"/>
      <c r="C823" s="400"/>
      <c r="D823" s="400"/>
      <c r="E823" s="400"/>
      <c r="F823" s="400"/>
      <c r="G823" s="79"/>
      <c r="H823" s="79"/>
      <c r="I823" s="79"/>
      <c r="J823" s="396"/>
      <c r="K823" s="399"/>
      <c r="L823" s="396"/>
      <c r="M823" s="396"/>
      <c r="N823" s="396"/>
      <c r="O823" s="396"/>
      <c r="P823" s="396"/>
      <c r="Q823" s="396"/>
      <c r="R823" s="396"/>
      <c r="S823" s="79"/>
      <c r="T823" s="79"/>
      <c r="U823" s="79"/>
      <c r="V823" s="79"/>
      <c r="W823" s="79"/>
      <c r="X823" s="79"/>
      <c r="Y823" s="79"/>
      <c r="Z823" s="79"/>
    </row>
    <row r="824" spans="1:26" ht="15.75" customHeight="1" x14ac:dyDescent="0.25">
      <c r="A824" s="79"/>
      <c r="B824" s="79"/>
      <c r="C824" s="400"/>
      <c r="D824" s="400"/>
      <c r="E824" s="400"/>
      <c r="F824" s="400"/>
      <c r="G824" s="79"/>
      <c r="H824" s="79"/>
      <c r="I824" s="79"/>
      <c r="J824" s="396"/>
      <c r="K824" s="399"/>
      <c r="L824" s="396"/>
      <c r="M824" s="396"/>
      <c r="N824" s="396"/>
      <c r="O824" s="396"/>
      <c r="P824" s="396"/>
      <c r="Q824" s="396"/>
      <c r="R824" s="396"/>
      <c r="S824" s="79"/>
      <c r="T824" s="79"/>
      <c r="U824" s="79"/>
      <c r="V824" s="79"/>
      <c r="W824" s="79"/>
      <c r="X824" s="79"/>
      <c r="Y824" s="79"/>
      <c r="Z824" s="79"/>
    </row>
    <row r="825" spans="1:26" ht="15.75" customHeight="1" x14ac:dyDescent="0.25">
      <c r="A825" s="79"/>
      <c r="B825" s="79"/>
      <c r="C825" s="400"/>
      <c r="D825" s="400"/>
      <c r="E825" s="400"/>
      <c r="F825" s="400"/>
      <c r="G825" s="79"/>
      <c r="H825" s="79"/>
      <c r="I825" s="79"/>
      <c r="J825" s="396"/>
      <c r="K825" s="399"/>
      <c r="L825" s="396"/>
      <c r="M825" s="396"/>
      <c r="N825" s="396"/>
      <c r="O825" s="396"/>
      <c r="P825" s="396"/>
      <c r="Q825" s="396"/>
      <c r="R825" s="396"/>
      <c r="S825" s="79"/>
      <c r="T825" s="79"/>
      <c r="U825" s="79"/>
      <c r="V825" s="79"/>
      <c r="W825" s="79"/>
      <c r="X825" s="79"/>
      <c r="Y825" s="79"/>
      <c r="Z825" s="79"/>
    </row>
    <row r="826" spans="1:26" ht="15.75" customHeight="1" x14ac:dyDescent="0.25">
      <c r="A826" s="79"/>
      <c r="B826" s="79"/>
      <c r="C826" s="400"/>
      <c r="D826" s="400"/>
      <c r="E826" s="400"/>
      <c r="F826" s="400"/>
      <c r="G826" s="79"/>
      <c r="H826" s="79"/>
      <c r="I826" s="79"/>
      <c r="J826" s="396"/>
      <c r="K826" s="399"/>
      <c r="L826" s="396"/>
      <c r="M826" s="396"/>
      <c r="N826" s="396"/>
      <c r="O826" s="396"/>
      <c r="P826" s="396"/>
      <c r="Q826" s="396"/>
      <c r="R826" s="396"/>
      <c r="S826" s="79"/>
      <c r="T826" s="79"/>
      <c r="U826" s="79"/>
      <c r="V826" s="79"/>
      <c r="W826" s="79"/>
      <c r="X826" s="79"/>
      <c r="Y826" s="79"/>
      <c r="Z826" s="79"/>
    </row>
    <row r="827" spans="1:26" ht="15.75" customHeight="1" x14ac:dyDescent="0.25">
      <c r="A827" s="79"/>
      <c r="B827" s="79"/>
      <c r="C827" s="400"/>
      <c r="D827" s="400"/>
      <c r="E827" s="400"/>
      <c r="F827" s="400"/>
      <c r="G827" s="79"/>
      <c r="H827" s="79"/>
      <c r="I827" s="79"/>
      <c r="J827" s="396"/>
      <c r="K827" s="399"/>
      <c r="L827" s="396"/>
      <c r="M827" s="396"/>
      <c r="N827" s="396"/>
      <c r="O827" s="396"/>
      <c r="P827" s="396"/>
      <c r="Q827" s="396"/>
      <c r="R827" s="396"/>
      <c r="S827" s="79"/>
      <c r="T827" s="79"/>
      <c r="U827" s="79"/>
      <c r="V827" s="79"/>
      <c r="W827" s="79"/>
      <c r="X827" s="79"/>
      <c r="Y827" s="79"/>
      <c r="Z827" s="79"/>
    </row>
    <row r="828" spans="1:26" ht="15.75" customHeight="1" x14ac:dyDescent="0.25">
      <c r="A828" s="79"/>
      <c r="B828" s="79"/>
      <c r="C828" s="400"/>
      <c r="D828" s="400"/>
      <c r="E828" s="400"/>
      <c r="F828" s="400"/>
      <c r="G828" s="79"/>
      <c r="H828" s="79"/>
      <c r="I828" s="79"/>
      <c r="J828" s="396"/>
      <c r="K828" s="399"/>
      <c r="L828" s="396"/>
      <c r="M828" s="396"/>
      <c r="N828" s="396"/>
      <c r="O828" s="396"/>
      <c r="P828" s="396"/>
      <c r="Q828" s="396"/>
      <c r="R828" s="396"/>
      <c r="S828" s="79"/>
      <c r="T828" s="79"/>
      <c r="U828" s="79"/>
      <c r="V828" s="79"/>
      <c r="W828" s="79"/>
      <c r="X828" s="79"/>
      <c r="Y828" s="79"/>
      <c r="Z828" s="79"/>
    </row>
    <row r="829" spans="1:26" ht="15.75" customHeight="1" x14ac:dyDescent="0.25">
      <c r="A829" s="79"/>
      <c r="B829" s="79"/>
      <c r="C829" s="400"/>
      <c r="D829" s="400"/>
      <c r="E829" s="400"/>
      <c r="F829" s="400"/>
      <c r="G829" s="79"/>
      <c r="H829" s="79"/>
      <c r="I829" s="79"/>
      <c r="J829" s="396"/>
      <c r="K829" s="399"/>
      <c r="L829" s="396"/>
      <c r="M829" s="396"/>
      <c r="N829" s="396"/>
      <c r="O829" s="396"/>
      <c r="P829" s="396"/>
      <c r="Q829" s="396"/>
      <c r="R829" s="396"/>
      <c r="S829" s="79"/>
      <c r="T829" s="79"/>
      <c r="U829" s="79"/>
      <c r="V829" s="79"/>
      <c r="W829" s="79"/>
      <c r="X829" s="79"/>
      <c r="Y829" s="79"/>
      <c r="Z829" s="79"/>
    </row>
    <row r="830" spans="1:26" ht="15.75" customHeight="1" x14ac:dyDescent="0.25">
      <c r="A830" s="79"/>
      <c r="B830" s="79"/>
      <c r="C830" s="400"/>
      <c r="D830" s="400"/>
      <c r="E830" s="400"/>
      <c r="F830" s="400"/>
      <c r="G830" s="79"/>
      <c r="H830" s="79"/>
      <c r="I830" s="79"/>
      <c r="J830" s="396"/>
      <c r="K830" s="399"/>
      <c r="L830" s="396"/>
      <c r="M830" s="396"/>
      <c r="N830" s="396"/>
      <c r="O830" s="396"/>
      <c r="P830" s="396"/>
      <c r="Q830" s="396"/>
      <c r="R830" s="396"/>
      <c r="S830" s="79"/>
      <c r="T830" s="79"/>
      <c r="U830" s="79"/>
      <c r="V830" s="79"/>
      <c r="W830" s="79"/>
      <c r="X830" s="79"/>
      <c r="Y830" s="79"/>
      <c r="Z830" s="79"/>
    </row>
    <row r="831" spans="1:26" ht="15.75" customHeight="1" x14ac:dyDescent="0.25">
      <c r="A831" s="79"/>
      <c r="B831" s="79"/>
      <c r="C831" s="400"/>
      <c r="D831" s="400"/>
      <c r="E831" s="400"/>
      <c r="F831" s="400"/>
      <c r="G831" s="79"/>
      <c r="H831" s="79"/>
      <c r="I831" s="79"/>
      <c r="J831" s="396"/>
      <c r="K831" s="399"/>
      <c r="L831" s="396"/>
      <c r="M831" s="396"/>
      <c r="N831" s="396"/>
      <c r="O831" s="396"/>
      <c r="P831" s="396"/>
      <c r="Q831" s="396"/>
      <c r="R831" s="396"/>
      <c r="S831" s="79"/>
      <c r="T831" s="79"/>
      <c r="U831" s="79"/>
      <c r="V831" s="79"/>
      <c r="W831" s="79"/>
      <c r="X831" s="79"/>
      <c r="Y831" s="79"/>
      <c r="Z831" s="79"/>
    </row>
    <row r="832" spans="1:26" ht="15.75" customHeight="1" x14ac:dyDescent="0.25">
      <c r="A832" s="79"/>
      <c r="B832" s="79"/>
      <c r="C832" s="400"/>
      <c r="D832" s="400"/>
      <c r="E832" s="400"/>
      <c r="F832" s="400"/>
      <c r="G832" s="79"/>
      <c r="H832" s="79"/>
      <c r="I832" s="79"/>
      <c r="J832" s="396"/>
      <c r="K832" s="399"/>
      <c r="L832" s="396"/>
      <c r="M832" s="396"/>
      <c r="N832" s="396"/>
      <c r="O832" s="396"/>
      <c r="P832" s="396"/>
      <c r="Q832" s="396"/>
      <c r="R832" s="396"/>
      <c r="S832" s="79"/>
      <c r="T832" s="79"/>
      <c r="U832" s="79"/>
      <c r="V832" s="79"/>
      <c r="W832" s="79"/>
      <c r="X832" s="79"/>
      <c r="Y832" s="79"/>
      <c r="Z832" s="79"/>
    </row>
    <row r="833" spans="1:26" ht="15.75" customHeight="1" x14ac:dyDescent="0.25">
      <c r="A833" s="79"/>
      <c r="B833" s="79"/>
      <c r="C833" s="400"/>
      <c r="D833" s="400"/>
      <c r="E833" s="400"/>
      <c r="F833" s="400"/>
      <c r="G833" s="79"/>
      <c r="H833" s="79"/>
      <c r="I833" s="79"/>
      <c r="J833" s="396"/>
      <c r="K833" s="399"/>
      <c r="L833" s="396"/>
      <c r="M833" s="396"/>
      <c r="N833" s="396"/>
      <c r="O833" s="396"/>
      <c r="P833" s="396"/>
      <c r="Q833" s="396"/>
      <c r="R833" s="396"/>
      <c r="S833" s="79"/>
      <c r="T833" s="79"/>
      <c r="U833" s="79"/>
      <c r="V833" s="79"/>
      <c r="W833" s="79"/>
      <c r="X833" s="79"/>
      <c r="Y833" s="79"/>
      <c r="Z833" s="79"/>
    </row>
    <row r="834" spans="1:26" ht="15.75" customHeight="1" x14ac:dyDescent="0.25">
      <c r="A834" s="79"/>
      <c r="B834" s="79"/>
      <c r="C834" s="400"/>
      <c r="D834" s="400"/>
      <c r="E834" s="400"/>
      <c r="F834" s="400"/>
      <c r="G834" s="79"/>
      <c r="H834" s="79"/>
      <c r="I834" s="79"/>
      <c r="J834" s="396"/>
      <c r="K834" s="399"/>
      <c r="L834" s="396"/>
      <c r="M834" s="396"/>
      <c r="N834" s="396"/>
      <c r="O834" s="396"/>
      <c r="P834" s="396"/>
      <c r="Q834" s="396"/>
      <c r="R834" s="396"/>
      <c r="S834" s="79"/>
      <c r="T834" s="79"/>
      <c r="U834" s="79"/>
      <c r="V834" s="79"/>
      <c r="W834" s="79"/>
      <c r="X834" s="79"/>
      <c r="Y834" s="79"/>
      <c r="Z834" s="79"/>
    </row>
    <row r="835" spans="1:26" ht="15.75" customHeight="1" x14ac:dyDescent="0.25">
      <c r="A835" s="79"/>
      <c r="B835" s="79"/>
      <c r="C835" s="400"/>
      <c r="D835" s="400"/>
      <c r="E835" s="400"/>
      <c r="F835" s="400"/>
      <c r="G835" s="79"/>
      <c r="H835" s="79"/>
      <c r="I835" s="79"/>
      <c r="J835" s="396"/>
      <c r="K835" s="399"/>
      <c r="L835" s="396"/>
      <c r="M835" s="396"/>
      <c r="N835" s="396"/>
      <c r="O835" s="396"/>
      <c r="P835" s="396"/>
      <c r="Q835" s="396"/>
      <c r="R835" s="396"/>
      <c r="S835" s="79"/>
      <c r="T835" s="79"/>
      <c r="U835" s="79"/>
      <c r="V835" s="79"/>
      <c r="W835" s="79"/>
      <c r="X835" s="79"/>
      <c r="Y835" s="79"/>
      <c r="Z835" s="79"/>
    </row>
    <row r="836" spans="1:26" ht="15.75" customHeight="1" x14ac:dyDescent="0.25">
      <c r="A836" s="79"/>
      <c r="B836" s="79"/>
      <c r="C836" s="400"/>
      <c r="D836" s="400"/>
      <c r="E836" s="400"/>
      <c r="F836" s="400"/>
      <c r="G836" s="79"/>
      <c r="H836" s="79"/>
      <c r="I836" s="79"/>
      <c r="J836" s="396"/>
      <c r="K836" s="399"/>
      <c r="L836" s="396"/>
      <c r="M836" s="396"/>
      <c r="N836" s="396"/>
      <c r="O836" s="396"/>
      <c r="P836" s="396"/>
      <c r="Q836" s="396"/>
      <c r="R836" s="396"/>
      <c r="S836" s="79"/>
      <c r="T836" s="79"/>
      <c r="U836" s="79"/>
      <c r="V836" s="79"/>
      <c r="W836" s="79"/>
      <c r="X836" s="79"/>
      <c r="Y836" s="79"/>
      <c r="Z836" s="79"/>
    </row>
    <row r="837" spans="1:26" ht="15.75" customHeight="1" x14ac:dyDescent="0.25">
      <c r="A837" s="79"/>
      <c r="B837" s="79"/>
      <c r="C837" s="400"/>
      <c r="D837" s="400"/>
      <c r="E837" s="400"/>
      <c r="F837" s="400"/>
      <c r="G837" s="79"/>
      <c r="H837" s="79"/>
      <c r="I837" s="79"/>
      <c r="J837" s="396"/>
      <c r="K837" s="399"/>
      <c r="L837" s="396"/>
      <c r="M837" s="396"/>
      <c r="N837" s="396"/>
      <c r="O837" s="396"/>
      <c r="P837" s="396"/>
      <c r="Q837" s="396"/>
      <c r="R837" s="396"/>
      <c r="S837" s="79"/>
      <c r="T837" s="79"/>
      <c r="U837" s="79"/>
      <c r="V837" s="79"/>
      <c r="W837" s="79"/>
      <c r="X837" s="79"/>
      <c r="Y837" s="79"/>
      <c r="Z837" s="79"/>
    </row>
    <row r="838" spans="1:26" ht="15.75" customHeight="1" x14ac:dyDescent="0.25">
      <c r="A838" s="79"/>
      <c r="B838" s="79"/>
      <c r="C838" s="400"/>
      <c r="D838" s="400"/>
      <c r="E838" s="400"/>
      <c r="F838" s="400"/>
      <c r="G838" s="79"/>
      <c r="H838" s="79"/>
      <c r="I838" s="79"/>
      <c r="J838" s="396"/>
      <c r="K838" s="399"/>
      <c r="L838" s="396"/>
      <c r="M838" s="396"/>
      <c r="N838" s="396"/>
      <c r="O838" s="396"/>
      <c r="P838" s="396"/>
      <c r="Q838" s="396"/>
      <c r="R838" s="396"/>
      <c r="S838" s="79"/>
      <c r="T838" s="79"/>
      <c r="U838" s="79"/>
      <c r="V838" s="79"/>
      <c r="W838" s="79"/>
      <c r="X838" s="79"/>
      <c r="Y838" s="79"/>
      <c r="Z838" s="79"/>
    </row>
    <row r="839" spans="1:26" ht="15.75" customHeight="1" x14ac:dyDescent="0.25">
      <c r="A839" s="79"/>
      <c r="B839" s="79"/>
      <c r="C839" s="400"/>
      <c r="D839" s="400"/>
      <c r="E839" s="400"/>
      <c r="F839" s="400"/>
      <c r="G839" s="79"/>
      <c r="H839" s="79"/>
      <c r="I839" s="79"/>
      <c r="J839" s="396"/>
      <c r="K839" s="399"/>
      <c r="L839" s="396"/>
      <c r="M839" s="396"/>
      <c r="N839" s="396"/>
      <c r="O839" s="396"/>
      <c r="P839" s="396"/>
      <c r="Q839" s="396"/>
      <c r="R839" s="396"/>
      <c r="S839" s="79"/>
      <c r="T839" s="79"/>
      <c r="U839" s="79"/>
      <c r="V839" s="79"/>
      <c r="W839" s="79"/>
      <c r="X839" s="79"/>
      <c r="Y839" s="79"/>
      <c r="Z839" s="79"/>
    </row>
    <row r="840" spans="1:26" ht="15.75" customHeight="1" x14ac:dyDescent="0.25">
      <c r="A840" s="79"/>
      <c r="B840" s="79"/>
      <c r="C840" s="400"/>
      <c r="D840" s="400"/>
      <c r="E840" s="400"/>
      <c r="F840" s="400"/>
      <c r="G840" s="79"/>
      <c r="H840" s="79"/>
      <c r="I840" s="79"/>
      <c r="J840" s="396"/>
      <c r="K840" s="399"/>
      <c r="L840" s="396"/>
      <c r="M840" s="396"/>
      <c r="N840" s="396"/>
      <c r="O840" s="396"/>
      <c r="P840" s="396"/>
      <c r="Q840" s="396"/>
      <c r="R840" s="396"/>
      <c r="S840" s="79"/>
      <c r="T840" s="79"/>
      <c r="U840" s="79"/>
      <c r="V840" s="79"/>
      <c r="W840" s="79"/>
      <c r="X840" s="79"/>
      <c r="Y840" s="79"/>
      <c r="Z840" s="79"/>
    </row>
    <row r="841" spans="1:26" ht="15.75" customHeight="1" x14ac:dyDescent="0.25">
      <c r="A841" s="79"/>
      <c r="B841" s="79"/>
      <c r="C841" s="400"/>
      <c r="D841" s="400"/>
      <c r="E841" s="400"/>
      <c r="F841" s="400"/>
      <c r="G841" s="79"/>
      <c r="H841" s="79"/>
      <c r="I841" s="79"/>
      <c r="J841" s="396"/>
      <c r="K841" s="399"/>
      <c r="L841" s="396"/>
      <c r="M841" s="396"/>
      <c r="N841" s="396"/>
      <c r="O841" s="396"/>
      <c r="P841" s="396"/>
      <c r="Q841" s="396"/>
      <c r="R841" s="396"/>
      <c r="S841" s="79"/>
      <c r="T841" s="79"/>
      <c r="U841" s="79"/>
      <c r="V841" s="79"/>
      <c r="W841" s="79"/>
      <c r="X841" s="79"/>
      <c r="Y841" s="79"/>
      <c r="Z841" s="79"/>
    </row>
    <row r="842" spans="1:26" ht="15.75" customHeight="1" x14ac:dyDescent="0.25">
      <c r="A842" s="79"/>
      <c r="B842" s="79"/>
      <c r="C842" s="400"/>
      <c r="D842" s="400"/>
      <c r="E842" s="400"/>
      <c r="F842" s="400"/>
      <c r="G842" s="79"/>
      <c r="H842" s="79"/>
      <c r="I842" s="79"/>
      <c r="J842" s="396"/>
      <c r="K842" s="399"/>
      <c r="L842" s="396"/>
      <c r="M842" s="396"/>
      <c r="N842" s="396"/>
      <c r="O842" s="396"/>
      <c r="P842" s="396"/>
      <c r="Q842" s="396"/>
      <c r="R842" s="396"/>
      <c r="S842" s="79"/>
      <c r="T842" s="79"/>
      <c r="U842" s="79"/>
      <c r="V842" s="79"/>
      <c r="W842" s="79"/>
      <c r="X842" s="79"/>
      <c r="Y842" s="79"/>
      <c r="Z842" s="79"/>
    </row>
    <row r="843" spans="1:26" ht="15.75" customHeight="1" x14ac:dyDescent="0.25">
      <c r="A843" s="79"/>
      <c r="B843" s="79"/>
      <c r="C843" s="400"/>
      <c r="D843" s="400"/>
      <c r="E843" s="400"/>
      <c r="F843" s="400"/>
      <c r="G843" s="79"/>
      <c r="H843" s="79"/>
      <c r="I843" s="79"/>
      <c r="J843" s="396"/>
      <c r="K843" s="399"/>
      <c r="L843" s="396"/>
      <c r="M843" s="396"/>
      <c r="N843" s="396"/>
      <c r="O843" s="396"/>
      <c r="P843" s="396"/>
      <c r="Q843" s="396"/>
      <c r="R843" s="396"/>
      <c r="S843" s="79"/>
      <c r="T843" s="79"/>
      <c r="U843" s="79"/>
      <c r="V843" s="79"/>
      <c r="W843" s="79"/>
      <c r="X843" s="79"/>
      <c r="Y843" s="79"/>
      <c r="Z843" s="79"/>
    </row>
    <row r="844" spans="1:26" ht="15.75" customHeight="1" x14ac:dyDescent="0.25">
      <c r="A844" s="79"/>
      <c r="B844" s="79"/>
      <c r="C844" s="400"/>
      <c r="D844" s="400"/>
      <c r="E844" s="400"/>
      <c r="F844" s="400"/>
      <c r="G844" s="79"/>
      <c r="H844" s="79"/>
      <c r="I844" s="79"/>
      <c r="J844" s="396"/>
      <c r="K844" s="399"/>
      <c r="L844" s="396"/>
      <c r="M844" s="396"/>
      <c r="N844" s="396"/>
      <c r="O844" s="396"/>
      <c r="P844" s="396"/>
      <c r="Q844" s="396"/>
      <c r="R844" s="396"/>
      <c r="S844" s="79"/>
      <c r="T844" s="79"/>
      <c r="U844" s="79"/>
      <c r="V844" s="79"/>
      <c r="W844" s="79"/>
      <c r="X844" s="79"/>
      <c r="Y844" s="79"/>
      <c r="Z844" s="79"/>
    </row>
    <row r="845" spans="1:26" ht="15.75" customHeight="1" x14ac:dyDescent="0.25">
      <c r="A845" s="79"/>
      <c r="B845" s="79"/>
      <c r="C845" s="400"/>
      <c r="D845" s="400"/>
      <c r="E845" s="400"/>
      <c r="F845" s="400"/>
      <c r="G845" s="79"/>
      <c r="H845" s="79"/>
      <c r="I845" s="79"/>
      <c r="J845" s="396"/>
      <c r="K845" s="399"/>
      <c r="L845" s="396"/>
      <c r="M845" s="396"/>
      <c r="N845" s="396"/>
      <c r="O845" s="396"/>
      <c r="P845" s="396"/>
      <c r="Q845" s="396"/>
      <c r="R845" s="396"/>
      <c r="S845" s="79"/>
      <c r="T845" s="79"/>
      <c r="U845" s="79"/>
      <c r="V845" s="79"/>
      <c r="W845" s="79"/>
      <c r="X845" s="79"/>
      <c r="Y845" s="79"/>
      <c r="Z845" s="79"/>
    </row>
    <row r="846" spans="1:26" ht="15.75" customHeight="1" x14ac:dyDescent="0.25">
      <c r="A846" s="79"/>
      <c r="B846" s="79"/>
      <c r="C846" s="400"/>
      <c r="D846" s="400"/>
      <c r="E846" s="400"/>
      <c r="F846" s="400"/>
      <c r="G846" s="79"/>
      <c r="H846" s="79"/>
      <c r="I846" s="79"/>
      <c r="J846" s="396"/>
      <c r="K846" s="399"/>
      <c r="L846" s="396"/>
      <c r="M846" s="396"/>
      <c r="N846" s="396"/>
      <c r="O846" s="396"/>
      <c r="P846" s="396"/>
      <c r="Q846" s="396"/>
      <c r="R846" s="396"/>
      <c r="S846" s="79"/>
      <c r="T846" s="79"/>
      <c r="U846" s="79"/>
      <c r="V846" s="79"/>
      <c r="W846" s="79"/>
      <c r="X846" s="79"/>
      <c r="Y846" s="79"/>
      <c r="Z846" s="79"/>
    </row>
    <row r="847" spans="1:26" ht="15.75" customHeight="1" x14ac:dyDescent="0.25">
      <c r="A847" s="79"/>
      <c r="B847" s="79"/>
      <c r="C847" s="400"/>
      <c r="D847" s="400"/>
      <c r="E847" s="400"/>
      <c r="F847" s="400"/>
      <c r="G847" s="79"/>
      <c r="H847" s="79"/>
      <c r="I847" s="79"/>
      <c r="J847" s="396"/>
      <c r="K847" s="399"/>
      <c r="L847" s="396"/>
      <c r="M847" s="396"/>
      <c r="N847" s="396"/>
      <c r="O847" s="396"/>
      <c r="P847" s="396"/>
      <c r="Q847" s="396"/>
      <c r="R847" s="396"/>
      <c r="S847" s="79"/>
      <c r="T847" s="79"/>
      <c r="U847" s="79"/>
      <c r="V847" s="79"/>
      <c r="W847" s="79"/>
      <c r="X847" s="79"/>
      <c r="Y847" s="79"/>
      <c r="Z847" s="79"/>
    </row>
    <row r="848" spans="1:26" ht="15.75" customHeight="1" x14ac:dyDescent="0.25">
      <c r="A848" s="79"/>
      <c r="B848" s="79"/>
      <c r="C848" s="400"/>
      <c r="D848" s="400"/>
      <c r="E848" s="400"/>
      <c r="F848" s="400"/>
      <c r="G848" s="79"/>
      <c r="H848" s="79"/>
      <c r="I848" s="79"/>
      <c r="J848" s="396"/>
      <c r="K848" s="399"/>
      <c r="L848" s="396"/>
      <c r="M848" s="396"/>
      <c r="N848" s="396"/>
      <c r="O848" s="396"/>
      <c r="P848" s="396"/>
      <c r="Q848" s="396"/>
      <c r="R848" s="396"/>
      <c r="S848" s="79"/>
      <c r="T848" s="79"/>
      <c r="U848" s="79"/>
      <c r="V848" s="79"/>
      <c r="W848" s="79"/>
      <c r="X848" s="79"/>
      <c r="Y848" s="79"/>
      <c r="Z848" s="79"/>
    </row>
    <row r="849" spans="1:26" ht="15.75" customHeight="1" x14ac:dyDescent="0.25">
      <c r="A849" s="79"/>
      <c r="B849" s="79"/>
      <c r="C849" s="400"/>
      <c r="D849" s="400"/>
      <c r="E849" s="400"/>
      <c r="F849" s="400"/>
      <c r="G849" s="79"/>
      <c r="H849" s="79"/>
      <c r="I849" s="79"/>
      <c r="J849" s="396"/>
      <c r="K849" s="399"/>
      <c r="L849" s="396"/>
      <c r="M849" s="396"/>
      <c r="N849" s="396"/>
      <c r="O849" s="396"/>
      <c r="P849" s="396"/>
      <c r="Q849" s="396"/>
      <c r="R849" s="396"/>
      <c r="S849" s="79"/>
      <c r="T849" s="79"/>
      <c r="U849" s="79"/>
      <c r="V849" s="79"/>
      <c r="W849" s="79"/>
      <c r="X849" s="79"/>
      <c r="Y849" s="79"/>
      <c r="Z849" s="79"/>
    </row>
    <row r="850" spans="1:26" ht="15.75" customHeight="1" x14ac:dyDescent="0.25">
      <c r="A850" s="79"/>
      <c r="B850" s="79"/>
      <c r="C850" s="400"/>
      <c r="D850" s="400"/>
      <c r="E850" s="400"/>
      <c r="F850" s="400"/>
      <c r="G850" s="79"/>
      <c r="H850" s="79"/>
      <c r="I850" s="79"/>
      <c r="J850" s="396"/>
      <c r="K850" s="399"/>
      <c r="L850" s="396"/>
      <c r="M850" s="396"/>
      <c r="N850" s="396"/>
      <c r="O850" s="396"/>
      <c r="P850" s="396"/>
      <c r="Q850" s="396"/>
      <c r="R850" s="396"/>
      <c r="S850" s="79"/>
      <c r="T850" s="79"/>
      <c r="U850" s="79"/>
      <c r="V850" s="79"/>
      <c r="W850" s="79"/>
      <c r="X850" s="79"/>
      <c r="Y850" s="79"/>
      <c r="Z850" s="79"/>
    </row>
    <row r="851" spans="1:26" ht="15.75" customHeight="1" x14ac:dyDescent="0.25">
      <c r="A851" s="79"/>
      <c r="B851" s="79"/>
      <c r="C851" s="400"/>
      <c r="D851" s="400"/>
      <c r="E851" s="400"/>
      <c r="F851" s="400"/>
      <c r="G851" s="79"/>
      <c r="H851" s="79"/>
      <c r="I851" s="79"/>
      <c r="J851" s="396"/>
      <c r="K851" s="399"/>
      <c r="L851" s="396"/>
      <c r="M851" s="396"/>
      <c r="N851" s="396"/>
      <c r="O851" s="396"/>
      <c r="P851" s="396"/>
      <c r="Q851" s="396"/>
      <c r="R851" s="396"/>
      <c r="S851" s="79"/>
      <c r="T851" s="79"/>
      <c r="U851" s="79"/>
      <c r="V851" s="79"/>
      <c r="W851" s="79"/>
      <c r="X851" s="79"/>
      <c r="Y851" s="79"/>
      <c r="Z851" s="79"/>
    </row>
    <row r="852" spans="1:26" ht="15.75" customHeight="1" x14ac:dyDescent="0.25">
      <c r="A852" s="79"/>
      <c r="B852" s="79"/>
      <c r="C852" s="400"/>
      <c r="D852" s="400"/>
      <c r="E852" s="400"/>
      <c r="F852" s="400"/>
      <c r="G852" s="79"/>
      <c r="H852" s="79"/>
      <c r="I852" s="79"/>
      <c r="J852" s="396"/>
      <c r="K852" s="399"/>
      <c r="L852" s="396"/>
      <c r="M852" s="396"/>
      <c r="N852" s="396"/>
      <c r="O852" s="396"/>
      <c r="P852" s="396"/>
      <c r="Q852" s="396"/>
      <c r="R852" s="396"/>
      <c r="S852" s="79"/>
      <c r="T852" s="79"/>
      <c r="U852" s="79"/>
      <c r="V852" s="79"/>
      <c r="W852" s="79"/>
      <c r="X852" s="79"/>
      <c r="Y852" s="79"/>
      <c r="Z852" s="79"/>
    </row>
    <row r="853" spans="1:26" ht="15.75" customHeight="1" x14ac:dyDescent="0.25">
      <c r="A853" s="79"/>
      <c r="B853" s="79"/>
      <c r="C853" s="400"/>
      <c r="D853" s="400"/>
      <c r="E853" s="400"/>
      <c r="F853" s="400"/>
      <c r="G853" s="79"/>
      <c r="H853" s="79"/>
      <c r="I853" s="79"/>
      <c r="J853" s="396"/>
      <c r="K853" s="399"/>
      <c r="L853" s="396"/>
      <c r="M853" s="396"/>
      <c r="N853" s="396"/>
      <c r="O853" s="396"/>
      <c r="P853" s="396"/>
      <c r="Q853" s="396"/>
      <c r="R853" s="396"/>
      <c r="S853" s="79"/>
      <c r="T853" s="79"/>
      <c r="U853" s="79"/>
      <c r="V853" s="79"/>
      <c r="W853" s="79"/>
      <c r="X853" s="79"/>
      <c r="Y853" s="79"/>
      <c r="Z853" s="79"/>
    </row>
    <row r="854" spans="1:26" ht="15.75" customHeight="1" x14ac:dyDescent="0.25">
      <c r="A854" s="79"/>
      <c r="B854" s="79"/>
      <c r="C854" s="400"/>
      <c r="D854" s="400"/>
      <c r="E854" s="400"/>
      <c r="F854" s="400"/>
      <c r="G854" s="79"/>
      <c r="H854" s="79"/>
      <c r="I854" s="79"/>
      <c r="J854" s="396"/>
      <c r="K854" s="399"/>
      <c r="L854" s="396"/>
      <c r="M854" s="396"/>
      <c r="N854" s="396"/>
      <c r="O854" s="396"/>
      <c r="P854" s="396"/>
      <c r="Q854" s="396"/>
      <c r="R854" s="396"/>
      <c r="S854" s="79"/>
      <c r="T854" s="79"/>
      <c r="U854" s="79"/>
      <c r="V854" s="79"/>
      <c r="W854" s="79"/>
      <c r="X854" s="79"/>
      <c r="Y854" s="79"/>
      <c r="Z854" s="79"/>
    </row>
    <row r="855" spans="1:26" ht="15.75" customHeight="1" x14ac:dyDescent="0.25">
      <c r="A855" s="79"/>
      <c r="B855" s="79"/>
      <c r="C855" s="400"/>
      <c r="D855" s="400"/>
      <c r="E855" s="400"/>
      <c r="F855" s="400"/>
      <c r="G855" s="79"/>
      <c r="H855" s="79"/>
      <c r="I855" s="79"/>
      <c r="J855" s="396"/>
      <c r="K855" s="399"/>
      <c r="L855" s="396"/>
      <c r="M855" s="396"/>
      <c r="N855" s="396"/>
      <c r="O855" s="396"/>
      <c r="P855" s="396"/>
      <c r="Q855" s="396"/>
      <c r="R855" s="396"/>
      <c r="S855" s="79"/>
      <c r="T855" s="79"/>
      <c r="U855" s="79"/>
      <c r="V855" s="79"/>
      <c r="W855" s="79"/>
      <c r="X855" s="79"/>
      <c r="Y855" s="79"/>
      <c r="Z855" s="79"/>
    </row>
    <row r="856" spans="1:26" ht="15.75" customHeight="1" x14ac:dyDescent="0.25">
      <c r="A856" s="79"/>
      <c r="B856" s="79"/>
      <c r="C856" s="400"/>
      <c r="D856" s="400"/>
      <c r="E856" s="400"/>
      <c r="F856" s="400"/>
      <c r="G856" s="79"/>
      <c r="H856" s="79"/>
      <c r="I856" s="79"/>
      <c r="J856" s="396"/>
      <c r="K856" s="399"/>
      <c r="L856" s="396"/>
      <c r="M856" s="396"/>
      <c r="N856" s="396"/>
      <c r="O856" s="396"/>
      <c r="P856" s="396"/>
      <c r="Q856" s="396"/>
      <c r="R856" s="396"/>
      <c r="S856" s="79"/>
      <c r="T856" s="79"/>
      <c r="U856" s="79"/>
      <c r="V856" s="79"/>
      <c r="W856" s="79"/>
      <c r="X856" s="79"/>
      <c r="Y856" s="79"/>
      <c r="Z856" s="79"/>
    </row>
    <row r="857" spans="1:26" ht="15.75" customHeight="1" x14ac:dyDescent="0.25">
      <c r="A857" s="79"/>
      <c r="B857" s="79"/>
      <c r="C857" s="400"/>
      <c r="D857" s="400"/>
      <c r="E857" s="400"/>
      <c r="F857" s="400"/>
      <c r="G857" s="79"/>
      <c r="H857" s="79"/>
      <c r="I857" s="79"/>
      <c r="J857" s="396"/>
      <c r="K857" s="399"/>
      <c r="L857" s="396"/>
      <c r="M857" s="396"/>
      <c r="N857" s="396"/>
      <c r="O857" s="396"/>
      <c r="P857" s="396"/>
      <c r="Q857" s="396"/>
      <c r="R857" s="396"/>
      <c r="S857" s="79"/>
      <c r="T857" s="79"/>
      <c r="U857" s="79"/>
      <c r="V857" s="79"/>
      <c r="W857" s="79"/>
      <c r="X857" s="79"/>
      <c r="Y857" s="79"/>
      <c r="Z857" s="79"/>
    </row>
    <row r="858" spans="1:26" ht="15.75" customHeight="1" x14ac:dyDescent="0.25">
      <c r="A858" s="79"/>
      <c r="B858" s="79"/>
      <c r="C858" s="400"/>
      <c r="D858" s="400"/>
      <c r="E858" s="400"/>
      <c r="F858" s="400"/>
      <c r="G858" s="79"/>
      <c r="H858" s="79"/>
      <c r="I858" s="79"/>
      <c r="J858" s="396"/>
      <c r="K858" s="399"/>
      <c r="L858" s="396"/>
      <c r="M858" s="396"/>
      <c r="N858" s="396"/>
      <c r="O858" s="396"/>
      <c r="P858" s="396"/>
      <c r="Q858" s="396"/>
      <c r="R858" s="396"/>
      <c r="S858" s="79"/>
      <c r="T858" s="79"/>
      <c r="U858" s="79"/>
      <c r="V858" s="79"/>
      <c r="W858" s="79"/>
      <c r="X858" s="79"/>
      <c r="Y858" s="79"/>
      <c r="Z858" s="79"/>
    </row>
    <row r="859" spans="1:26" ht="15.75" customHeight="1" x14ac:dyDescent="0.25">
      <c r="A859" s="79"/>
      <c r="B859" s="79"/>
      <c r="C859" s="400"/>
      <c r="D859" s="400"/>
      <c r="E859" s="400"/>
      <c r="F859" s="400"/>
      <c r="G859" s="79"/>
      <c r="H859" s="79"/>
      <c r="I859" s="79"/>
      <c r="J859" s="396"/>
      <c r="K859" s="399"/>
      <c r="L859" s="396"/>
      <c r="M859" s="396"/>
      <c r="N859" s="396"/>
      <c r="O859" s="396"/>
      <c r="P859" s="396"/>
      <c r="Q859" s="396"/>
      <c r="R859" s="396"/>
      <c r="S859" s="79"/>
      <c r="T859" s="79"/>
      <c r="U859" s="79"/>
      <c r="V859" s="79"/>
      <c r="W859" s="79"/>
      <c r="X859" s="79"/>
      <c r="Y859" s="79"/>
      <c r="Z859" s="79"/>
    </row>
    <row r="860" spans="1:26" ht="15.75" customHeight="1" x14ac:dyDescent="0.25">
      <c r="A860" s="79"/>
      <c r="B860" s="79"/>
      <c r="C860" s="400"/>
      <c r="D860" s="400"/>
      <c r="E860" s="400"/>
      <c r="F860" s="400"/>
      <c r="G860" s="79"/>
      <c r="H860" s="79"/>
      <c r="I860" s="79"/>
      <c r="J860" s="396"/>
      <c r="K860" s="399"/>
      <c r="L860" s="396"/>
      <c r="M860" s="396"/>
      <c r="N860" s="396"/>
      <c r="O860" s="396"/>
      <c r="P860" s="396"/>
      <c r="Q860" s="396"/>
      <c r="R860" s="396"/>
      <c r="S860" s="79"/>
      <c r="T860" s="79"/>
      <c r="U860" s="79"/>
      <c r="V860" s="79"/>
      <c r="W860" s="79"/>
      <c r="X860" s="79"/>
      <c r="Y860" s="79"/>
      <c r="Z860" s="79"/>
    </row>
    <row r="861" spans="1:26" ht="15.75" customHeight="1" x14ac:dyDescent="0.25">
      <c r="A861" s="79"/>
      <c r="B861" s="79"/>
      <c r="C861" s="400"/>
      <c r="D861" s="400"/>
      <c r="E861" s="400"/>
      <c r="F861" s="400"/>
      <c r="G861" s="79"/>
      <c r="H861" s="79"/>
      <c r="I861" s="79"/>
      <c r="J861" s="396"/>
      <c r="K861" s="399"/>
      <c r="L861" s="396"/>
      <c r="M861" s="396"/>
      <c r="N861" s="396"/>
      <c r="O861" s="396"/>
      <c r="P861" s="396"/>
      <c r="Q861" s="396"/>
      <c r="R861" s="396"/>
      <c r="S861" s="79"/>
      <c r="T861" s="79"/>
      <c r="U861" s="79"/>
      <c r="V861" s="79"/>
      <c r="W861" s="79"/>
      <c r="X861" s="79"/>
      <c r="Y861" s="79"/>
      <c r="Z861" s="79"/>
    </row>
    <row r="862" spans="1:26" ht="15.75" customHeight="1" x14ac:dyDescent="0.25">
      <c r="A862" s="79"/>
      <c r="B862" s="79"/>
      <c r="C862" s="400"/>
      <c r="D862" s="400"/>
      <c r="E862" s="400"/>
      <c r="F862" s="400"/>
      <c r="G862" s="79"/>
      <c r="H862" s="79"/>
      <c r="I862" s="79"/>
      <c r="J862" s="396"/>
      <c r="K862" s="399"/>
      <c r="L862" s="396"/>
      <c r="M862" s="396"/>
      <c r="N862" s="396"/>
      <c r="O862" s="396"/>
      <c r="P862" s="396"/>
      <c r="Q862" s="396"/>
      <c r="R862" s="396"/>
      <c r="S862" s="79"/>
      <c r="T862" s="79"/>
      <c r="U862" s="79"/>
      <c r="V862" s="79"/>
      <c r="W862" s="79"/>
      <c r="X862" s="79"/>
      <c r="Y862" s="79"/>
      <c r="Z862" s="79"/>
    </row>
    <row r="863" spans="1:26" ht="15.75" customHeight="1" x14ac:dyDescent="0.25">
      <c r="A863" s="79"/>
      <c r="B863" s="79"/>
      <c r="C863" s="400"/>
      <c r="D863" s="400"/>
      <c r="E863" s="400"/>
      <c r="F863" s="400"/>
      <c r="G863" s="79"/>
      <c r="H863" s="79"/>
      <c r="I863" s="79"/>
      <c r="J863" s="396"/>
      <c r="K863" s="399"/>
      <c r="L863" s="396"/>
      <c r="M863" s="396"/>
      <c r="N863" s="396"/>
      <c r="O863" s="396"/>
      <c r="P863" s="396"/>
      <c r="Q863" s="396"/>
      <c r="R863" s="396"/>
      <c r="S863" s="79"/>
      <c r="T863" s="79"/>
      <c r="U863" s="79"/>
      <c r="V863" s="79"/>
      <c r="W863" s="79"/>
      <c r="X863" s="79"/>
      <c r="Y863" s="79"/>
      <c r="Z863" s="79"/>
    </row>
    <row r="864" spans="1:26" ht="15.75" customHeight="1" x14ac:dyDescent="0.25">
      <c r="A864" s="79"/>
      <c r="B864" s="79"/>
      <c r="C864" s="400"/>
      <c r="D864" s="400"/>
      <c r="E864" s="400"/>
      <c r="F864" s="400"/>
      <c r="G864" s="79"/>
      <c r="H864" s="79"/>
      <c r="I864" s="79"/>
      <c r="J864" s="396"/>
      <c r="K864" s="399"/>
      <c r="L864" s="396"/>
      <c r="M864" s="396"/>
      <c r="N864" s="396"/>
      <c r="O864" s="396"/>
      <c r="P864" s="396"/>
      <c r="Q864" s="396"/>
      <c r="R864" s="396"/>
      <c r="S864" s="79"/>
      <c r="T864" s="79"/>
      <c r="U864" s="79"/>
      <c r="V864" s="79"/>
      <c r="W864" s="79"/>
      <c r="X864" s="79"/>
      <c r="Y864" s="79"/>
      <c r="Z864" s="79"/>
    </row>
    <row r="865" spans="1:26" ht="15.75" customHeight="1" x14ac:dyDescent="0.25">
      <c r="A865" s="79"/>
      <c r="B865" s="79"/>
      <c r="C865" s="400"/>
      <c r="D865" s="400"/>
      <c r="E865" s="400"/>
      <c r="F865" s="400"/>
      <c r="G865" s="79"/>
      <c r="H865" s="79"/>
      <c r="I865" s="79"/>
      <c r="J865" s="396"/>
      <c r="K865" s="399"/>
      <c r="L865" s="396"/>
      <c r="M865" s="396"/>
      <c r="N865" s="396"/>
      <c r="O865" s="396"/>
      <c r="P865" s="396"/>
      <c r="Q865" s="396"/>
      <c r="R865" s="396"/>
      <c r="S865" s="79"/>
      <c r="T865" s="79"/>
      <c r="U865" s="79"/>
      <c r="V865" s="79"/>
      <c r="W865" s="79"/>
      <c r="X865" s="79"/>
      <c r="Y865" s="79"/>
      <c r="Z865" s="79"/>
    </row>
    <row r="866" spans="1:26" ht="15.75" customHeight="1" x14ac:dyDescent="0.25">
      <c r="A866" s="79"/>
      <c r="B866" s="79"/>
      <c r="C866" s="400"/>
      <c r="D866" s="400"/>
      <c r="E866" s="400"/>
      <c r="F866" s="400"/>
      <c r="G866" s="79"/>
      <c r="H866" s="79"/>
      <c r="I866" s="79"/>
      <c r="J866" s="396"/>
      <c r="K866" s="399"/>
      <c r="L866" s="396"/>
      <c r="M866" s="396"/>
      <c r="N866" s="396"/>
      <c r="O866" s="396"/>
      <c r="P866" s="396"/>
      <c r="Q866" s="396"/>
      <c r="R866" s="396"/>
      <c r="S866" s="79"/>
      <c r="T866" s="79"/>
      <c r="U866" s="79"/>
      <c r="V866" s="79"/>
      <c r="W866" s="79"/>
      <c r="X866" s="79"/>
      <c r="Y866" s="79"/>
      <c r="Z866" s="79"/>
    </row>
    <row r="867" spans="1:26" ht="15.75" customHeight="1" x14ac:dyDescent="0.25">
      <c r="A867" s="79"/>
      <c r="B867" s="79"/>
      <c r="C867" s="400"/>
      <c r="D867" s="400"/>
      <c r="E867" s="400"/>
      <c r="F867" s="400"/>
      <c r="G867" s="79"/>
      <c r="H867" s="79"/>
      <c r="I867" s="79"/>
      <c r="J867" s="396"/>
      <c r="K867" s="399"/>
      <c r="L867" s="396"/>
      <c r="M867" s="396"/>
      <c r="N867" s="396"/>
      <c r="O867" s="396"/>
      <c r="P867" s="396"/>
      <c r="Q867" s="396"/>
      <c r="R867" s="396"/>
      <c r="S867" s="79"/>
      <c r="T867" s="79"/>
      <c r="U867" s="79"/>
      <c r="V867" s="79"/>
      <c r="W867" s="79"/>
      <c r="X867" s="79"/>
      <c r="Y867" s="79"/>
      <c r="Z867" s="79"/>
    </row>
    <row r="868" spans="1:26" ht="15.75" customHeight="1" x14ac:dyDescent="0.25">
      <c r="A868" s="79"/>
      <c r="B868" s="79"/>
      <c r="C868" s="400"/>
      <c r="D868" s="400"/>
      <c r="E868" s="400"/>
      <c r="F868" s="400"/>
      <c r="G868" s="79"/>
      <c r="H868" s="79"/>
      <c r="I868" s="79"/>
      <c r="J868" s="396"/>
      <c r="K868" s="399"/>
      <c r="L868" s="396"/>
      <c r="M868" s="396"/>
      <c r="N868" s="396"/>
      <c r="O868" s="396"/>
      <c r="P868" s="396"/>
      <c r="Q868" s="396"/>
      <c r="R868" s="396"/>
      <c r="S868" s="79"/>
      <c r="T868" s="79"/>
      <c r="U868" s="79"/>
      <c r="V868" s="79"/>
      <c r="W868" s="79"/>
      <c r="X868" s="79"/>
      <c r="Y868" s="79"/>
      <c r="Z868" s="79"/>
    </row>
    <row r="869" spans="1:26" ht="15.75" customHeight="1" x14ac:dyDescent="0.25">
      <c r="A869" s="79"/>
      <c r="B869" s="79"/>
      <c r="C869" s="400"/>
      <c r="D869" s="400"/>
      <c r="E869" s="400"/>
      <c r="F869" s="400"/>
      <c r="G869" s="79"/>
      <c r="H869" s="79"/>
      <c r="I869" s="79"/>
      <c r="J869" s="396"/>
      <c r="K869" s="399"/>
      <c r="L869" s="396"/>
      <c r="M869" s="396"/>
      <c r="N869" s="396"/>
      <c r="O869" s="396"/>
      <c r="P869" s="396"/>
      <c r="Q869" s="396"/>
      <c r="R869" s="396"/>
      <c r="S869" s="79"/>
      <c r="T869" s="79"/>
      <c r="U869" s="79"/>
      <c r="V869" s="79"/>
      <c r="W869" s="79"/>
      <c r="X869" s="79"/>
      <c r="Y869" s="79"/>
      <c r="Z869" s="79"/>
    </row>
    <row r="870" spans="1:26" ht="15.75" customHeight="1" x14ac:dyDescent="0.25">
      <c r="A870" s="79"/>
      <c r="B870" s="79"/>
      <c r="C870" s="400"/>
      <c r="D870" s="400"/>
      <c r="E870" s="400"/>
      <c r="F870" s="400"/>
      <c r="G870" s="79"/>
      <c r="H870" s="79"/>
      <c r="I870" s="79"/>
      <c r="J870" s="396"/>
      <c r="K870" s="399"/>
      <c r="L870" s="396"/>
      <c r="M870" s="396"/>
      <c r="N870" s="396"/>
      <c r="O870" s="396"/>
      <c r="P870" s="396"/>
      <c r="Q870" s="396"/>
      <c r="R870" s="396"/>
      <c r="S870" s="79"/>
      <c r="T870" s="79"/>
      <c r="U870" s="79"/>
      <c r="V870" s="79"/>
      <c r="W870" s="79"/>
      <c r="X870" s="79"/>
      <c r="Y870" s="79"/>
      <c r="Z870" s="79"/>
    </row>
    <row r="871" spans="1:26" ht="15.75" customHeight="1" x14ac:dyDescent="0.25">
      <c r="A871" s="79"/>
      <c r="B871" s="79"/>
      <c r="C871" s="400"/>
      <c r="D871" s="400"/>
      <c r="E871" s="400"/>
      <c r="F871" s="400"/>
      <c r="G871" s="79"/>
      <c r="H871" s="79"/>
      <c r="I871" s="79"/>
      <c r="J871" s="396"/>
      <c r="K871" s="399"/>
      <c r="L871" s="396"/>
      <c r="M871" s="396"/>
      <c r="N871" s="396"/>
      <c r="O871" s="396"/>
      <c r="P871" s="396"/>
      <c r="Q871" s="396"/>
      <c r="R871" s="396"/>
      <c r="S871" s="79"/>
      <c r="T871" s="79"/>
      <c r="U871" s="79"/>
      <c r="V871" s="79"/>
      <c r="W871" s="79"/>
      <c r="X871" s="79"/>
      <c r="Y871" s="79"/>
      <c r="Z871" s="79"/>
    </row>
    <row r="872" spans="1:26" ht="15.75" customHeight="1" x14ac:dyDescent="0.25">
      <c r="A872" s="79"/>
      <c r="B872" s="79"/>
      <c r="C872" s="400"/>
      <c r="D872" s="400"/>
      <c r="E872" s="400"/>
      <c r="F872" s="400"/>
      <c r="G872" s="79"/>
      <c r="H872" s="79"/>
      <c r="I872" s="79"/>
      <c r="J872" s="396"/>
      <c r="K872" s="399"/>
      <c r="L872" s="396"/>
      <c r="M872" s="396"/>
      <c r="N872" s="396"/>
      <c r="O872" s="396"/>
      <c r="P872" s="396"/>
      <c r="Q872" s="396"/>
      <c r="R872" s="396"/>
      <c r="S872" s="79"/>
      <c r="T872" s="79"/>
      <c r="U872" s="79"/>
      <c r="V872" s="79"/>
      <c r="W872" s="79"/>
      <c r="X872" s="79"/>
      <c r="Y872" s="79"/>
      <c r="Z872" s="79"/>
    </row>
    <row r="873" spans="1:26" ht="15.75" customHeight="1" x14ac:dyDescent="0.25">
      <c r="A873" s="79"/>
      <c r="B873" s="79"/>
      <c r="C873" s="400"/>
      <c r="D873" s="400"/>
      <c r="E873" s="400"/>
      <c r="F873" s="400"/>
      <c r="G873" s="79"/>
      <c r="H873" s="79"/>
      <c r="I873" s="79"/>
      <c r="J873" s="396"/>
      <c r="K873" s="399"/>
      <c r="L873" s="396"/>
      <c r="M873" s="396"/>
      <c r="N873" s="396"/>
      <c r="O873" s="396"/>
      <c r="P873" s="396"/>
      <c r="Q873" s="396"/>
      <c r="R873" s="396"/>
      <c r="S873" s="79"/>
      <c r="T873" s="79"/>
      <c r="U873" s="79"/>
      <c r="V873" s="79"/>
      <c r="W873" s="79"/>
      <c r="X873" s="79"/>
      <c r="Y873" s="79"/>
      <c r="Z873" s="79"/>
    </row>
    <row r="874" spans="1:26" ht="15.75" customHeight="1" x14ac:dyDescent="0.25">
      <c r="A874" s="79"/>
      <c r="B874" s="79"/>
      <c r="C874" s="400"/>
      <c r="D874" s="400"/>
      <c r="E874" s="400"/>
      <c r="F874" s="400"/>
      <c r="G874" s="79"/>
      <c r="H874" s="79"/>
      <c r="I874" s="79"/>
      <c r="J874" s="396"/>
      <c r="K874" s="399"/>
      <c r="L874" s="396"/>
      <c r="M874" s="396"/>
      <c r="N874" s="396"/>
      <c r="O874" s="396"/>
      <c r="P874" s="396"/>
      <c r="Q874" s="396"/>
      <c r="R874" s="396"/>
      <c r="S874" s="79"/>
      <c r="T874" s="79"/>
      <c r="U874" s="79"/>
      <c r="V874" s="79"/>
      <c r="W874" s="79"/>
      <c r="X874" s="79"/>
      <c r="Y874" s="79"/>
      <c r="Z874" s="79"/>
    </row>
    <row r="875" spans="1:26" ht="15.75" customHeight="1" x14ac:dyDescent="0.25">
      <c r="A875" s="79"/>
      <c r="B875" s="79"/>
      <c r="C875" s="400"/>
      <c r="D875" s="400"/>
      <c r="E875" s="400"/>
      <c r="F875" s="400"/>
      <c r="G875" s="79"/>
      <c r="H875" s="79"/>
      <c r="I875" s="79"/>
      <c r="J875" s="396"/>
      <c r="K875" s="399"/>
      <c r="L875" s="396"/>
      <c r="M875" s="396"/>
      <c r="N875" s="396"/>
      <c r="O875" s="396"/>
      <c r="P875" s="396"/>
      <c r="Q875" s="396"/>
      <c r="R875" s="396"/>
      <c r="S875" s="79"/>
      <c r="T875" s="79"/>
      <c r="U875" s="79"/>
      <c r="V875" s="79"/>
      <c r="W875" s="79"/>
      <c r="X875" s="79"/>
      <c r="Y875" s="79"/>
      <c r="Z875" s="79"/>
    </row>
    <row r="876" spans="1:26" ht="15.75" customHeight="1" x14ac:dyDescent="0.25">
      <c r="A876" s="79"/>
      <c r="B876" s="79"/>
      <c r="C876" s="400"/>
      <c r="D876" s="400"/>
      <c r="E876" s="400"/>
      <c r="F876" s="400"/>
      <c r="G876" s="79"/>
      <c r="H876" s="79"/>
      <c r="I876" s="79"/>
      <c r="J876" s="396"/>
      <c r="K876" s="399"/>
      <c r="L876" s="396"/>
      <c r="M876" s="396"/>
      <c r="N876" s="396"/>
      <c r="O876" s="396"/>
      <c r="P876" s="396"/>
      <c r="Q876" s="396"/>
      <c r="R876" s="396"/>
      <c r="S876" s="79"/>
      <c r="T876" s="79"/>
      <c r="U876" s="79"/>
      <c r="V876" s="79"/>
      <c r="W876" s="79"/>
      <c r="X876" s="79"/>
      <c r="Y876" s="79"/>
      <c r="Z876" s="79"/>
    </row>
    <row r="877" spans="1:26" ht="15.75" customHeight="1" x14ac:dyDescent="0.25">
      <c r="A877" s="79"/>
      <c r="B877" s="79"/>
      <c r="C877" s="400"/>
      <c r="D877" s="400"/>
      <c r="E877" s="400"/>
      <c r="F877" s="400"/>
      <c r="G877" s="79"/>
      <c r="H877" s="79"/>
      <c r="I877" s="79"/>
      <c r="J877" s="396"/>
      <c r="K877" s="399"/>
      <c r="L877" s="396"/>
      <c r="M877" s="396"/>
      <c r="N877" s="396"/>
      <c r="O877" s="396"/>
      <c r="P877" s="396"/>
      <c r="Q877" s="396"/>
      <c r="R877" s="396"/>
      <c r="S877" s="79"/>
      <c r="T877" s="79"/>
      <c r="U877" s="79"/>
      <c r="V877" s="79"/>
      <c r="W877" s="79"/>
      <c r="X877" s="79"/>
      <c r="Y877" s="79"/>
      <c r="Z877" s="79"/>
    </row>
    <row r="878" spans="1:26" ht="15.75" customHeight="1" x14ac:dyDescent="0.25">
      <c r="A878" s="79"/>
      <c r="B878" s="79"/>
      <c r="C878" s="400"/>
      <c r="D878" s="400"/>
      <c r="E878" s="400"/>
      <c r="F878" s="400"/>
      <c r="G878" s="79"/>
      <c r="H878" s="79"/>
      <c r="I878" s="79"/>
      <c r="J878" s="396"/>
      <c r="K878" s="399"/>
      <c r="L878" s="396"/>
      <c r="M878" s="396"/>
      <c r="N878" s="396"/>
      <c r="O878" s="396"/>
      <c r="P878" s="396"/>
      <c r="Q878" s="396"/>
      <c r="R878" s="396"/>
      <c r="S878" s="79"/>
      <c r="T878" s="79"/>
      <c r="U878" s="79"/>
      <c r="V878" s="79"/>
      <c r="W878" s="79"/>
      <c r="X878" s="79"/>
      <c r="Y878" s="79"/>
      <c r="Z878" s="79"/>
    </row>
    <row r="879" spans="1:26" ht="15.75" customHeight="1" x14ac:dyDescent="0.25">
      <c r="A879" s="79"/>
      <c r="B879" s="79"/>
      <c r="C879" s="400"/>
      <c r="D879" s="400"/>
      <c r="E879" s="400"/>
      <c r="F879" s="400"/>
      <c r="G879" s="79"/>
      <c r="H879" s="79"/>
      <c r="I879" s="79"/>
      <c r="J879" s="396"/>
      <c r="K879" s="399"/>
      <c r="L879" s="396"/>
      <c r="M879" s="396"/>
      <c r="N879" s="396"/>
      <c r="O879" s="396"/>
      <c r="P879" s="396"/>
      <c r="Q879" s="396"/>
      <c r="R879" s="396"/>
      <c r="S879" s="79"/>
      <c r="T879" s="79"/>
      <c r="U879" s="79"/>
      <c r="V879" s="79"/>
      <c r="W879" s="79"/>
      <c r="X879" s="79"/>
      <c r="Y879" s="79"/>
      <c r="Z879" s="79"/>
    </row>
    <row r="880" spans="1:26" ht="15.75" customHeight="1" x14ac:dyDescent="0.25">
      <c r="A880" s="79"/>
      <c r="B880" s="79"/>
      <c r="C880" s="400"/>
      <c r="D880" s="400"/>
      <c r="E880" s="400"/>
      <c r="F880" s="400"/>
      <c r="G880" s="79"/>
      <c r="H880" s="79"/>
      <c r="I880" s="79"/>
      <c r="J880" s="396"/>
      <c r="K880" s="399"/>
      <c r="L880" s="396"/>
      <c r="M880" s="396"/>
      <c r="N880" s="396"/>
      <c r="O880" s="396"/>
      <c r="P880" s="396"/>
      <c r="Q880" s="396"/>
      <c r="R880" s="396"/>
      <c r="S880" s="79"/>
      <c r="T880" s="79"/>
      <c r="U880" s="79"/>
      <c r="V880" s="79"/>
      <c r="W880" s="79"/>
      <c r="X880" s="79"/>
      <c r="Y880" s="79"/>
      <c r="Z880" s="79"/>
    </row>
    <row r="881" spans="1:26" ht="15.75" customHeight="1" x14ac:dyDescent="0.25">
      <c r="A881" s="79"/>
      <c r="B881" s="79"/>
      <c r="C881" s="400"/>
      <c r="D881" s="400"/>
      <c r="E881" s="400"/>
      <c r="F881" s="400"/>
      <c r="G881" s="79"/>
      <c r="H881" s="79"/>
      <c r="I881" s="79"/>
      <c r="J881" s="396"/>
      <c r="K881" s="399"/>
      <c r="L881" s="396"/>
      <c r="M881" s="396"/>
      <c r="N881" s="396"/>
      <c r="O881" s="396"/>
      <c r="P881" s="396"/>
      <c r="Q881" s="396"/>
      <c r="R881" s="396"/>
      <c r="S881" s="79"/>
      <c r="T881" s="79"/>
      <c r="U881" s="79"/>
      <c r="V881" s="79"/>
      <c r="W881" s="79"/>
      <c r="X881" s="79"/>
      <c r="Y881" s="79"/>
      <c r="Z881" s="79"/>
    </row>
    <row r="882" spans="1:26" ht="15.75" customHeight="1" x14ac:dyDescent="0.25">
      <c r="A882" s="79"/>
      <c r="B882" s="79"/>
      <c r="C882" s="400"/>
      <c r="D882" s="400"/>
      <c r="E882" s="400"/>
      <c r="F882" s="400"/>
      <c r="G882" s="79"/>
      <c r="H882" s="79"/>
      <c r="I882" s="79"/>
      <c r="J882" s="396"/>
      <c r="K882" s="399"/>
      <c r="L882" s="396"/>
      <c r="M882" s="396"/>
      <c r="N882" s="396"/>
      <c r="O882" s="396"/>
      <c r="P882" s="396"/>
      <c r="Q882" s="396"/>
      <c r="R882" s="396"/>
      <c r="S882" s="79"/>
      <c r="T882" s="79"/>
      <c r="U882" s="79"/>
      <c r="V882" s="79"/>
      <c r="W882" s="79"/>
      <c r="X882" s="79"/>
      <c r="Y882" s="79"/>
      <c r="Z882" s="79"/>
    </row>
    <row r="883" spans="1:26" ht="15.75" customHeight="1" x14ac:dyDescent="0.25">
      <c r="A883" s="79"/>
      <c r="B883" s="79"/>
      <c r="C883" s="400"/>
      <c r="D883" s="400"/>
      <c r="E883" s="400"/>
      <c r="F883" s="400"/>
      <c r="G883" s="79"/>
      <c r="H883" s="79"/>
      <c r="I883" s="79"/>
      <c r="J883" s="396"/>
      <c r="K883" s="399"/>
      <c r="L883" s="396"/>
      <c r="M883" s="396"/>
      <c r="N883" s="396"/>
      <c r="O883" s="396"/>
      <c r="P883" s="396"/>
      <c r="Q883" s="396"/>
      <c r="R883" s="396"/>
      <c r="S883" s="79"/>
      <c r="T883" s="79"/>
      <c r="U883" s="79"/>
      <c r="V883" s="79"/>
      <c r="W883" s="79"/>
      <c r="X883" s="79"/>
      <c r="Y883" s="79"/>
      <c r="Z883" s="79"/>
    </row>
    <row r="884" spans="1:26" ht="15.75" customHeight="1" x14ac:dyDescent="0.25">
      <c r="A884" s="79"/>
      <c r="B884" s="79"/>
      <c r="C884" s="400"/>
      <c r="D884" s="400"/>
      <c r="E884" s="400"/>
      <c r="F884" s="400"/>
      <c r="G884" s="79"/>
      <c r="H884" s="79"/>
      <c r="I884" s="79"/>
      <c r="J884" s="396"/>
      <c r="K884" s="399"/>
      <c r="L884" s="396"/>
      <c r="M884" s="396"/>
      <c r="N884" s="396"/>
      <c r="O884" s="396"/>
      <c r="P884" s="396"/>
      <c r="Q884" s="396"/>
      <c r="R884" s="396"/>
      <c r="S884" s="79"/>
      <c r="T884" s="79"/>
      <c r="U884" s="79"/>
      <c r="V884" s="79"/>
      <c r="W884" s="79"/>
      <c r="X884" s="79"/>
      <c r="Y884" s="79"/>
      <c r="Z884" s="79"/>
    </row>
    <row r="885" spans="1:26" ht="15.75" customHeight="1" x14ac:dyDescent="0.25">
      <c r="A885" s="79"/>
      <c r="B885" s="79"/>
      <c r="C885" s="400"/>
      <c r="D885" s="400"/>
      <c r="E885" s="400"/>
      <c r="F885" s="400"/>
      <c r="G885" s="79"/>
      <c r="H885" s="79"/>
      <c r="I885" s="79"/>
      <c r="J885" s="396"/>
      <c r="K885" s="399"/>
      <c r="L885" s="396"/>
      <c r="M885" s="396"/>
      <c r="N885" s="396"/>
      <c r="O885" s="396"/>
      <c r="P885" s="396"/>
      <c r="Q885" s="396"/>
      <c r="R885" s="396"/>
      <c r="S885" s="79"/>
      <c r="T885" s="79"/>
      <c r="U885" s="79"/>
      <c r="V885" s="79"/>
      <c r="W885" s="79"/>
      <c r="X885" s="79"/>
      <c r="Y885" s="79"/>
      <c r="Z885" s="79"/>
    </row>
    <row r="886" spans="1:26" ht="15.75" customHeight="1" x14ac:dyDescent="0.25">
      <c r="A886" s="79"/>
      <c r="B886" s="79"/>
      <c r="C886" s="400"/>
      <c r="D886" s="400"/>
      <c r="E886" s="400"/>
      <c r="F886" s="400"/>
      <c r="G886" s="79"/>
      <c r="H886" s="79"/>
      <c r="I886" s="79"/>
      <c r="J886" s="396"/>
      <c r="K886" s="399"/>
      <c r="L886" s="396"/>
      <c r="M886" s="396"/>
      <c r="N886" s="396"/>
      <c r="O886" s="396"/>
      <c r="P886" s="396"/>
      <c r="Q886" s="396"/>
      <c r="R886" s="396"/>
      <c r="S886" s="79"/>
      <c r="T886" s="79"/>
      <c r="U886" s="79"/>
      <c r="V886" s="79"/>
      <c r="W886" s="79"/>
      <c r="X886" s="79"/>
      <c r="Y886" s="79"/>
      <c r="Z886" s="79"/>
    </row>
    <row r="887" spans="1:26" ht="15.75" customHeight="1" x14ac:dyDescent="0.25">
      <c r="A887" s="79"/>
      <c r="B887" s="79"/>
      <c r="C887" s="400"/>
      <c r="D887" s="400"/>
      <c r="E887" s="400"/>
      <c r="F887" s="400"/>
      <c r="G887" s="79"/>
      <c r="H887" s="79"/>
      <c r="I887" s="79"/>
      <c r="J887" s="396"/>
      <c r="K887" s="399"/>
      <c r="L887" s="396"/>
      <c r="M887" s="396"/>
      <c r="N887" s="396"/>
      <c r="O887" s="396"/>
      <c r="P887" s="396"/>
      <c r="Q887" s="396"/>
      <c r="R887" s="396"/>
      <c r="S887" s="79"/>
      <c r="T887" s="79"/>
      <c r="U887" s="79"/>
      <c r="V887" s="79"/>
      <c r="W887" s="79"/>
      <c r="X887" s="79"/>
      <c r="Y887" s="79"/>
      <c r="Z887" s="79"/>
    </row>
    <row r="888" spans="1:26" ht="15.75" customHeight="1" x14ac:dyDescent="0.25">
      <c r="A888" s="79"/>
      <c r="B888" s="79"/>
      <c r="C888" s="400"/>
      <c r="D888" s="400"/>
      <c r="E888" s="400"/>
      <c r="F888" s="400"/>
      <c r="G888" s="79"/>
      <c r="H888" s="79"/>
      <c r="I888" s="79"/>
      <c r="J888" s="396"/>
      <c r="K888" s="399"/>
      <c r="L888" s="396"/>
      <c r="M888" s="396"/>
      <c r="N888" s="396"/>
      <c r="O888" s="396"/>
      <c r="P888" s="396"/>
      <c r="Q888" s="396"/>
      <c r="R888" s="396"/>
      <c r="S888" s="79"/>
      <c r="T888" s="79"/>
      <c r="U888" s="79"/>
      <c r="V888" s="79"/>
      <c r="W888" s="79"/>
      <c r="X888" s="79"/>
      <c r="Y888" s="79"/>
      <c r="Z888" s="79"/>
    </row>
    <row r="889" spans="1:26" ht="15.75" customHeight="1" x14ac:dyDescent="0.25">
      <c r="A889" s="79"/>
      <c r="B889" s="79"/>
      <c r="C889" s="400"/>
      <c r="D889" s="400"/>
      <c r="E889" s="400"/>
      <c r="F889" s="400"/>
      <c r="G889" s="79"/>
      <c r="H889" s="79"/>
      <c r="I889" s="79"/>
      <c r="J889" s="396"/>
      <c r="K889" s="399"/>
      <c r="L889" s="396"/>
      <c r="M889" s="396"/>
      <c r="N889" s="396"/>
      <c r="O889" s="396"/>
      <c r="P889" s="396"/>
      <c r="Q889" s="396"/>
      <c r="R889" s="396"/>
      <c r="S889" s="79"/>
      <c r="T889" s="79"/>
      <c r="U889" s="79"/>
      <c r="V889" s="79"/>
      <c r="W889" s="79"/>
      <c r="X889" s="79"/>
      <c r="Y889" s="79"/>
      <c r="Z889" s="79"/>
    </row>
    <row r="890" spans="1:26" ht="15.75" customHeight="1" x14ac:dyDescent="0.25">
      <c r="A890" s="79"/>
      <c r="B890" s="79"/>
      <c r="C890" s="400"/>
      <c r="D890" s="400"/>
      <c r="E890" s="400"/>
      <c r="F890" s="400"/>
      <c r="G890" s="79"/>
      <c r="H890" s="79"/>
      <c r="I890" s="79"/>
      <c r="J890" s="396"/>
      <c r="K890" s="399"/>
      <c r="L890" s="396"/>
      <c r="M890" s="396"/>
      <c r="N890" s="396"/>
      <c r="O890" s="396"/>
      <c r="P890" s="396"/>
      <c r="Q890" s="396"/>
      <c r="R890" s="396"/>
      <c r="S890" s="79"/>
      <c r="T890" s="79"/>
      <c r="U890" s="79"/>
      <c r="V890" s="79"/>
      <c r="W890" s="79"/>
      <c r="X890" s="79"/>
      <c r="Y890" s="79"/>
      <c r="Z890" s="79"/>
    </row>
    <row r="891" spans="1:26" ht="15.75" customHeight="1" x14ac:dyDescent="0.25">
      <c r="A891" s="79"/>
      <c r="B891" s="79"/>
      <c r="C891" s="400"/>
      <c r="D891" s="400"/>
      <c r="E891" s="400"/>
      <c r="F891" s="400"/>
      <c r="G891" s="79"/>
      <c r="H891" s="79"/>
      <c r="I891" s="79"/>
      <c r="J891" s="396"/>
      <c r="K891" s="399"/>
      <c r="L891" s="396"/>
      <c r="M891" s="396"/>
      <c r="N891" s="396"/>
      <c r="O891" s="396"/>
      <c r="P891" s="396"/>
      <c r="Q891" s="396"/>
      <c r="R891" s="396"/>
      <c r="S891" s="79"/>
      <c r="T891" s="79"/>
      <c r="U891" s="79"/>
      <c r="V891" s="79"/>
      <c r="W891" s="79"/>
      <c r="X891" s="79"/>
      <c r="Y891" s="79"/>
      <c r="Z891" s="79"/>
    </row>
    <row r="892" spans="1:26" ht="15.75" customHeight="1" x14ac:dyDescent="0.25">
      <c r="A892" s="79"/>
      <c r="B892" s="79"/>
      <c r="C892" s="400"/>
      <c r="D892" s="400"/>
      <c r="E892" s="400"/>
      <c r="F892" s="400"/>
      <c r="G892" s="79"/>
      <c r="H892" s="79"/>
      <c r="I892" s="79"/>
      <c r="J892" s="396"/>
      <c r="K892" s="399"/>
      <c r="L892" s="396"/>
      <c r="M892" s="396"/>
      <c r="N892" s="396"/>
      <c r="O892" s="396"/>
      <c r="P892" s="396"/>
      <c r="Q892" s="396"/>
      <c r="R892" s="396"/>
      <c r="S892" s="79"/>
      <c r="T892" s="79"/>
      <c r="U892" s="79"/>
      <c r="V892" s="79"/>
      <c r="W892" s="79"/>
      <c r="X892" s="79"/>
      <c r="Y892" s="79"/>
      <c r="Z892" s="79"/>
    </row>
    <row r="893" spans="1:26" ht="15.75" customHeight="1" x14ac:dyDescent="0.25">
      <c r="A893" s="79"/>
      <c r="B893" s="79"/>
      <c r="C893" s="400"/>
      <c r="D893" s="400"/>
      <c r="E893" s="400"/>
      <c r="F893" s="400"/>
      <c r="G893" s="79"/>
      <c r="H893" s="79"/>
      <c r="I893" s="79"/>
      <c r="J893" s="396"/>
      <c r="K893" s="399"/>
      <c r="L893" s="396"/>
      <c r="M893" s="396"/>
      <c r="N893" s="396"/>
      <c r="O893" s="396"/>
      <c r="P893" s="396"/>
      <c r="Q893" s="396"/>
      <c r="R893" s="396"/>
      <c r="S893" s="79"/>
      <c r="T893" s="79"/>
      <c r="U893" s="79"/>
      <c r="V893" s="79"/>
      <c r="W893" s="79"/>
      <c r="X893" s="79"/>
      <c r="Y893" s="79"/>
      <c r="Z893" s="79"/>
    </row>
    <row r="894" spans="1:26" ht="15.75" customHeight="1" x14ac:dyDescent="0.25">
      <c r="A894" s="79"/>
      <c r="B894" s="79"/>
      <c r="C894" s="400"/>
      <c r="D894" s="400"/>
      <c r="E894" s="400"/>
      <c r="F894" s="400"/>
      <c r="G894" s="79"/>
      <c r="H894" s="79"/>
      <c r="I894" s="79"/>
      <c r="J894" s="396"/>
      <c r="K894" s="399"/>
      <c r="L894" s="396"/>
      <c r="M894" s="396"/>
      <c r="N894" s="396"/>
      <c r="O894" s="396"/>
      <c r="P894" s="396"/>
      <c r="Q894" s="396"/>
      <c r="R894" s="396"/>
      <c r="S894" s="79"/>
      <c r="T894" s="79"/>
      <c r="U894" s="79"/>
      <c r="V894" s="79"/>
      <c r="W894" s="79"/>
      <c r="X894" s="79"/>
      <c r="Y894" s="79"/>
      <c r="Z894" s="79"/>
    </row>
    <row r="895" spans="1:26" ht="15.75" customHeight="1" x14ac:dyDescent="0.25">
      <c r="A895" s="79"/>
      <c r="B895" s="79"/>
      <c r="C895" s="400"/>
      <c r="D895" s="400"/>
      <c r="E895" s="400"/>
      <c r="F895" s="400"/>
      <c r="G895" s="79"/>
      <c r="H895" s="79"/>
      <c r="I895" s="79"/>
      <c r="J895" s="396"/>
      <c r="K895" s="399"/>
      <c r="L895" s="396"/>
      <c r="M895" s="396"/>
      <c r="N895" s="396"/>
      <c r="O895" s="396"/>
      <c r="P895" s="396"/>
      <c r="Q895" s="396"/>
      <c r="R895" s="396"/>
      <c r="S895" s="79"/>
      <c r="T895" s="79"/>
      <c r="U895" s="79"/>
      <c r="V895" s="79"/>
      <c r="W895" s="79"/>
      <c r="X895" s="79"/>
      <c r="Y895" s="79"/>
      <c r="Z895" s="79"/>
    </row>
    <row r="896" spans="1:26" ht="15.75" customHeight="1" x14ac:dyDescent="0.25">
      <c r="A896" s="79"/>
      <c r="B896" s="79"/>
      <c r="C896" s="400"/>
      <c r="D896" s="400"/>
      <c r="E896" s="400"/>
      <c r="F896" s="400"/>
      <c r="G896" s="79"/>
      <c r="H896" s="79"/>
      <c r="I896" s="79"/>
      <c r="J896" s="396"/>
      <c r="K896" s="399"/>
      <c r="L896" s="396"/>
      <c r="M896" s="396"/>
      <c r="N896" s="396"/>
      <c r="O896" s="396"/>
      <c r="P896" s="396"/>
      <c r="Q896" s="396"/>
      <c r="R896" s="396"/>
      <c r="S896" s="79"/>
      <c r="T896" s="79"/>
      <c r="U896" s="79"/>
      <c r="V896" s="79"/>
      <c r="W896" s="79"/>
      <c r="X896" s="79"/>
      <c r="Y896" s="79"/>
      <c r="Z896" s="79"/>
    </row>
    <row r="897" spans="1:26" ht="15.75" customHeight="1" x14ac:dyDescent="0.25">
      <c r="A897" s="79"/>
      <c r="B897" s="79"/>
      <c r="C897" s="400"/>
      <c r="D897" s="400"/>
      <c r="E897" s="400"/>
      <c r="F897" s="400"/>
      <c r="G897" s="79"/>
      <c r="H897" s="79"/>
      <c r="I897" s="79"/>
      <c r="J897" s="396"/>
      <c r="K897" s="399"/>
      <c r="L897" s="396"/>
      <c r="M897" s="396"/>
      <c r="N897" s="396"/>
      <c r="O897" s="396"/>
      <c r="P897" s="396"/>
      <c r="Q897" s="396"/>
      <c r="R897" s="396"/>
      <c r="S897" s="79"/>
      <c r="T897" s="79"/>
      <c r="U897" s="79"/>
      <c r="V897" s="79"/>
      <c r="W897" s="79"/>
      <c r="X897" s="79"/>
      <c r="Y897" s="79"/>
      <c r="Z897" s="79"/>
    </row>
    <row r="898" spans="1:26" ht="15.75" customHeight="1" x14ac:dyDescent="0.25">
      <c r="A898" s="79"/>
      <c r="B898" s="79"/>
      <c r="C898" s="400"/>
      <c r="D898" s="400"/>
      <c r="E898" s="400"/>
      <c r="F898" s="400"/>
      <c r="G898" s="79"/>
      <c r="H898" s="79"/>
      <c r="I898" s="79"/>
      <c r="J898" s="396"/>
      <c r="K898" s="399"/>
      <c r="L898" s="396"/>
      <c r="M898" s="396"/>
      <c r="N898" s="396"/>
      <c r="O898" s="396"/>
      <c r="P898" s="396"/>
      <c r="Q898" s="396"/>
      <c r="R898" s="396"/>
      <c r="S898" s="79"/>
      <c r="T898" s="79"/>
      <c r="U898" s="79"/>
      <c r="V898" s="79"/>
      <c r="W898" s="79"/>
      <c r="X898" s="79"/>
      <c r="Y898" s="79"/>
      <c r="Z898" s="79"/>
    </row>
    <row r="899" spans="1:26" ht="15.75" customHeight="1" x14ac:dyDescent="0.25">
      <c r="A899" s="79"/>
      <c r="B899" s="79"/>
      <c r="C899" s="400"/>
      <c r="D899" s="400"/>
      <c r="E899" s="400"/>
      <c r="F899" s="400"/>
      <c r="G899" s="79"/>
      <c r="H899" s="79"/>
      <c r="I899" s="79"/>
      <c r="J899" s="396"/>
      <c r="K899" s="399"/>
      <c r="L899" s="396"/>
      <c r="M899" s="396"/>
      <c r="N899" s="396"/>
      <c r="O899" s="396"/>
      <c r="P899" s="396"/>
      <c r="Q899" s="396"/>
      <c r="R899" s="396"/>
      <c r="S899" s="79"/>
      <c r="T899" s="79"/>
      <c r="U899" s="79"/>
      <c r="V899" s="79"/>
      <c r="W899" s="79"/>
      <c r="X899" s="79"/>
      <c r="Y899" s="79"/>
      <c r="Z899" s="79"/>
    </row>
    <row r="900" spans="1:26" ht="15.75" customHeight="1" x14ac:dyDescent="0.25">
      <c r="A900" s="79"/>
      <c r="B900" s="79"/>
      <c r="C900" s="400"/>
      <c r="D900" s="400"/>
      <c r="E900" s="400"/>
      <c r="F900" s="400"/>
      <c r="G900" s="79"/>
      <c r="H900" s="79"/>
      <c r="I900" s="79"/>
      <c r="J900" s="396"/>
      <c r="K900" s="399"/>
      <c r="L900" s="396"/>
      <c r="M900" s="396"/>
      <c r="N900" s="396"/>
      <c r="O900" s="396"/>
      <c r="P900" s="396"/>
      <c r="Q900" s="396"/>
      <c r="R900" s="396"/>
      <c r="S900" s="79"/>
      <c r="T900" s="79"/>
      <c r="U900" s="79"/>
      <c r="V900" s="79"/>
      <c r="W900" s="79"/>
      <c r="X900" s="79"/>
      <c r="Y900" s="79"/>
      <c r="Z900" s="79"/>
    </row>
    <row r="901" spans="1:26" ht="15.75" customHeight="1" x14ac:dyDescent="0.25">
      <c r="A901" s="79"/>
      <c r="B901" s="79"/>
      <c r="C901" s="400"/>
      <c r="D901" s="400"/>
      <c r="E901" s="400"/>
      <c r="F901" s="400"/>
      <c r="G901" s="79"/>
      <c r="H901" s="79"/>
      <c r="I901" s="79"/>
      <c r="J901" s="396"/>
      <c r="K901" s="399"/>
      <c r="L901" s="396"/>
      <c r="M901" s="396"/>
      <c r="N901" s="396"/>
      <c r="O901" s="396"/>
      <c r="P901" s="396"/>
      <c r="Q901" s="396"/>
      <c r="R901" s="396"/>
      <c r="S901" s="79"/>
      <c r="T901" s="79"/>
      <c r="U901" s="79"/>
      <c r="V901" s="79"/>
      <c r="W901" s="79"/>
      <c r="X901" s="79"/>
      <c r="Y901" s="79"/>
      <c r="Z901" s="79"/>
    </row>
    <row r="902" spans="1:26" ht="15.75" customHeight="1" x14ac:dyDescent="0.25">
      <c r="A902" s="79"/>
      <c r="B902" s="79"/>
      <c r="C902" s="400"/>
      <c r="D902" s="400"/>
      <c r="E902" s="400"/>
      <c r="F902" s="400"/>
      <c r="G902" s="79"/>
      <c r="H902" s="79"/>
      <c r="I902" s="79"/>
      <c r="J902" s="396"/>
      <c r="K902" s="399"/>
      <c r="L902" s="396"/>
      <c r="M902" s="396"/>
      <c r="N902" s="396"/>
      <c r="O902" s="396"/>
      <c r="P902" s="396"/>
      <c r="Q902" s="396"/>
      <c r="R902" s="396"/>
      <c r="S902" s="79"/>
      <c r="T902" s="79"/>
      <c r="U902" s="79"/>
      <c r="V902" s="79"/>
      <c r="W902" s="79"/>
      <c r="X902" s="79"/>
      <c r="Y902" s="79"/>
      <c r="Z902" s="79"/>
    </row>
    <row r="903" spans="1:26" ht="15.75" customHeight="1" x14ac:dyDescent="0.25">
      <c r="A903" s="79"/>
      <c r="B903" s="79"/>
      <c r="C903" s="400"/>
      <c r="D903" s="400"/>
      <c r="E903" s="400"/>
      <c r="F903" s="400"/>
      <c r="G903" s="79"/>
      <c r="H903" s="79"/>
      <c r="I903" s="79"/>
      <c r="J903" s="396"/>
      <c r="K903" s="399"/>
      <c r="L903" s="396"/>
      <c r="M903" s="396"/>
      <c r="N903" s="396"/>
      <c r="O903" s="396"/>
      <c r="P903" s="396"/>
      <c r="Q903" s="396"/>
      <c r="R903" s="396"/>
      <c r="S903" s="79"/>
      <c r="T903" s="79"/>
      <c r="U903" s="79"/>
      <c r="V903" s="79"/>
      <c r="W903" s="79"/>
      <c r="X903" s="79"/>
      <c r="Y903" s="79"/>
      <c r="Z903" s="79"/>
    </row>
    <row r="904" spans="1:26" ht="15.75" customHeight="1" x14ac:dyDescent="0.25">
      <c r="A904" s="79"/>
      <c r="B904" s="79"/>
      <c r="C904" s="400"/>
      <c r="D904" s="400"/>
      <c r="E904" s="400"/>
      <c r="F904" s="400"/>
      <c r="G904" s="79"/>
      <c r="H904" s="79"/>
      <c r="I904" s="79"/>
      <c r="J904" s="396"/>
      <c r="K904" s="399"/>
      <c r="L904" s="396"/>
      <c r="M904" s="396"/>
      <c r="N904" s="396"/>
      <c r="O904" s="396"/>
      <c r="P904" s="396"/>
      <c r="Q904" s="396"/>
      <c r="R904" s="396"/>
      <c r="S904" s="79"/>
      <c r="T904" s="79"/>
      <c r="U904" s="79"/>
      <c r="V904" s="79"/>
      <c r="W904" s="79"/>
      <c r="X904" s="79"/>
      <c r="Y904" s="79"/>
      <c r="Z904" s="79"/>
    </row>
    <row r="905" spans="1:26" ht="15.75" customHeight="1" x14ac:dyDescent="0.25">
      <c r="A905" s="79"/>
      <c r="B905" s="79"/>
      <c r="C905" s="400"/>
      <c r="D905" s="400"/>
      <c r="E905" s="400"/>
      <c r="F905" s="400"/>
      <c r="G905" s="79"/>
      <c r="H905" s="79"/>
      <c r="I905" s="79"/>
      <c r="J905" s="396"/>
      <c r="K905" s="399"/>
      <c r="L905" s="396"/>
      <c r="M905" s="396"/>
      <c r="N905" s="396"/>
      <c r="O905" s="396"/>
      <c r="P905" s="396"/>
      <c r="Q905" s="396"/>
      <c r="R905" s="396"/>
      <c r="S905" s="79"/>
      <c r="T905" s="79"/>
      <c r="U905" s="79"/>
      <c r="V905" s="79"/>
      <c r="W905" s="79"/>
      <c r="X905" s="79"/>
      <c r="Y905" s="79"/>
      <c r="Z905" s="79"/>
    </row>
    <row r="906" spans="1:26" ht="15.75" customHeight="1" x14ac:dyDescent="0.25">
      <c r="A906" s="79"/>
      <c r="B906" s="79"/>
      <c r="C906" s="400"/>
      <c r="D906" s="400"/>
      <c r="E906" s="400"/>
      <c r="F906" s="400"/>
      <c r="G906" s="79"/>
      <c r="H906" s="79"/>
      <c r="I906" s="79"/>
      <c r="J906" s="396"/>
      <c r="K906" s="399"/>
      <c r="L906" s="396"/>
      <c r="M906" s="396"/>
      <c r="N906" s="396"/>
      <c r="O906" s="396"/>
      <c r="P906" s="396"/>
      <c r="Q906" s="396"/>
      <c r="R906" s="396"/>
      <c r="S906" s="79"/>
      <c r="T906" s="79"/>
      <c r="U906" s="79"/>
      <c r="V906" s="79"/>
      <c r="W906" s="79"/>
      <c r="X906" s="79"/>
      <c r="Y906" s="79"/>
      <c r="Z906" s="79"/>
    </row>
    <row r="907" spans="1:26" ht="15.75" customHeight="1" x14ac:dyDescent="0.25">
      <c r="A907" s="79"/>
      <c r="B907" s="79"/>
      <c r="C907" s="400"/>
      <c r="D907" s="400"/>
      <c r="E907" s="400"/>
      <c r="F907" s="400"/>
      <c r="G907" s="79"/>
      <c r="H907" s="79"/>
      <c r="I907" s="79"/>
      <c r="J907" s="396"/>
      <c r="K907" s="399"/>
      <c r="L907" s="396"/>
      <c r="M907" s="396"/>
      <c r="N907" s="396"/>
      <c r="O907" s="396"/>
      <c r="P907" s="396"/>
      <c r="Q907" s="396"/>
      <c r="R907" s="396"/>
      <c r="S907" s="79"/>
      <c r="T907" s="79"/>
      <c r="U907" s="79"/>
      <c r="V907" s="79"/>
      <c r="W907" s="79"/>
      <c r="X907" s="79"/>
      <c r="Y907" s="79"/>
      <c r="Z907" s="79"/>
    </row>
    <row r="908" spans="1:26" ht="15.75" customHeight="1" x14ac:dyDescent="0.25">
      <c r="A908" s="79"/>
      <c r="B908" s="79"/>
      <c r="C908" s="400"/>
      <c r="D908" s="400"/>
      <c r="E908" s="400"/>
      <c r="F908" s="400"/>
      <c r="G908" s="79"/>
      <c r="H908" s="79"/>
      <c r="I908" s="79"/>
      <c r="J908" s="396"/>
      <c r="K908" s="399"/>
      <c r="L908" s="396"/>
      <c r="M908" s="396"/>
      <c r="N908" s="396"/>
      <c r="O908" s="396"/>
      <c r="P908" s="396"/>
      <c r="Q908" s="396"/>
      <c r="R908" s="396"/>
      <c r="S908" s="79"/>
      <c r="T908" s="79"/>
      <c r="U908" s="79"/>
      <c r="V908" s="79"/>
      <c r="W908" s="79"/>
      <c r="X908" s="79"/>
      <c r="Y908" s="79"/>
      <c r="Z908" s="79"/>
    </row>
    <row r="909" spans="1:26" ht="15.75" customHeight="1" x14ac:dyDescent="0.25">
      <c r="A909" s="79"/>
      <c r="B909" s="79"/>
      <c r="C909" s="400"/>
      <c r="D909" s="400"/>
      <c r="E909" s="400"/>
      <c r="F909" s="400"/>
      <c r="G909" s="79"/>
      <c r="H909" s="79"/>
      <c r="I909" s="79"/>
      <c r="J909" s="396"/>
      <c r="K909" s="399"/>
      <c r="L909" s="396"/>
      <c r="M909" s="396"/>
      <c r="N909" s="396"/>
      <c r="O909" s="396"/>
      <c r="P909" s="396"/>
      <c r="Q909" s="396"/>
      <c r="R909" s="396"/>
      <c r="S909" s="79"/>
      <c r="T909" s="79"/>
      <c r="U909" s="79"/>
      <c r="V909" s="79"/>
      <c r="W909" s="79"/>
      <c r="X909" s="79"/>
      <c r="Y909" s="79"/>
      <c r="Z909" s="79"/>
    </row>
    <row r="910" spans="1:26" ht="15.75" customHeight="1" x14ac:dyDescent="0.25">
      <c r="A910" s="79"/>
      <c r="B910" s="79"/>
      <c r="C910" s="400"/>
      <c r="D910" s="400"/>
      <c r="E910" s="400"/>
      <c r="F910" s="400"/>
      <c r="G910" s="79"/>
      <c r="H910" s="79"/>
      <c r="I910" s="79"/>
      <c r="J910" s="396"/>
      <c r="K910" s="399"/>
      <c r="L910" s="396"/>
      <c r="M910" s="396"/>
      <c r="N910" s="396"/>
      <c r="O910" s="396"/>
      <c r="P910" s="396"/>
      <c r="Q910" s="396"/>
      <c r="R910" s="396"/>
      <c r="S910" s="79"/>
      <c r="T910" s="79"/>
      <c r="U910" s="79"/>
      <c r="V910" s="79"/>
      <c r="W910" s="79"/>
      <c r="X910" s="79"/>
      <c r="Y910" s="79"/>
      <c r="Z910" s="79"/>
    </row>
    <row r="911" spans="1:26" ht="15.75" customHeight="1" x14ac:dyDescent="0.25">
      <c r="A911" s="79"/>
      <c r="B911" s="79"/>
      <c r="C911" s="400"/>
      <c r="D911" s="400"/>
      <c r="E911" s="400"/>
      <c r="F911" s="400"/>
      <c r="G911" s="79"/>
      <c r="H911" s="79"/>
      <c r="I911" s="79"/>
      <c r="J911" s="396"/>
      <c r="K911" s="399"/>
      <c r="L911" s="396"/>
      <c r="M911" s="396"/>
      <c r="N911" s="396"/>
      <c r="O911" s="396"/>
      <c r="P911" s="396"/>
      <c r="Q911" s="396"/>
      <c r="R911" s="396"/>
      <c r="S911" s="79"/>
      <c r="T911" s="79"/>
      <c r="U911" s="79"/>
      <c r="V911" s="79"/>
      <c r="W911" s="79"/>
      <c r="X911" s="79"/>
      <c r="Y911" s="79"/>
      <c r="Z911" s="79"/>
    </row>
    <row r="912" spans="1:26" ht="15.75" customHeight="1" x14ac:dyDescent="0.25">
      <c r="A912" s="79"/>
      <c r="B912" s="79"/>
      <c r="C912" s="400"/>
      <c r="D912" s="400"/>
      <c r="E912" s="400"/>
      <c r="F912" s="400"/>
      <c r="G912" s="79"/>
      <c r="H912" s="79"/>
      <c r="I912" s="79"/>
      <c r="J912" s="396"/>
      <c r="K912" s="399"/>
      <c r="L912" s="396"/>
      <c r="M912" s="396"/>
      <c r="N912" s="396"/>
      <c r="O912" s="396"/>
      <c r="P912" s="396"/>
      <c r="Q912" s="396"/>
      <c r="R912" s="396"/>
      <c r="S912" s="79"/>
      <c r="T912" s="79"/>
      <c r="U912" s="79"/>
      <c r="V912" s="79"/>
      <c r="W912" s="79"/>
      <c r="X912" s="79"/>
      <c r="Y912" s="79"/>
      <c r="Z912" s="79"/>
    </row>
    <row r="913" spans="1:26" ht="15.75" customHeight="1" x14ac:dyDescent="0.25">
      <c r="A913" s="79"/>
      <c r="B913" s="79"/>
      <c r="C913" s="400"/>
      <c r="D913" s="400"/>
      <c r="E913" s="400"/>
      <c r="F913" s="400"/>
      <c r="G913" s="79"/>
      <c r="H913" s="79"/>
      <c r="I913" s="79"/>
      <c r="J913" s="396"/>
      <c r="K913" s="399"/>
      <c r="L913" s="396"/>
      <c r="M913" s="396"/>
      <c r="N913" s="396"/>
      <c r="O913" s="396"/>
      <c r="P913" s="396"/>
      <c r="Q913" s="396"/>
      <c r="R913" s="396"/>
      <c r="S913" s="79"/>
      <c r="T913" s="79"/>
      <c r="U913" s="79"/>
      <c r="V913" s="79"/>
      <c r="W913" s="79"/>
      <c r="X913" s="79"/>
      <c r="Y913" s="79"/>
      <c r="Z913" s="79"/>
    </row>
    <row r="914" spans="1:26" ht="15.75" customHeight="1" x14ac:dyDescent="0.25">
      <c r="A914" s="79"/>
      <c r="B914" s="79"/>
      <c r="C914" s="400"/>
      <c r="D914" s="400"/>
      <c r="E914" s="400"/>
      <c r="F914" s="400"/>
      <c r="G914" s="79"/>
      <c r="H914" s="79"/>
      <c r="I914" s="79"/>
      <c r="J914" s="396"/>
      <c r="K914" s="399"/>
      <c r="L914" s="396"/>
      <c r="M914" s="396"/>
      <c r="N914" s="396"/>
      <c r="O914" s="396"/>
      <c r="P914" s="396"/>
      <c r="Q914" s="396"/>
      <c r="R914" s="396"/>
      <c r="S914" s="79"/>
      <c r="T914" s="79"/>
      <c r="U914" s="79"/>
      <c r="V914" s="79"/>
      <c r="W914" s="79"/>
      <c r="X914" s="79"/>
      <c r="Y914" s="79"/>
      <c r="Z914" s="79"/>
    </row>
    <row r="915" spans="1:26" ht="15.75" customHeight="1" x14ac:dyDescent="0.25">
      <c r="A915" s="79"/>
      <c r="B915" s="79"/>
      <c r="C915" s="400"/>
      <c r="D915" s="400"/>
      <c r="E915" s="400"/>
      <c r="F915" s="400"/>
      <c r="G915" s="79"/>
      <c r="H915" s="79"/>
      <c r="I915" s="79"/>
      <c r="J915" s="396"/>
      <c r="K915" s="399"/>
      <c r="L915" s="396"/>
      <c r="M915" s="396"/>
      <c r="N915" s="396"/>
      <c r="O915" s="396"/>
      <c r="P915" s="396"/>
      <c r="Q915" s="396"/>
      <c r="R915" s="396"/>
      <c r="S915" s="79"/>
      <c r="T915" s="79"/>
      <c r="U915" s="79"/>
      <c r="V915" s="79"/>
      <c r="W915" s="79"/>
      <c r="X915" s="79"/>
      <c r="Y915" s="79"/>
      <c r="Z915" s="79"/>
    </row>
    <row r="916" spans="1:26" ht="15.75" customHeight="1" x14ac:dyDescent="0.25">
      <c r="A916" s="79"/>
      <c r="B916" s="79"/>
      <c r="C916" s="400"/>
      <c r="D916" s="400"/>
      <c r="E916" s="400"/>
      <c r="F916" s="400"/>
      <c r="G916" s="79"/>
      <c r="H916" s="79"/>
      <c r="I916" s="79"/>
      <c r="J916" s="396"/>
      <c r="K916" s="399"/>
      <c r="L916" s="396"/>
      <c r="M916" s="396"/>
      <c r="N916" s="396"/>
      <c r="O916" s="396"/>
      <c r="P916" s="396"/>
      <c r="Q916" s="396"/>
      <c r="R916" s="396"/>
      <c r="S916" s="79"/>
      <c r="T916" s="79"/>
      <c r="U916" s="79"/>
      <c r="V916" s="79"/>
      <c r="W916" s="79"/>
      <c r="X916" s="79"/>
      <c r="Y916" s="79"/>
      <c r="Z916" s="79"/>
    </row>
    <row r="917" spans="1:26" ht="15.75" customHeight="1" x14ac:dyDescent="0.25">
      <c r="A917" s="79"/>
      <c r="B917" s="79"/>
      <c r="C917" s="400"/>
      <c r="D917" s="400"/>
      <c r="E917" s="400"/>
      <c r="F917" s="400"/>
      <c r="G917" s="79"/>
      <c r="H917" s="79"/>
      <c r="I917" s="79"/>
      <c r="J917" s="396"/>
      <c r="K917" s="399"/>
      <c r="L917" s="396"/>
      <c r="M917" s="396"/>
      <c r="N917" s="396"/>
      <c r="O917" s="396"/>
      <c r="P917" s="396"/>
      <c r="Q917" s="396"/>
      <c r="R917" s="396"/>
      <c r="S917" s="79"/>
      <c r="T917" s="79"/>
      <c r="U917" s="79"/>
      <c r="V917" s="79"/>
      <c r="W917" s="79"/>
      <c r="X917" s="79"/>
      <c r="Y917" s="79"/>
      <c r="Z917" s="79"/>
    </row>
    <row r="918" spans="1:26" ht="15.75" customHeight="1" x14ac:dyDescent="0.25">
      <c r="A918" s="79"/>
      <c r="B918" s="79"/>
      <c r="C918" s="400"/>
      <c r="D918" s="400"/>
      <c r="E918" s="400"/>
      <c r="F918" s="400"/>
      <c r="G918" s="79"/>
      <c r="H918" s="79"/>
      <c r="I918" s="79"/>
      <c r="J918" s="396"/>
      <c r="K918" s="399"/>
      <c r="L918" s="396"/>
      <c r="M918" s="396"/>
      <c r="N918" s="396"/>
      <c r="O918" s="396"/>
      <c r="P918" s="396"/>
      <c r="Q918" s="396"/>
      <c r="R918" s="396"/>
      <c r="S918" s="79"/>
      <c r="T918" s="79"/>
      <c r="U918" s="79"/>
      <c r="V918" s="79"/>
      <c r="W918" s="79"/>
      <c r="X918" s="79"/>
      <c r="Y918" s="79"/>
      <c r="Z918" s="79"/>
    </row>
    <row r="919" spans="1:26" ht="15.75" customHeight="1" x14ac:dyDescent="0.25">
      <c r="A919" s="79"/>
      <c r="B919" s="79"/>
      <c r="C919" s="400"/>
      <c r="D919" s="400"/>
      <c r="E919" s="400"/>
      <c r="F919" s="400"/>
      <c r="G919" s="79"/>
      <c r="H919" s="79"/>
      <c r="I919" s="79"/>
      <c r="J919" s="396"/>
      <c r="K919" s="399"/>
      <c r="L919" s="396"/>
      <c r="M919" s="396"/>
      <c r="N919" s="396"/>
      <c r="O919" s="396"/>
      <c r="P919" s="396"/>
      <c r="Q919" s="396"/>
      <c r="R919" s="396"/>
      <c r="S919" s="79"/>
      <c r="T919" s="79"/>
      <c r="U919" s="79"/>
      <c r="V919" s="79"/>
      <c r="W919" s="79"/>
      <c r="X919" s="79"/>
      <c r="Y919" s="79"/>
      <c r="Z919" s="79"/>
    </row>
    <row r="920" spans="1:26" ht="15.75" customHeight="1" x14ac:dyDescent="0.25">
      <c r="A920" s="79"/>
      <c r="B920" s="79"/>
      <c r="C920" s="400"/>
      <c r="D920" s="400"/>
      <c r="E920" s="400"/>
      <c r="F920" s="400"/>
      <c r="G920" s="79"/>
      <c r="H920" s="79"/>
      <c r="I920" s="79"/>
      <c r="J920" s="396"/>
      <c r="K920" s="399"/>
      <c r="L920" s="396"/>
      <c r="M920" s="396"/>
      <c r="N920" s="396"/>
      <c r="O920" s="396"/>
      <c r="P920" s="396"/>
      <c r="Q920" s="396"/>
      <c r="R920" s="396"/>
      <c r="S920" s="79"/>
      <c r="T920" s="79"/>
      <c r="U920" s="79"/>
      <c r="V920" s="79"/>
      <c r="W920" s="79"/>
      <c r="X920" s="79"/>
      <c r="Y920" s="79"/>
      <c r="Z920" s="79"/>
    </row>
    <row r="921" spans="1:26" ht="15.75" customHeight="1" x14ac:dyDescent="0.25">
      <c r="A921" s="79"/>
      <c r="B921" s="79"/>
      <c r="C921" s="400"/>
      <c r="D921" s="400"/>
      <c r="E921" s="400"/>
      <c r="F921" s="400"/>
      <c r="G921" s="79"/>
      <c r="H921" s="79"/>
      <c r="I921" s="79"/>
      <c r="J921" s="396"/>
      <c r="K921" s="399"/>
      <c r="L921" s="396"/>
      <c r="M921" s="396"/>
      <c r="N921" s="396"/>
      <c r="O921" s="396"/>
      <c r="P921" s="396"/>
      <c r="Q921" s="396"/>
      <c r="R921" s="396"/>
      <c r="S921" s="79"/>
      <c r="T921" s="79"/>
      <c r="U921" s="79"/>
      <c r="V921" s="79"/>
      <c r="W921" s="79"/>
      <c r="X921" s="79"/>
      <c r="Y921" s="79"/>
      <c r="Z921" s="79"/>
    </row>
    <row r="922" spans="1:26" ht="15.75" customHeight="1" x14ac:dyDescent="0.25">
      <c r="A922" s="79"/>
      <c r="B922" s="79"/>
      <c r="C922" s="400"/>
      <c r="D922" s="400"/>
      <c r="E922" s="400"/>
      <c r="F922" s="400"/>
      <c r="G922" s="79"/>
      <c r="H922" s="79"/>
      <c r="I922" s="79"/>
      <c r="J922" s="396"/>
      <c r="K922" s="399"/>
      <c r="L922" s="396"/>
      <c r="M922" s="396"/>
      <c r="N922" s="396"/>
      <c r="O922" s="396"/>
      <c r="P922" s="396"/>
      <c r="Q922" s="396"/>
      <c r="R922" s="396"/>
      <c r="S922" s="79"/>
      <c r="T922" s="79"/>
      <c r="U922" s="79"/>
      <c r="V922" s="79"/>
      <c r="W922" s="79"/>
      <c r="X922" s="79"/>
      <c r="Y922" s="79"/>
      <c r="Z922" s="79"/>
    </row>
    <row r="923" spans="1:26" ht="15.75" customHeight="1" x14ac:dyDescent="0.25">
      <c r="A923" s="79"/>
      <c r="B923" s="79"/>
      <c r="C923" s="400"/>
      <c r="D923" s="400"/>
      <c r="E923" s="400"/>
      <c r="F923" s="400"/>
      <c r="G923" s="79"/>
      <c r="H923" s="79"/>
      <c r="I923" s="79"/>
      <c r="J923" s="396"/>
      <c r="K923" s="399"/>
      <c r="L923" s="396"/>
      <c r="M923" s="396"/>
      <c r="N923" s="396"/>
      <c r="O923" s="396"/>
      <c r="P923" s="396"/>
      <c r="Q923" s="396"/>
      <c r="R923" s="396"/>
      <c r="S923" s="79"/>
      <c r="T923" s="79"/>
      <c r="U923" s="79"/>
      <c r="V923" s="79"/>
      <c r="W923" s="79"/>
      <c r="X923" s="79"/>
      <c r="Y923" s="79"/>
      <c r="Z923" s="79"/>
    </row>
    <row r="924" spans="1:26" ht="15.75" customHeight="1" x14ac:dyDescent="0.25">
      <c r="A924" s="79"/>
      <c r="B924" s="79"/>
      <c r="C924" s="400"/>
      <c r="D924" s="400"/>
      <c r="E924" s="400"/>
      <c r="F924" s="400"/>
      <c r="G924" s="79"/>
      <c r="H924" s="79"/>
      <c r="I924" s="79"/>
      <c r="J924" s="396"/>
      <c r="K924" s="399"/>
      <c r="L924" s="396"/>
      <c r="M924" s="396"/>
      <c r="N924" s="396"/>
      <c r="O924" s="396"/>
      <c r="P924" s="396"/>
      <c r="Q924" s="396"/>
      <c r="R924" s="396"/>
      <c r="S924" s="79"/>
      <c r="T924" s="79"/>
      <c r="U924" s="79"/>
      <c r="V924" s="79"/>
      <c r="W924" s="79"/>
      <c r="X924" s="79"/>
      <c r="Y924" s="79"/>
      <c r="Z924" s="79"/>
    </row>
    <row r="925" spans="1:26" ht="15.75" customHeight="1" x14ac:dyDescent="0.25">
      <c r="A925" s="79"/>
      <c r="B925" s="79"/>
      <c r="C925" s="400"/>
      <c r="D925" s="400"/>
      <c r="E925" s="400"/>
      <c r="F925" s="400"/>
      <c r="G925" s="79"/>
      <c r="H925" s="79"/>
      <c r="I925" s="79"/>
      <c r="J925" s="396"/>
      <c r="K925" s="399"/>
      <c r="L925" s="396"/>
      <c r="M925" s="396"/>
      <c r="N925" s="396"/>
      <c r="O925" s="396"/>
      <c r="P925" s="396"/>
      <c r="Q925" s="396"/>
      <c r="R925" s="396"/>
      <c r="S925" s="79"/>
      <c r="T925" s="79"/>
      <c r="U925" s="79"/>
      <c r="V925" s="79"/>
      <c r="W925" s="79"/>
      <c r="X925" s="79"/>
      <c r="Y925" s="79"/>
      <c r="Z925" s="79"/>
    </row>
    <row r="926" spans="1:26" ht="15.75" customHeight="1" x14ac:dyDescent="0.25">
      <c r="A926" s="79"/>
      <c r="B926" s="79"/>
      <c r="C926" s="400"/>
      <c r="D926" s="400"/>
      <c r="E926" s="400"/>
      <c r="F926" s="400"/>
      <c r="G926" s="79"/>
      <c r="H926" s="79"/>
      <c r="I926" s="79"/>
      <c r="J926" s="396"/>
      <c r="K926" s="399"/>
      <c r="L926" s="396"/>
      <c r="M926" s="396"/>
      <c r="N926" s="396"/>
      <c r="O926" s="396"/>
      <c r="P926" s="396"/>
      <c r="Q926" s="396"/>
      <c r="R926" s="396"/>
      <c r="S926" s="79"/>
      <c r="T926" s="79"/>
      <c r="U926" s="79"/>
      <c r="V926" s="79"/>
      <c r="W926" s="79"/>
      <c r="X926" s="79"/>
      <c r="Y926" s="79"/>
      <c r="Z926" s="79"/>
    </row>
    <row r="927" spans="1:26" ht="15.75" customHeight="1" x14ac:dyDescent="0.25">
      <c r="A927" s="79"/>
      <c r="B927" s="79"/>
      <c r="C927" s="400"/>
      <c r="D927" s="400"/>
      <c r="E927" s="400"/>
      <c r="F927" s="400"/>
      <c r="G927" s="79"/>
      <c r="H927" s="79"/>
      <c r="I927" s="79"/>
      <c r="J927" s="396"/>
      <c r="K927" s="399"/>
      <c r="L927" s="396"/>
      <c r="M927" s="396"/>
      <c r="N927" s="396"/>
      <c r="O927" s="396"/>
      <c r="P927" s="396"/>
      <c r="Q927" s="396"/>
      <c r="R927" s="396"/>
      <c r="S927" s="79"/>
      <c r="T927" s="79"/>
      <c r="U927" s="79"/>
      <c r="V927" s="79"/>
      <c r="W927" s="79"/>
      <c r="X927" s="79"/>
      <c r="Y927" s="79"/>
      <c r="Z927" s="79"/>
    </row>
    <row r="928" spans="1:26" ht="15.75" customHeight="1" x14ac:dyDescent="0.25">
      <c r="A928" s="79"/>
      <c r="B928" s="79"/>
      <c r="C928" s="400"/>
      <c r="D928" s="400"/>
      <c r="E928" s="400"/>
      <c r="F928" s="400"/>
      <c r="G928" s="79"/>
      <c r="H928" s="79"/>
      <c r="I928" s="79"/>
      <c r="J928" s="396"/>
      <c r="K928" s="399"/>
      <c r="L928" s="396"/>
      <c r="M928" s="396"/>
      <c r="N928" s="396"/>
      <c r="O928" s="396"/>
      <c r="P928" s="396"/>
      <c r="Q928" s="396"/>
      <c r="R928" s="396"/>
      <c r="S928" s="79"/>
      <c r="T928" s="79"/>
      <c r="U928" s="79"/>
      <c r="V928" s="79"/>
      <c r="W928" s="79"/>
      <c r="X928" s="79"/>
      <c r="Y928" s="79"/>
      <c r="Z928" s="79"/>
    </row>
    <row r="929" spans="1:26" ht="15.75" customHeight="1" x14ac:dyDescent="0.25">
      <c r="A929" s="79"/>
      <c r="B929" s="79"/>
      <c r="C929" s="400"/>
      <c r="D929" s="400"/>
      <c r="E929" s="400"/>
      <c r="F929" s="400"/>
      <c r="G929" s="79"/>
      <c r="H929" s="79"/>
      <c r="I929" s="79"/>
      <c r="J929" s="396"/>
      <c r="K929" s="399"/>
      <c r="L929" s="396"/>
      <c r="M929" s="396"/>
      <c r="N929" s="396"/>
      <c r="O929" s="396"/>
      <c r="P929" s="396"/>
      <c r="Q929" s="396"/>
      <c r="R929" s="396"/>
      <c r="S929" s="79"/>
      <c r="T929" s="79"/>
      <c r="U929" s="79"/>
      <c r="V929" s="79"/>
      <c r="W929" s="79"/>
      <c r="X929" s="79"/>
      <c r="Y929" s="79"/>
      <c r="Z929" s="79"/>
    </row>
    <row r="930" spans="1:26" ht="15.75" customHeight="1" x14ac:dyDescent="0.25">
      <c r="A930" s="79"/>
      <c r="B930" s="79"/>
      <c r="C930" s="400"/>
      <c r="D930" s="400"/>
      <c r="E930" s="400"/>
      <c r="F930" s="400"/>
      <c r="G930" s="79"/>
      <c r="H930" s="79"/>
      <c r="I930" s="79"/>
      <c r="J930" s="396"/>
      <c r="K930" s="399"/>
      <c r="L930" s="396"/>
      <c r="M930" s="396"/>
      <c r="N930" s="396"/>
      <c r="O930" s="396"/>
      <c r="P930" s="396"/>
      <c r="Q930" s="396"/>
      <c r="R930" s="396"/>
      <c r="S930" s="79"/>
      <c r="T930" s="79"/>
      <c r="U930" s="79"/>
      <c r="V930" s="79"/>
      <c r="W930" s="79"/>
      <c r="X930" s="79"/>
      <c r="Y930" s="79"/>
      <c r="Z930" s="79"/>
    </row>
    <row r="931" spans="1:26" ht="15.75" customHeight="1" x14ac:dyDescent="0.25">
      <c r="A931" s="79"/>
      <c r="B931" s="79"/>
      <c r="C931" s="400"/>
      <c r="D931" s="400"/>
      <c r="E931" s="400"/>
      <c r="F931" s="400"/>
      <c r="G931" s="79"/>
      <c r="H931" s="79"/>
      <c r="I931" s="79"/>
      <c r="J931" s="396"/>
      <c r="K931" s="399"/>
      <c r="L931" s="396"/>
      <c r="M931" s="396"/>
      <c r="N931" s="396"/>
      <c r="O931" s="396"/>
      <c r="P931" s="396"/>
      <c r="Q931" s="396"/>
      <c r="R931" s="396"/>
      <c r="S931" s="79"/>
      <c r="T931" s="79"/>
      <c r="U931" s="79"/>
      <c r="V931" s="79"/>
      <c r="W931" s="79"/>
      <c r="X931" s="79"/>
      <c r="Y931" s="79"/>
      <c r="Z931" s="79"/>
    </row>
    <row r="932" spans="1:26" ht="15.75" customHeight="1" x14ac:dyDescent="0.25">
      <c r="A932" s="79"/>
      <c r="B932" s="79"/>
      <c r="C932" s="400"/>
      <c r="D932" s="400"/>
      <c r="E932" s="400"/>
      <c r="F932" s="400"/>
      <c r="G932" s="79"/>
      <c r="H932" s="79"/>
      <c r="I932" s="79"/>
      <c r="J932" s="396"/>
      <c r="K932" s="399"/>
      <c r="L932" s="396"/>
      <c r="M932" s="396"/>
      <c r="N932" s="396"/>
      <c r="O932" s="396"/>
      <c r="P932" s="396"/>
      <c r="Q932" s="396"/>
      <c r="R932" s="396"/>
      <c r="S932" s="79"/>
      <c r="T932" s="79"/>
      <c r="U932" s="79"/>
      <c r="V932" s="79"/>
      <c r="W932" s="79"/>
      <c r="X932" s="79"/>
      <c r="Y932" s="79"/>
      <c r="Z932" s="79"/>
    </row>
    <row r="933" spans="1:26" ht="15.75" customHeight="1" x14ac:dyDescent="0.25">
      <c r="A933" s="79"/>
      <c r="B933" s="79"/>
      <c r="C933" s="400"/>
      <c r="D933" s="400"/>
      <c r="E933" s="400"/>
      <c r="F933" s="400"/>
      <c r="G933" s="79"/>
      <c r="H933" s="79"/>
      <c r="I933" s="79"/>
      <c r="J933" s="396"/>
      <c r="K933" s="399"/>
      <c r="L933" s="396"/>
      <c r="M933" s="396"/>
      <c r="N933" s="396"/>
      <c r="O933" s="396"/>
      <c r="P933" s="396"/>
      <c r="Q933" s="396"/>
      <c r="R933" s="396"/>
      <c r="S933" s="79"/>
      <c r="T933" s="79"/>
      <c r="U933" s="79"/>
      <c r="V933" s="79"/>
      <c r="W933" s="79"/>
      <c r="X933" s="79"/>
      <c r="Y933" s="79"/>
      <c r="Z933" s="79"/>
    </row>
    <row r="934" spans="1:26" ht="15.75" customHeight="1" x14ac:dyDescent="0.25">
      <c r="A934" s="79"/>
      <c r="B934" s="79"/>
      <c r="C934" s="400"/>
      <c r="D934" s="400"/>
      <c r="E934" s="400"/>
      <c r="F934" s="400"/>
      <c r="G934" s="79"/>
      <c r="H934" s="79"/>
      <c r="I934" s="79"/>
      <c r="J934" s="396"/>
      <c r="K934" s="399"/>
      <c r="L934" s="396"/>
      <c r="M934" s="396"/>
      <c r="N934" s="396"/>
      <c r="O934" s="396"/>
      <c r="P934" s="396"/>
      <c r="Q934" s="396"/>
      <c r="R934" s="396"/>
      <c r="S934" s="79"/>
      <c r="T934" s="79"/>
      <c r="U934" s="79"/>
      <c r="V934" s="79"/>
      <c r="W934" s="79"/>
      <c r="X934" s="79"/>
      <c r="Y934" s="79"/>
      <c r="Z934" s="79"/>
    </row>
    <row r="935" spans="1:26" ht="15.75" customHeight="1" x14ac:dyDescent="0.25">
      <c r="A935" s="79"/>
      <c r="B935" s="79"/>
      <c r="C935" s="400"/>
      <c r="D935" s="400"/>
      <c r="E935" s="400"/>
      <c r="F935" s="400"/>
      <c r="G935" s="79"/>
      <c r="H935" s="79"/>
      <c r="I935" s="79"/>
      <c r="J935" s="396"/>
      <c r="K935" s="399"/>
      <c r="L935" s="396"/>
      <c r="M935" s="396"/>
      <c r="N935" s="396"/>
      <c r="O935" s="396"/>
      <c r="P935" s="396"/>
      <c r="Q935" s="396"/>
      <c r="R935" s="396"/>
      <c r="S935" s="79"/>
      <c r="T935" s="79"/>
      <c r="U935" s="79"/>
      <c r="V935" s="79"/>
      <c r="W935" s="79"/>
      <c r="X935" s="79"/>
      <c r="Y935" s="79"/>
      <c r="Z935" s="79"/>
    </row>
    <row r="936" spans="1:26" ht="15.75" customHeight="1" x14ac:dyDescent="0.25">
      <c r="A936" s="79"/>
      <c r="B936" s="79"/>
      <c r="C936" s="400"/>
      <c r="D936" s="400"/>
      <c r="E936" s="400"/>
      <c r="F936" s="400"/>
      <c r="G936" s="79"/>
      <c r="H936" s="79"/>
      <c r="I936" s="79"/>
      <c r="J936" s="396"/>
      <c r="K936" s="399"/>
      <c r="L936" s="396"/>
      <c r="M936" s="396"/>
      <c r="N936" s="396"/>
      <c r="O936" s="396"/>
      <c r="P936" s="396"/>
      <c r="Q936" s="396"/>
      <c r="R936" s="396"/>
      <c r="S936" s="79"/>
      <c r="T936" s="79"/>
      <c r="U936" s="79"/>
      <c r="V936" s="79"/>
      <c r="W936" s="79"/>
      <c r="X936" s="79"/>
      <c r="Y936" s="79"/>
      <c r="Z936" s="79"/>
    </row>
    <row r="937" spans="1:26" ht="15.75" customHeight="1" x14ac:dyDescent="0.25">
      <c r="A937" s="79"/>
      <c r="B937" s="79"/>
      <c r="C937" s="400"/>
      <c r="D937" s="400"/>
      <c r="E937" s="400"/>
      <c r="F937" s="400"/>
      <c r="G937" s="79"/>
      <c r="H937" s="79"/>
      <c r="I937" s="79"/>
      <c r="J937" s="396"/>
      <c r="K937" s="399"/>
      <c r="L937" s="396"/>
      <c r="M937" s="396"/>
      <c r="N937" s="396"/>
      <c r="O937" s="396"/>
      <c r="P937" s="396"/>
      <c r="Q937" s="396"/>
      <c r="R937" s="396"/>
      <c r="S937" s="79"/>
      <c r="T937" s="79"/>
      <c r="U937" s="79"/>
      <c r="V937" s="79"/>
      <c r="W937" s="79"/>
      <c r="X937" s="79"/>
      <c r="Y937" s="79"/>
      <c r="Z937" s="79"/>
    </row>
    <row r="938" spans="1:26" ht="15.75" customHeight="1" x14ac:dyDescent="0.25">
      <c r="A938" s="79"/>
      <c r="B938" s="79"/>
      <c r="C938" s="400"/>
      <c r="D938" s="400"/>
      <c r="E938" s="400"/>
      <c r="F938" s="400"/>
      <c r="G938" s="79"/>
      <c r="H938" s="79"/>
      <c r="I938" s="79"/>
      <c r="J938" s="396"/>
      <c r="K938" s="399"/>
      <c r="L938" s="396"/>
      <c r="M938" s="396"/>
      <c r="N938" s="396"/>
      <c r="O938" s="396"/>
      <c r="P938" s="396"/>
      <c r="Q938" s="396"/>
      <c r="R938" s="396"/>
      <c r="S938" s="79"/>
      <c r="T938" s="79"/>
      <c r="U938" s="79"/>
      <c r="V938" s="79"/>
      <c r="W938" s="79"/>
      <c r="X938" s="79"/>
      <c r="Y938" s="79"/>
      <c r="Z938" s="79"/>
    </row>
    <row r="939" spans="1:26" ht="15.75" customHeight="1" x14ac:dyDescent="0.25">
      <c r="A939" s="79"/>
      <c r="B939" s="79"/>
      <c r="C939" s="400"/>
      <c r="D939" s="400"/>
      <c r="E939" s="400"/>
      <c r="F939" s="400"/>
      <c r="G939" s="79"/>
      <c r="H939" s="79"/>
      <c r="I939" s="79"/>
      <c r="J939" s="396"/>
      <c r="K939" s="399"/>
      <c r="L939" s="396"/>
      <c r="M939" s="396"/>
      <c r="N939" s="396"/>
      <c r="O939" s="396"/>
      <c r="P939" s="396"/>
      <c r="Q939" s="396"/>
      <c r="R939" s="396"/>
      <c r="S939" s="79"/>
      <c r="T939" s="79"/>
      <c r="U939" s="79"/>
      <c r="V939" s="79"/>
      <c r="W939" s="79"/>
      <c r="X939" s="79"/>
      <c r="Y939" s="79"/>
      <c r="Z939" s="79"/>
    </row>
    <row r="940" spans="1:26" ht="15.75" customHeight="1" x14ac:dyDescent="0.25">
      <c r="A940" s="79"/>
      <c r="B940" s="79"/>
      <c r="C940" s="400"/>
      <c r="D940" s="400"/>
      <c r="E940" s="400"/>
      <c r="F940" s="400"/>
      <c r="G940" s="79"/>
      <c r="H940" s="79"/>
      <c r="I940" s="79"/>
      <c r="J940" s="396"/>
      <c r="K940" s="399"/>
      <c r="L940" s="396"/>
      <c r="M940" s="396"/>
      <c r="N940" s="396"/>
      <c r="O940" s="396"/>
      <c r="P940" s="396"/>
      <c r="Q940" s="396"/>
      <c r="R940" s="396"/>
      <c r="S940" s="79"/>
      <c r="T940" s="79"/>
      <c r="U940" s="79"/>
      <c r="V940" s="79"/>
      <c r="W940" s="79"/>
      <c r="X940" s="79"/>
      <c r="Y940" s="79"/>
      <c r="Z940" s="79"/>
    </row>
    <row r="941" spans="1:26" ht="15.75" customHeight="1" x14ac:dyDescent="0.25">
      <c r="A941" s="79"/>
      <c r="B941" s="79"/>
      <c r="C941" s="400"/>
      <c r="D941" s="400"/>
      <c r="E941" s="400"/>
      <c r="F941" s="400"/>
      <c r="G941" s="79"/>
      <c r="H941" s="79"/>
      <c r="I941" s="79"/>
      <c r="J941" s="396"/>
      <c r="K941" s="399"/>
      <c r="L941" s="396"/>
      <c r="M941" s="396"/>
      <c r="N941" s="396"/>
      <c r="O941" s="396"/>
      <c r="P941" s="396"/>
      <c r="Q941" s="396"/>
      <c r="R941" s="396"/>
      <c r="S941" s="79"/>
      <c r="T941" s="79"/>
      <c r="U941" s="79"/>
      <c r="V941" s="79"/>
      <c r="W941" s="79"/>
      <c r="X941" s="79"/>
      <c r="Y941" s="79"/>
      <c r="Z941" s="79"/>
    </row>
    <row r="942" spans="1:26" ht="15.75" customHeight="1" x14ac:dyDescent="0.25">
      <c r="A942" s="79"/>
      <c r="B942" s="79"/>
      <c r="C942" s="400"/>
      <c r="D942" s="400"/>
      <c r="E942" s="400"/>
      <c r="F942" s="400"/>
      <c r="G942" s="79"/>
      <c r="H942" s="79"/>
      <c r="I942" s="79"/>
      <c r="J942" s="396"/>
      <c r="K942" s="399"/>
      <c r="L942" s="396"/>
      <c r="M942" s="396"/>
      <c r="N942" s="396"/>
      <c r="O942" s="396"/>
      <c r="P942" s="396"/>
      <c r="Q942" s="396"/>
      <c r="R942" s="396"/>
      <c r="S942" s="79"/>
      <c r="T942" s="79"/>
      <c r="U942" s="79"/>
      <c r="V942" s="79"/>
      <c r="W942" s="79"/>
      <c r="X942" s="79"/>
      <c r="Y942" s="79"/>
      <c r="Z942" s="79"/>
    </row>
    <row r="943" spans="1:26" ht="15.75" customHeight="1" x14ac:dyDescent="0.25">
      <c r="A943" s="79"/>
      <c r="B943" s="79"/>
      <c r="C943" s="400"/>
      <c r="D943" s="400"/>
      <c r="E943" s="400"/>
      <c r="F943" s="400"/>
      <c r="G943" s="79"/>
      <c r="H943" s="79"/>
      <c r="I943" s="79"/>
      <c r="J943" s="396"/>
      <c r="K943" s="399"/>
      <c r="L943" s="396"/>
      <c r="M943" s="396"/>
      <c r="N943" s="396"/>
      <c r="O943" s="396"/>
      <c r="P943" s="396"/>
      <c r="Q943" s="396"/>
      <c r="R943" s="396"/>
      <c r="S943" s="79"/>
      <c r="T943" s="79"/>
      <c r="U943" s="79"/>
      <c r="V943" s="79"/>
      <c r="W943" s="79"/>
      <c r="X943" s="79"/>
      <c r="Y943" s="79"/>
      <c r="Z943" s="79"/>
    </row>
    <row r="944" spans="1:26" ht="15.75" customHeight="1" x14ac:dyDescent="0.25">
      <c r="A944" s="79"/>
      <c r="B944" s="79"/>
      <c r="C944" s="400"/>
      <c r="D944" s="400"/>
      <c r="E944" s="400"/>
      <c r="F944" s="400"/>
      <c r="G944" s="79"/>
      <c r="H944" s="79"/>
      <c r="I944" s="79"/>
      <c r="J944" s="396"/>
      <c r="K944" s="399"/>
      <c r="L944" s="396"/>
      <c r="M944" s="396"/>
      <c r="N944" s="396"/>
      <c r="O944" s="396"/>
      <c r="P944" s="396"/>
      <c r="Q944" s="396"/>
      <c r="R944" s="396"/>
      <c r="S944" s="79"/>
      <c r="T944" s="79"/>
      <c r="U944" s="79"/>
      <c r="V944" s="79"/>
      <c r="W944" s="79"/>
      <c r="X944" s="79"/>
      <c r="Y944" s="79"/>
      <c r="Z944" s="79"/>
    </row>
    <row r="945" spans="1:26" ht="15.75" customHeight="1" x14ac:dyDescent="0.25">
      <c r="A945" s="79"/>
      <c r="B945" s="79"/>
      <c r="C945" s="400"/>
      <c r="D945" s="400"/>
      <c r="E945" s="400"/>
      <c r="F945" s="400"/>
      <c r="G945" s="79"/>
      <c r="H945" s="79"/>
      <c r="I945" s="79"/>
      <c r="J945" s="396"/>
      <c r="K945" s="399"/>
      <c r="L945" s="396"/>
      <c r="M945" s="396"/>
      <c r="N945" s="396"/>
      <c r="O945" s="396"/>
      <c r="P945" s="396"/>
      <c r="Q945" s="396"/>
      <c r="R945" s="396"/>
      <c r="S945" s="79"/>
      <c r="T945" s="79"/>
      <c r="U945" s="79"/>
      <c r="V945" s="79"/>
      <c r="W945" s="79"/>
      <c r="X945" s="79"/>
      <c r="Y945" s="79"/>
      <c r="Z945" s="79"/>
    </row>
    <row r="946" spans="1:26" ht="15.75" customHeight="1" x14ac:dyDescent="0.25">
      <c r="A946" s="79"/>
      <c r="B946" s="79"/>
      <c r="C946" s="400"/>
      <c r="D946" s="400"/>
      <c r="E946" s="400"/>
      <c r="F946" s="400"/>
      <c r="G946" s="79"/>
      <c r="H946" s="79"/>
      <c r="I946" s="79"/>
      <c r="J946" s="396"/>
      <c r="K946" s="399"/>
      <c r="L946" s="396"/>
      <c r="M946" s="396"/>
      <c r="N946" s="396"/>
      <c r="O946" s="396"/>
      <c r="P946" s="396"/>
      <c r="Q946" s="396"/>
      <c r="R946" s="396"/>
      <c r="S946" s="79"/>
      <c r="T946" s="79"/>
      <c r="U946" s="79"/>
      <c r="V946" s="79"/>
      <c r="W946" s="79"/>
      <c r="X946" s="79"/>
      <c r="Y946" s="79"/>
      <c r="Z946" s="79"/>
    </row>
    <row r="947" spans="1:26" ht="15.75" customHeight="1" x14ac:dyDescent="0.25">
      <c r="A947" s="79"/>
      <c r="B947" s="79"/>
      <c r="C947" s="400"/>
      <c r="D947" s="400"/>
      <c r="E947" s="400"/>
      <c r="F947" s="400"/>
      <c r="G947" s="79"/>
      <c r="H947" s="79"/>
      <c r="I947" s="79"/>
      <c r="J947" s="396"/>
      <c r="K947" s="399"/>
      <c r="L947" s="396"/>
      <c r="M947" s="396"/>
      <c r="N947" s="396"/>
      <c r="O947" s="396"/>
      <c r="P947" s="396"/>
      <c r="Q947" s="396"/>
      <c r="R947" s="396"/>
      <c r="S947" s="79"/>
      <c r="T947" s="79"/>
      <c r="U947" s="79"/>
      <c r="V947" s="79"/>
      <c r="W947" s="79"/>
      <c r="X947" s="79"/>
      <c r="Y947" s="79"/>
      <c r="Z947" s="79"/>
    </row>
    <row r="948" spans="1:26" ht="15.75" customHeight="1" x14ac:dyDescent="0.25">
      <c r="A948" s="79"/>
      <c r="B948" s="79"/>
      <c r="C948" s="400"/>
      <c r="D948" s="400"/>
      <c r="E948" s="400"/>
      <c r="F948" s="400"/>
      <c r="G948" s="79"/>
      <c r="H948" s="79"/>
      <c r="I948" s="79"/>
      <c r="J948" s="396"/>
      <c r="K948" s="399"/>
      <c r="L948" s="396"/>
      <c r="M948" s="396"/>
      <c r="N948" s="396"/>
      <c r="O948" s="396"/>
      <c r="P948" s="396"/>
      <c r="Q948" s="396"/>
      <c r="R948" s="396"/>
      <c r="S948" s="79"/>
      <c r="T948" s="79"/>
      <c r="U948" s="79"/>
      <c r="V948" s="79"/>
      <c r="W948" s="79"/>
      <c r="X948" s="79"/>
      <c r="Y948" s="79"/>
      <c r="Z948" s="79"/>
    </row>
    <row r="949" spans="1:26" ht="15.75" customHeight="1" x14ac:dyDescent="0.25">
      <c r="A949" s="79"/>
      <c r="B949" s="79"/>
      <c r="C949" s="400"/>
      <c r="D949" s="400"/>
      <c r="E949" s="400"/>
      <c r="F949" s="400"/>
      <c r="G949" s="79"/>
      <c r="H949" s="79"/>
      <c r="I949" s="79"/>
      <c r="J949" s="396"/>
      <c r="K949" s="399"/>
      <c r="L949" s="396"/>
      <c r="M949" s="396"/>
      <c r="N949" s="396"/>
      <c r="O949" s="396"/>
      <c r="P949" s="396"/>
      <c r="Q949" s="396"/>
      <c r="R949" s="396"/>
      <c r="S949" s="79"/>
      <c r="T949" s="79"/>
      <c r="U949" s="79"/>
      <c r="V949" s="79"/>
      <c r="W949" s="79"/>
      <c r="X949" s="79"/>
      <c r="Y949" s="79"/>
      <c r="Z949" s="79"/>
    </row>
    <row r="950" spans="1:26" ht="15.75" customHeight="1" x14ac:dyDescent="0.25">
      <c r="A950" s="79"/>
      <c r="B950" s="79"/>
      <c r="C950" s="400"/>
      <c r="D950" s="400"/>
      <c r="E950" s="400"/>
      <c r="F950" s="400"/>
      <c r="G950" s="79"/>
      <c r="H950" s="79"/>
      <c r="I950" s="79"/>
      <c r="J950" s="396"/>
      <c r="K950" s="399"/>
      <c r="L950" s="396"/>
      <c r="M950" s="396"/>
      <c r="N950" s="396"/>
      <c r="O950" s="396"/>
      <c r="P950" s="396"/>
      <c r="Q950" s="396"/>
      <c r="R950" s="396"/>
      <c r="S950" s="79"/>
      <c r="T950" s="79"/>
      <c r="U950" s="79"/>
      <c r="V950" s="79"/>
      <c r="W950" s="79"/>
      <c r="X950" s="79"/>
      <c r="Y950" s="79"/>
      <c r="Z950" s="79"/>
    </row>
    <row r="951" spans="1:26" ht="15.75" customHeight="1" x14ac:dyDescent="0.25">
      <c r="A951" s="79"/>
      <c r="B951" s="79"/>
      <c r="C951" s="400"/>
      <c r="D951" s="400"/>
      <c r="E951" s="400"/>
      <c r="F951" s="400"/>
      <c r="G951" s="79"/>
      <c r="H951" s="79"/>
      <c r="I951" s="79"/>
      <c r="J951" s="396"/>
      <c r="K951" s="399"/>
      <c r="L951" s="396"/>
      <c r="M951" s="396"/>
      <c r="N951" s="396"/>
      <c r="O951" s="396"/>
      <c r="P951" s="396"/>
      <c r="Q951" s="396"/>
      <c r="R951" s="396"/>
      <c r="S951" s="79"/>
      <c r="T951" s="79"/>
      <c r="U951" s="79"/>
      <c r="V951" s="79"/>
      <c r="W951" s="79"/>
      <c r="X951" s="79"/>
      <c r="Y951" s="79"/>
      <c r="Z951" s="79"/>
    </row>
    <row r="952" spans="1:26" ht="15.75" customHeight="1" x14ac:dyDescent="0.25">
      <c r="A952" s="79"/>
      <c r="B952" s="79"/>
      <c r="C952" s="400"/>
      <c r="D952" s="400"/>
      <c r="E952" s="400"/>
      <c r="F952" s="400"/>
      <c r="G952" s="79"/>
      <c r="H952" s="79"/>
      <c r="I952" s="79"/>
      <c r="J952" s="396"/>
      <c r="K952" s="399"/>
      <c r="L952" s="396"/>
      <c r="M952" s="396"/>
      <c r="N952" s="396"/>
      <c r="O952" s="396"/>
      <c r="P952" s="396"/>
      <c r="Q952" s="396"/>
      <c r="R952" s="396"/>
      <c r="S952" s="79"/>
      <c r="T952" s="79"/>
      <c r="U952" s="79"/>
      <c r="V952" s="79"/>
      <c r="W952" s="79"/>
      <c r="X952" s="79"/>
      <c r="Y952" s="79"/>
      <c r="Z952" s="79"/>
    </row>
    <row r="953" spans="1:26" ht="15.75" customHeight="1" x14ac:dyDescent="0.25">
      <c r="A953" s="79"/>
      <c r="B953" s="79"/>
      <c r="C953" s="400"/>
      <c r="D953" s="400"/>
      <c r="E953" s="400"/>
      <c r="F953" s="400"/>
      <c r="G953" s="79"/>
      <c r="H953" s="79"/>
      <c r="I953" s="79"/>
      <c r="J953" s="396"/>
      <c r="K953" s="399"/>
      <c r="L953" s="396"/>
      <c r="M953" s="396"/>
      <c r="N953" s="396"/>
      <c r="O953" s="396"/>
      <c r="P953" s="396"/>
      <c r="Q953" s="396"/>
      <c r="R953" s="396"/>
      <c r="S953" s="79"/>
      <c r="T953" s="79"/>
      <c r="U953" s="79"/>
      <c r="V953" s="79"/>
      <c r="W953" s="79"/>
      <c r="X953" s="79"/>
      <c r="Y953" s="79"/>
      <c r="Z953" s="79"/>
    </row>
    <row r="954" spans="1:26" ht="15.75" customHeight="1" x14ac:dyDescent="0.25">
      <c r="A954" s="79"/>
      <c r="B954" s="79"/>
      <c r="C954" s="400"/>
      <c r="D954" s="400"/>
      <c r="E954" s="400"/>
      <c r="F954" s="400"/>
      <c r="G954" s="79"/>
      <c r="H954" s="79"/>
      <c r="I954" s="79"/>
      <c r="J954" s="396"/>
      <c r="K954" s="399"/>
      <c r="L954" s="396"/>
      <c r="M954" s="396"/>
      <c r="N954" s="396"/>
      <c r="O954" s="396"/>
      <c r="P954" s="396"/>
      <c r="Q954" s="396"/>
      <c r="R954" s="396"/>
      <c r="S954" s="79"/>
      <c r="T954" s="79"/>
      <c r="U954" s="79"/>
      <c r="V954" s="79"/>
      <c r="W954" s="79"/>
      <c r="X954" s="79"/>
      <c r="Y954" s="79"/>
      <c r="Z954" s="79"/>
    </row>
    <row r="955" spans="1:26" ht="15.75" customHeight="1" x14ac:dyDescent="0.25">
      <c r="A955" s="79"/>
      <c r="B955" s="79"/>
      <c r="C955" s="400"/>
      <c r="D955" s="400"/>
      <c r="E955" s="400"/>
      <c r="F955" s="400"/>
      <c r="G955" s="79"/>
      <c r="H955" s="79"/>
      <c r="I955" s="79"/>
      <c r="J955" s="396"/>
      <c r="K955" s="399"/>
      <c r="L955" s="396"/>
      <c r="M955" s="396"/>
      <c r="N955" s="396"/>
      <c r="O955" s="396"/>
      <c r="P955" s="396"/>
      <c r="Q955" s="396"/>
      <c r="R955" s="396"/>
      <c r="S955" s="79"/>
      <c r="T955" s="79"/>
      <c r="U955" s="79"/>
      <c r="V955" s="79"/>
      <c r="W955" s="79"/>
      <c r="X955" s="79"/>
      <c r="Y955" s="79"/>
      <c r="Z955" s="79"/>
    </row>
    <row r="956" spans="1:26" ht="15.75" customHeight="1" x14ac:dyDescent="0.25">
      <c r="A956" s="79"/>
      <c r="B956" s="79"/>
      <c r="C956" s="400"/>
      <c r="D956" s="400"/>
      <c r="E956" s="400"/>
      <c r="F956" s="400"/>
      <c r="G956" s="79"/>
      <c r="H956" s="79"/>
      <c r="I956" s="79"/>
      <c r="J956" s="396"/>
      <c r="K956" s="399"/>
      <c r="L956" s="396"/>
      <c r="M956" s="396"/>
      <c r="N956" s="396"/>
      <c r="O956" s="396"/>
      <c r="P956" s="396"/>
      <c r="Q956" s="396"/>
      <c r="R956" s="396"/>
      <c r="S956" s="79"/>
      <c r="T956" s="79"/>
      <c r="U956" s="79"/>
      <c r="V956" s="79"/>
      <c r="W956" s="79"/>
      <c r="X956" s="79"/>
      <c r="Y956" s="79"/>
      <c r="Z956" s="79"/>
    </row>
    <row r="957" spans="1:26" ht="15.75" customHeight="1" x14ac:dyDescent="0.25">
      <c r="A957" s="79"/>
      <c r="B957" s="79"/>
      <c r="C957" s="400"/>
      <c r="D957" s="400"/>
      <c r="E957" s="400"/>
      <c r="F957" s="400"/>
      <c r="G957" s="79"/>
      <c r="H957" s="79"/>
      <c r="I957" s="79"/>
      <c r="J957" s="396"/>
      <c r="K957" s="399"/>
      <c r="L957" s="396"/>
      <c r="M957" s="396"/>
      <c r="N957" s="396"/>
      <c r="O957" s="396"/>
      <c r="P957" s="396"/>
      <c r="Q957" s="396"/>
      <c r="R957" s="396"/>
      <c r="S957" s="79"/>
      <c r="T957" s="79"/>
      <c r="U957" s="79"/>
      <c r="V957" s="79"/>
      <c r="W957" s="79"/>
      <c r="X957" s="79"/>
      <c r="Y957" s="79"/>
      <c r="Z957" s="79"/>
    </row>
    <row r="958" spans="1:26" ht="15.75" customHeight="1" x14ac:dyDescent="0.25">
      <c r="A958" s="79"/>
      <c r="B958" s="79"/>
      <c r="C958" s="400"/>
      <c r="D958" s="400"/>
      <c r="E958" s="400"/>
      <c r="F958" s="400"/>
      <c r="G958" s="79"/>
      <c r="H958" s="79"/>
      <c r="I958" s="79"/>
      <c r="J958" s="396"/>
      <c r="K958" s="399"/>
      <c r="L958" s="396"/>
      <c r="M958" s="396"/>
      <c r="N958" s="396"/>
      <c r="O958" s="396"/>
      <c r="P958" s="396"/>
      <c r="Q958" s="396"/>
      <c r="R958" s="396"/>
      <c r="S958" s="79"/>
      <c r="T958" s="79"/>
      <c r="U958" s="79"/>
      <c r="V958" s="79"/>
      <c r="W958" s="79"/>
      <c r="X958" s="79"/>
      <c r="Y958" s="79"/>
      <c r="Z958" s="79"/>
    </row>
    <row r="959" spans="1:26" ht="15.75" customHeight="1" x14ac:dyDescent="0.25">
      <c r="A959" s="79"/>
      <c r="B959" s="79"/>
      <c r="C959" s="400"/>
      <c r="D959" s="400"/>
      <c r="E959" s="400"/>
      <c r="F959" s="400"/>
      <c r="G959" s="79"/>
      <c r="H959" s="79"/>
      <c r="I959" s="79"/>
      <c r="J959" s="396"/>
      <c r="K959" s="399"/>
      <c r="L959" s="396"/>
      <c r="M959" s="396"/>
      <c r="N959" s="396"/>
      <c r="O959" s="396"/>
      <c r="P959" s="396"/>
      <c r="Q959" s="396"/>
      <c r="R959" s="396"/>
      <c r="S959" s="79"/>
      <c r="T959" s="79"/>
      <c r="U959" s="79"/>
      <c r="V959" s="79"/>
      <c r="W959" s="79"/>
      <c r="X959" s="79"/>
      <c r="Y959" s="79"/>
      <c r="Z959" s="79"/>
    </row>
    <row r="960" spans="1:26" ht="15.75" customHeight="1" x14ac:dyDescent="0.25">
      <c r="A960" s="79"/>
      <c r="B960" s="79"/>
      <c r="C960" s="400"/>
      <c r="D960" s="400"/>
      <c r="E960" s="400"/>
      <c r="F960" s="400"/>
      <c r="G960" s="79"/>
      <c r="H960" s="79"/>
      <c r="I960" s="79"/>
      <c r="J960" s="396"/>
      <c r="K960" s="399"/>
      <c r="L960" s="396"/>
      <c r="M960" s="396"/>
      <c r="N960" s="396"/>
      <c r="O960" s="396"/>
      <c r="P960" s="396"/>
      <c r="Q960" s="396"/>
      <c r="R960" s="396"/>
      <c r="S960" s="79"/>
      <c r="T960" s="79"/>
      <c r="U960" s="79"/>
      <c r="V960" s="79"/>
      <c r="W960" s="79"/>
      <c r="X960" s="79"/>
      <c r="Y960" s="79"/>
      <c r="Z960" s="79"/>
    </row>
    <row r="961" spans="1:26" ht="15.75" customHeight="1" x14ac:dyDescent="0.25">
      <c r="A961" s="79"/>
      <c r="B961" s="79"/>
      <c r="C961" s="400"/>
      <c r="D961" s="400"/>
      <c r="E961" s="400"/>
      <c r="F961" s="400"/>
      <c r="G961" s="79"/>
      <c r="H961" s="79"/>
      <c r="I961" s="79"/>
      <c r="J961" s="396"/>
      <c r="K961" s="399"/>
      <c r="L961" s="396"/>
      <c r="M961" s="396"/>
      <c r="N961" s="396"/>
      <c r="O961" s="396"/>
      <c r="P961" s="396"/>
      <c r="Q961" s="396"/>
      <c r="R961" s="396"/>
      <c r="S961" s="79"/>
      <c r="T961" s="79"/>
      <c r="U961" s="79"/>
      <c r="V961" s="79"/>
      <c r="W961" s="79"/>
      <c r="X961" s="79"/>
      <c r="Y961" s="79"/>
      <c r="Z961" s="79"/>
    </row>
    <row r="962" spans="1:26" ht="15.75" customHeight="1" x14ac:dyDescent="0.25">
      <c r="A962" s="79"/>
      <c r="B962" s="79"/>
      <c r="C962" s="400"/>
      <c r="D962" s="400"/>
      <c r="E962" s="400"/>
      <c r="F962" s="400"/>
      <c r="G962" s="79"/>
      <c r="H962" s="79"/>
      <c r="I962" s="79"/>
      <c r="J962" s="396"/>
      <c r="K962" s="399"/>
      <c r="L962" s="396"/>
      <c r="M962" s="396"/>
      <c r="N962" s="396"/>
      <c r="O962" s="396"/>
      <c r="P962" s="396"/>
      <c r="Q962" s="396"/>
      <c r="R962" s="396"/>
      <c r="S962" s="79"/>
      <c r="T962" s="79"/>
      <c r="U962" s="79"/>
      <c r="V962" s="79"/>
      <c r="W962" s="79"/>
      <c r="X962" s="79"/>
      <c r="Y962" s="79"/>
      <c r="Z962" s="79"/>
    </row>
    <row r="963" spans="1:26" ht="15.75" customHeight="1" x14ac:dyDescent="0.25">
      <c r="A963" s="79"/>
      <c r="B963" s="79"/>
      <c r="C963" s="400"/>
      <c r="D963" s="400"/>
      <c r="E963" s="400"/>
      <c r="F963" s="400"/>
      <c r="G963" s="79"/>
      <c r="H963" s="79"/>
      <c r="I963" s="79"/>
      <c r="J963" s="396"/>
      <c r="K963" s="399"/>
      <c r="L963" s="396"/>
      <c r="M963" s="396"/>
      <c r="N963" s="396"/>
      <c r="O963" s="396"/>
      <c r="P963" s="396"/>
      <c r="Q963" s="396"/>
      <c r="R963" s="396"/>
      <c r="S963" s="79"/>
      <c r="T963" s="79"/>
      <c r="U963" s="79"/>
      <c r="V963" s="79"/>
      <c r="W963" s="79"/>
      <c r="X963" s="79"/>
      <c r="Y963" s="79"/>
      <c r="Z963" s="79"/>
    </row>
    <row r="964" spans="1:26" ht="15.75" customHeight="1" x14ac:dyDescent="0.25">
      <c r="A964" s="79"/>
      <c r="B964" s="79"/>
      <c r="C964" s="400"/>
      <c r="D964" s="400"/>
      <c r="E964" s="400"/>
      <c r="F964" s="400"/>
      <c r="G964" s="79"/>
      <c r="H964" s="79"/>
      <c r="I964" s="79"/>
      <c r="J964" s="396"/>
      <c r="K964" s="399"/>
      <c r="L964" s="396"/>
      <c r="M964" s="396"/>
      <c r="N964" s="396"/>
      <c r="O964" s="396"/>
      <c r="P964" s="396"/>
      <c r="Q964" s="396"/>
      <c r="R964" s="396"/>
      <c r="S964" s="79"/>
      <c r="T964" s="79"/>
      <c r="U964" s="79"/>
      <c r="V964" s="79"/>
      <c r="W964" s="79"/>
      <c r="X964" s="79"/>
      <c r="Y964" s="79"/>
      <c r="Z964" s="79"/>
    </row>
    <row r="965" spans="1:26" ht="15.75" customHeight="1" x14ac:dyDescent="0.25">
      <c r="A965" s="79"/>
      <c r="B965" s="79"/>
      <c r="C965" s="400"/>
      <c r="D965" s="400"/>
      <c r="E965" s="400"/>
      <c r="F965" s="400"/>
      <c r="G965" s="79"/>
      <c r="H965" s="79"/>
      <c r="I965" s="79"/>
      <c r="J965" s="396"/>
      <c r="K965" s="399"/>
      <c r="L965" s="396"/>
      <c r="M965" s="396"/>
      <c r="N965" s="396"/>
      <c r="O965" s="396"/>
      <c r="P965" s="396"/>
      <c r="Q965" s="396"/>
      <c r="R965" s="396"/>
      <c r="S965" s="79"/>
      <c r="T965" s="79"/>
      <c r="U965" s="79"/>
      <c r="V965" s="79"/>
      <c r="W965" s="79"/>
      <c r="X965" s="79"/>
      <c r="Y965" s="79"/>
      <c r="Z965" s="79"/>
    </row>
    <row r="966" spans="1:26" ht="15.75" customHeight="1" x14ac:dyDescent="0.25">
      <c r="A966" s="79"/>
      <c r="B966" s="79"/>
      <c r="C966" s="400"/>
      <c r="D966" s="400"/>
      <c r="E966" s="400"/>
      <c r="F966" s="400"/>
      <c r="G966" s="79"/>
      <c r="H966" s="79"/>
      <c r="I966" s="79"/>
      <c r="J966" s="396"/>
      <c r="K966" s="399"/>
      <c r="L966" s="396"/>
      <c r="M966" s="396"/>
      <c r="N966" s="396"/>
      <c r="O966" s="396"/>
      <c r="P966" s="396"/>
      <c r="Q966" s="396"/>
      <c r="R966" s="396"/>
      <c r="S966" s="79"/>
      <c r="T966" s="79"/>
      <c r="U966" s="79"/>
      <c r="V966" s="79"/>
      <c r="W966" s="79"/>
      <c r="X966" s="79"/>
      <c r="Y966" s="79"/>
      <c r="Z966" s="79"/>
    </row>
    <row r="967" spans="1:26" ht="15.75" customHeight="1" x14ac:dyDescent="0.25">
      <c r="A967" s="79"/>
      <c r="B967" s="79"/>
      <c r="C967" s="400"/>
      <c r="D967" s="400"/>
      <c r="E967" s="400"/>
      <c r="F967" s="400"/>
      <c r="G967" s="79"/>
      <c r="H967" s="79"/>
      <c r="I967" s="79"/>
      <c r="J967" s="396"/>
      <c r="K967" s="399"/>
      <c r="L967" s="396"/>
      <c r="M967" s="396"/>
      <c r="N967" s="396"/>
      <c r="O967" s="396"/>
      <c r="P967" s="396"/>
      <c r="Q967" s="396"/>
      <c r="R967" s="396"/>
      <c r="S967" s="79"/>
      <c r="T967" s="79"/>
      <c r="U967" s="79"/>
      <c r="V967" s="79"/>
      <c r="W967" s="79"/>
      <c r="X967" s="79"/>
      <c r="Y967" s="79"/>
      <c r="Z967" s="79"/>
    </row>
    <row r="968" spans="1:26" ht="15.75" customHeight="1" x14ac:dyDescent="0.25">
      <c r="A968" s="79"/>
      <c r="B968" s="79"/>
      <c r="C968" s="400"/>
      <c r="D968" s="400"/>
      <c r="E968" s="400"/>
      <c r="F968" s="400"/>
      <c r="G968" s="79"/>
      <c r="H968" s="79"/>
      <c r="I968" s="79"/>
      <c r="J968" s="396"/>
      <c r="K968" s="399"/>
      <c r="L968" s="396"/>
      <c r="M968" s="396"/>
      <c r="N968" s="396"/>
      <c r="O968" s="396"/>
      <c r="P968" s="396"/>
      <c r="Q968" s="396"/>
      <c r="R968" s="396"/>
      <c r="S968" s="79"/>
      <c r="T968" s="79"/>
      <c r="U968" s="79"/>
      <c r="V968" s="79"/>
      <c r="W968" s="79"/>
      <c r="X968" s="79"/>
      <c r="Y968" s="79"/>
      <c r="Z968" s="79"/>
    </row>
    <row r="969" spans="1:26" ht="15.75" customHeight="1" x14ac:dyDescent="0.25">
      <c r="A969" s="79"/>
      <c r="B969" s="79"/>
      <c r="C969" s="400"/>
      <c r="D969" s="400"/>
      <c r="E969" s="400"/>
      <c r="F969" s="400"/>
      <c r="G969" s="79"/>
      <c r="H969" s="79"/>
      <c r="I969" s="79"/>
      <c r="J969" s="396"/>
      <c r="K969" s="399"/>
      <c r="L969" s="396"/>
      <c r="M969" s="396"/>
      <c r="N969" s="396"/>
      <c r="O969" s="396"/>
      <c r="P969" s="396"/>
      <c r="Q969" s="396"/>
      <c r="R969" s="396"/>
      <c r="S969" s="79"/>
      <c r="T969" s="79"/>
      <c r="U969" s="79"/>
      <c r="V969" s="79"/>
      <c r="W969" s="79"/>
      <c r="X969" s="79"/>
      <c r="Y969" s="79"/>
      <c r="Z969" s="79"/>
    </row>
    <row r="970" spans="1:26" ht="15.75" customHeight="1" x14ac:dyDescent="0.25">
      <c r="A970" s="79"/>
      <c r="B970" s="79"/>
      <c r="C970" s="400"/>
      <c r="D970" s="400"/>
      <c r="E970" s="400"/>
      <c r="F970" s="400"/>
      <c r="G970" s="79"/>
      <c r="H970" s="79"/>
      <c r="I970" s="79"/>
      <c r="J970" s="396"/>
      <c r="K970" s="399"/>
      <c r="L970" s="396"/>
      <c r="M970" s="396"/>
      <c r="N970" s="396"/>
      <c r="O970" s="396"/>
      <c r="P970" s="396"/>
      <c r="Q970" s="396"/>
      <c r="R970" s="396"/>
      <c r="S970" s="79"/>
      <c r="T970" s="79"/>
      <c r="U970" s="79"/>
      <c r="V970" s="79"/>
      <c r="W970" s="79"/>
      <c r="X970" s="79"/>
      <c r="Y970" s="79"/>
      <c r="Z970" s="79"/>
    </row>
    <row r="971" spans="1:26" ht="15.75" customHeight="1" x14ac:dyDescent="0.25">
      <c r="A971" s="79"/>
      <c r="B971" s="79"/>
      <c r="C971" s="400"/>
      <c r="D971" s="400"/>
      <c r="E971" s="400"/>
      <c r="F971" s="400"/>
      <c r="G971" s="79"/>
      <c r="H971" s="79"/>
      <c r="I971" s="79"/>
      <c r="J971" s="396"/>
      <c r="K971" s="399"/>
      <c r="L971" s="396"/>
      <c r="M971" s="396"/>
      <c r="N971" s="396"/>
      <c r="O971" s="396"/>
      <c r="P971" s="396"/>
      <c r="Q971" s="396"/>
      <c r="R971" s="396"/>
      <c r="S971" s="79"/>
      <c r="T971" s="79"/>
      <c r="U971" s="79"/>
      <c r="V971" s="79"/>
      <c r="W971" s="79"/>
      <c r="X971" s="79"/>
      <c r="Y971" s="79"/>
      <c r="Z971" s="79"/>
    </row>
    <row r="972" spans="1:26" ht="15.75" customHeight="1" x14ac:dyDescent="0.25">
      <c r="A972" s="79"/>
      <c r="B972" s="79"/>
      <c r="C972" s="400"/>
      <c r="D972" s="400"/>
      <c r="E972" s="400"/>
      <c r="F972" s="400"/>
      <c r="G972" s="79"/>
      <c r="H972" s="79"/>
      <c r="I972" s="79"/>
      <c r="J972" s="396"/>
      <c r="K972" s="399"/>
      <c r="L972" s="396"/>
      <c r="M972" s="396"/>
      <c r="N972" s="396"/>
      <c r="O972" s="396"/>
      <c r="P972" s="396"/>
      <c r="Q972" s="396"/>
      <c r="R972" s="396"/>
      <c r="S972" s="79"/>
      <c r="T972" s="79"/>
      <c r="U972" s="79"/>
      <c r="V972" s="79"/>
      <c r="W972" s="79"/>
      <c r="X972" s="79"/>
      <c r="Y972" s="79"/>
      <c r="Z972" s="79"/>
    </row>
    <row r="973" spans="1:26" ht="15.75" customHeight="1" x14ac:dyDescent="0.25">
      <c r="A973" s="79"/>
      <c r="B973" s="79"/>
      <c r="C973" s="400"/>
      <c r="D973" s="400"/>
      <c r="E973" s="400"/>
      <c r="F973" s="400"/>
      <c r="G973" s="79"/>
      <c r="H973" s="79"/>
      <c r="I973" s="79"/>
      <c r="J973" s="396"/>
      <c r="K973" s="399"/>
      <c r="L973" s="396"/>
      <c r="M973" s="396"/>
      <c r="N973" s="396"/>
      <c r="O973" s="396"/>
      <c r="P973" s="396"/>
      <c r="Q973" s="396"/>
      <c r="R973" s="396"/>
      <c r="S973" s="79"/>
      <c r="T973" s="79"/>
      <c r="U973" s="79"/>
      <c r="V973" s="79"/>
      <c r="W973" s="79"/>
      <c r="X973" s="79"/>
      <c r="Y973" s="79"/>
      <c r="Z973" s="79"/>
    </row>
    <row r="974" spans="1:26" ht="15.75" customHeight="1" x14ac:dyDescent="0.25">
      <c r="A974" s="79"/>
      <c r="B974" s="79"/>
      <c r="C974" s="400"/>
      <c r="D974" s="400"/>
      <c r="E974" s="400"/>
      <c r="F974" s="400"/>
      <c r="G974" s="79"/>
      <c r="H974" s="79"/>
      <c r="I974" s="79"/>
      <c r="J974" s="396"/>
      <c r="K974" s="399"/>
      <c r="L974" s="396"/>
      <c r="M974" s="396"/>
      <c r="N974" s="396"/>
      <c r="O974" s="396"/>
      <c r="P974" s="396"/>
      <c r="Q974" s="396"/>
      <c r="R974" s="396"/>
      <c r="S974" s="79"/>
      <c r="T974" s="79"/>
      <c r="U974" s="79"/>
      <c r="V974" s="79"/>
      <c r="W974" s="79"/>
      <c r="X974" s="79"/>
      <c r="Y974" s="79"/>
      <c r="Z974" s="79"/>
    </row>
    <row r="975" spans="1:26" ht="15.75" customHeight="1" x14ac:dyDescent="0.25">
      <c r="A975" s="79"/>
      <c r="B975" s="79"/>
      <c r="C975" s="400"/>
      <c r="D975" s="400"/>
      <c r="E975" s="400"/>
      <c r="F975" s="400"/>
      <c r="G975" s="79"/>
      <c r="H975" s="79"/>
      <c r="I975" s="79"/>
      <c r="J975" s="396"/>
      <c r="K975" s="399"/>
      <c r="L975" s="396"/>
      <c r="M975" s="396"/>
      <c r="N975" s="396"/>
      <c r="O975" s="396"/>
      <c r="P975" s="396"/>
      <c r="Q975" s="396"/>
      <c r="R975" s="396"/>
      <c r="S975" s="79"/>
      <c r="T975" s="79"/>
      <c r="U975" s="79"/>
      <c r="V975" s="79"/>
      <c r="W975" s="79"/>
      <c r="X975" s="79"/>
      <c r="Y975" s="79"/>
      <c r="Z975" s="79"/>
    </row>
    <row r="976" spans="1:26" ht="15.75" customHeight="1" x14ac:dyDescent="0.25">
      <c r="A976" s="79"/>
      <c r="B976" s="79"/>
      <c r="C976" s="400"/>
      <c r="D976" s="400"/>
      <c r="E976" s="400"/>
      <c r="F976" s="400"/>
      <c r="G976" s="79"/>
      <c r="H976" s="79"/>
      <c r="I976" s="79"/>
      <c r="J976" s="396"/>
      <c r="K976" s="399"/>
      <c r="L976" s="396"/>
      <c r="M976" s="396"/>
      <c r="N976" s="396"/>
      <c r="O976" s="396"/>
      <c r="P976" s="396"/>
      <c r="Q976" s="396"/>
      <c r="R976" s="396"/>
      <c r="S976" s="79"/>
      <c r="T976" s="79"/>
      <c r="U976" s="79"/>
      <c r="V976" s="79"/>
      <c r="W976" s="79"/>
      <c r="X976" s="79"/>
      <c r="Y976" s="79"/>
      <c r="Z976" s="79"/>
    </row>
    <row r="977" spans="1:26" ht="15.75" customHeight="1" x14ac:dyDescent="0.25">
      <c r="A977" s="79"/>
      <c r="B977" s="79"/>
      <c r="C977" s="400"/>
      <c r="D977" s="400"/>
      <c r="E977" s="400"/>
      <c r="F977" s="400"/>
      <c r="G977" s="79"/>
      <c r="H977" s="79"/>
      <c r="I977" s="79"/>
      <c r="J977" s="396"/>
      <c r="K977" s="399"/>
      <c r="L977" s="396"/>
      <c r="M977" s="396"/>
      <c r="N977" s="396"/>
      <c r="O977" s="396"/>
      <c r="P977" s="396"/>
      <c r="Q977" s="396"/>
      <c r="R977" s="396"/>
      <c r="S977" s="79"/>
      <c r="T977" s="79"/>
      <c r="U977" s="79"/>
      <c r="V977" s="79"/>
      <c r="W977" s="79"/>
      <c r="X977" s="79"/>
      <c r="Y977" s="79"/>
      <c r="Z977" s="79"/>
    </row>
    <row r="978" spans="1:26" ht="15.75" customHeight="1" x14ac:dyDescent="0.25">
      <c r="A978" s="79"/>
      <c r="B978" s="79"/>
      <c r="C978" s="400"/>
      <c r="D978" s="400"/>
      <c r="E978" s="400"/>
      <c r="F978" s="400"/>
      <c r="G978" s="79"/>
      <c r="H978" s="79"/>
      <c r="I978" s="79"/>
      <c r="J978" s="396"/>
      <c r="K978" s="399"/>
      <c r="L978" s="396"/>
      <c r="M978" s="396"/>
      <c r="N978" s="396"/>
      <c r="O978" s="396"/>
      <c r="P978" s="396"/>
      <c r="Q978" s="396"/>
      <c r="R978" s="396"/>
      <c r="S978" s="79"/>
      <c r="T978" s="79"/>
      <c r="U978" s="79"/>
      <c r="V978" s="79"/>
      <c r="W978" s="79"/>
      <c r="X978" s="79"/>
      <c r="Y978" s="79"/>
      <c r="Z978" s="79"/>
    </row>
    <row r="979" spans="1:26" ht="15.75" customHeight="1" x14ac:dyDescent="0.25">
      <c r="A979" s="79"/>
      <c r="B979" s="79"/>
      <c r="C979" s="400"/>
      <c r="D979" s="400"/>
      <c r="E979" s="400"/>
      <c r="F979" s="400"/>
      <c r="G979" s="79"/>
      <c r="H979" s="79"/>
      <c r="I979" s="79"/>
      <c r="J979" s="396"/>
      <c r="K979" s="399"/>
      <c r="L979" s="396"/>
      <c r="M979" s="396"/>
      <c r="N979" s="396"/>
      <c r="O979" s="396"/>
      <c r="P979" s="396"/>
      <c r="Q979" s="396"/>
      <c r="R979" s="396"/>
      <c r="S979" s="79"/>
      <c r="T979" s="79"/>
      <c r="U979" s="79"/>
      <c r="V979" s="79"/>
      <c r="W979" s="79"/>
      <c r="X979" s="79"/>
      <c r="Y979" s="79"/>
      <c r="Z979" s="79"/>
    </row>
    <row r="980" spans="1:26" ht="15.75" customHeight="1" x14ac:dyDescent="0.25">
      <c r="A980" s="79"/>
      <c r="B980" s="79"/>
      <c r="C980" s="400"/>
      <c r="D980" s="400"/>
      <c r="E980" s="400"/>
      <c r="F980" s="400"/>
      <c r="G980" s="79"/>
      <c r="H980" s="79"/>
      <c r="I980" s="79"/>
      <c r="J980" s="396"/>
      <c r="K980" s="399"/>
      <c r="L980" s="396"/>
      <c r="M980" s="396"/>
      <c r="N980" s="396"/>
      <c r="O980" s="396"/>
      <c r="P980" s="396"/>
      <c r="Q980" s="396"/>
      <c r="R980" s="396"/>
      <c r="S980" s="79"/>
      <c r="T980" s="79"/>
      <c r="U980" s="79"/>
      <c r="V980" s="79"/>
      <c r="W980" s="79"/>
      <c r="X980" s="79"/>
      <c r="Y980" s="79"/>
      <c r="Z980" s="79"/>
    </row>
    <row r="981" spans="1:26" ht="15.75" customHeight="1" x14ac:dyDescent="0.25">
      <c r="A981" s="79"/>
      <c r="B981" s="79"/>
      <c r="C981" s="400"/>
      <c r="D981" s="400"/>
      <c r="E981" s="400"/>
      <c r="F981" s="400"/>
      <c r="G981" s="79"/>
      <c r="H981" s="79"/>
      <c r="I981" s="79"/>
      <c r="J981" s="396"/>
      <c r="K981" s="399"/>
      <c r="L981" s="396"/>
      <c r="M981" s="396"/>
      <c r="N981" s="396"/>
      <c r="O981" s="396"/>
      <c r="P981" s="396"/>
      <c r="Q981" s="396"/>
      <c r="R981" s="396"/>
      <c r="S981" s="79"/>
      <c r="T981" s="79"/>
      <c r="U981" s="79"/>
      <c r="V981" s="79"/>
      <c r="W981" s="79"/>
      <c r="X981" s="79"/>
      <c r="Y981" s="79"/>
      <c r="Z981" s="79"/>
    </row>
    <row r="982" spans="1:26" ht="15.75" customHeight="1" x14ac:dyDescent="0.25">
      <c r="A982" s="79"/>
      <c r="B982" s="79"/>
      <c r="C982" s="400"/>
      <c r="D982" s="400"/>
      <c r="E982" s="400"/>
      <c r="F982" s="400"/>
      <c r="G982" s="79"/>
      <c r="H982" s="79"/>
      <c r="I982" s="79"/>
      <c r="J982" s="396"/>
      <c r="K982" s="399"/>
      <c r="L982" s="396"/>
      <c r="M982" s="396"/>
      <c r="N982" s="396"/>
      <c r="O982" s="396"/>
      <c r="P982" s="396"/>
      <c r="Q982" s="396"/>
      <c r="R982" s="396"/>
      <c r="S982" s="79"/>
      <c r="T982" s="79"/>
      <c r="U982" s="79"/>
      <c r="V982" s="79"/>
      <c r="W982" s="79"/>
      <c r="X982" s="79"/>
      <c r="Y982" s="79"/>
      <c r="Z982" s="79"/>
    </row>
    <row r="983" spans="1:26" ht="15.75" customHeight="1" x14ac:dyDescent="0.25">
      <c r="A983" s="79"/>
      <c r="B983" s="79"/>
      <c r="C983" s="400"/>
      <c r="D983" s="400"/>
      <c r="E983" s="400"/>
      <c r="F983" s="400"/>
      <c r="G983" s="79"/>
      <c r="H983" s="79"/>
      <c r="I983" s="79"/>
      <c r="J983" s="396"/>
      <c r="K983" s="399"/>
      <c r="L983" s="396"/>
      <c r="M983" s="396"/>
      <c r="N983" s="396"/>
      <c r="O983" s="396"/>
      <c r="P983" s="396"/>
      <c r="Q983" s="396"/>
      <c r="R983" s="396"/>
      <c r="S983" s="79"/>
      <c r="T983" s="79"/>
      <c r="U983" s="79"/>
      <c r="V983" s="79"/>
      <c r="W983" s="79"/>
      <c r="X983" s="79"/>
      <c r="Y983" s="79"/>
      <c r="Z983" s="79"/>
    </row>
    <row r="984" spans="1:26" ht="15.75" customHeight="1" x14ac:dyDescent="0.25">
      <c r="A984" s="79"/>
      <c r="B984" s="79"/>
      <c r="C984" s="400"/>
      <c r="D984" s="400"/>
      <c r="E984" s="400"/>
      <c r="F984" s="400"/>
      <c r="G984" s="79"/>
      <c r="H984" s="79"/>
      <c r="I984" s="79"/>
      <c r="J984" s="396"/>
      <c r="K984" s="399"/>
      <c r="L984" s="396"/>
      <c r="M984" s="396"/>
      <c r="N984" s="396"/>
      <c r="O984" s="396"/>
      <c r="P984" s="396"/>
      <c r="Q984" s="396"/>
      <c r="R984" s="396"/>
      <c r="S984" s="79"/>
      <c r="T984" s="79"/>
      <c r="U984" s="79"/>
      <c r="V984" s="79"/>
      <c r="W984" s="79"/>
      <c r="X984" s="79"/>
      <c r="Y984" s="79"/>
      <c r="Z984" s="79"/>
    </row>
    <row r="985" spans="1:26" ht="15.75" customHeight="1" x14ac:dyDescent="0.25">
      <c r="A985" s="79"/>
      <c r="B985" s="79"/>
      <c r="C985" s="400"/>
      <c r="D985" s="400"/>
      <c r="E985" s="400"/>
      <c r="F985" s="400"/>
      <c r="G985" s="79"/>
      <c r="H985" s="79"/>
      <c r="I985" s="79"/>
      <c r="J985" s="396"/>
      <c r="K985" s="399"/>
      <c r="L985" s="396"/>
      <c r="M985" s="396"/>
      <c r="N985" s="396"/>
      <c r="O985" s="396"/>
      <c r="P985" s="396"/>
      <c r="Q985" s="396"/>
      <c r="R985" s="396"/>
      <c r="S985" s="79"/>
      <c r="T985" s="79"/>
      <c r="U985" s="79"/>
      <c r="V985" s="79"/>
      <c r="W985" s="79"/>
      <c r="X985" s="79"/>
      <c r="Y985" s="79"/>
      <c r="Z985" s="79"/>
    </row>
    <row r="986" spans="1:26" ht="15.75" customHeight="1" x14ac:dyDescent="0.25">
      <c r="A986" s="79"/>
      <c r="B986" s="79"/>
      <c r="C986" s="400"/>
      <c r="D986" s="400"/>
      <c r="E986" s="400"/>
      <c r="F986" s="400"/>
      <c r="G986" s="79"/>
      <c r="H986" s="79"/>
      <c r="I986" s="79"/>
      <c r="J986" s="396"/>
      <c r="K986" s="399"/>
      <c r="L986" s="396"/>
      <c r="M986" s="396"/>
      <c r="N986" s="396"/>
      <c r="O986" s="396"/>
      <c r="P986" s="396"/>
      <c r="Q986" s="396"/>
      <c r="R986" s="396"/>
      <c r="S986" s="79"/>
      <c r="T986" s="79"/>
      <c r="U986" s="79"/>
      <c r="V986" s="79"/>
      <c r="W986" s="79"/>
      <c r="X986" s="79"/>
      <c r="Y986" s="79"/>
      <c r="Z986" s="79"/>
    </row>
    <row r="987" spans="1:26" ht="15.75" customHeight="1" x14ac:dyDescent="0.25">
      <c r="A987" s="79"/>
      <c r="B987" s="79"/>
      <c r="C987" s="400"/>
      <c r="D987" s="400"/>
      <c r="E987" s="400"/>
      <c r="F987" s="400"/>
      <c r="G987" s="79"/>
      <c r="H987" s="79"/>
      <c r="I987" s="79"/>
      <c r="J987" s="396"/>
      <c r="K987" s="399"/>
      <c r="L987" s="396"/>
      <c r="M987" s="396"/>
      <c r="N987" s="396"/>
      <c r="O987" s="396"/>
      <c r="P987" s="396"/>
      <c r="Q987" s="396"/>
      <c r="R987" s="396"/>
      <c r="S987" s="79"/>
      <c r="T987" s="79"/>
      <c r="U987" s="79"/>
      <c r="V987" s="79"/>
      <c r="W987" s="79"/>
      <c r="X987" s="79"/>
      <c r="Y987" s="79"/>
      <c r="Z987" s="79"/>
    </row>
    <row r="988" spans="1:26" ht="15.75" customHeight="1" x14ac:dyDescent="0.25">
      <c r="A988" s="79"/>
      <c r="B988" s="79"/>
      <c r="C988" s="400"/>
      <c r="D988" s="400"/>
      <c r="E988" s="400"/>
      <c r="F988" s="400"/>
      <c r="G988" s="79"/>
      <c r="H988" s="79"/>
      <c r="I988" s="79"/>
      <c r="J988" s="396"/>
      <c r="K988" s="399"/>
      <c r="L988" s="396"/>
      <c r="M988" s="396"/>
      <c r="N988" s="396"/>
      <c r="O988" s="396"/>
      <c r="P988" s="396"/>
      <c r="Q988" s="396"/>
      <c r="R988" s="396"/>
      <c r="S988" s="79"/>
      <c r="T988" s="79"/>
      <c r="U988" s="79"/>
      <c r="V988" s="79"/>
      <c r="W988" s="79"/>
      <c r="X988" s="79"/>
      <c r="Y988" s="79"/>
      <c r="Z988" s="79"/>
    </row>
    <row r="989" spans="1:26" ht="15.75" customHeight="1" x14ac:dyDescent="0.25">
      <c r="A989" s="79"/>
      <c r="B989" s="79"/>
      <c r="C989" s="400"/>
      <c r="D989" s="400"/>
      <c r="E989" s="400"/>
      <c r="F989" s="400"/>
      <c r="G989" s="79"/>
      <c r="H989" s="79"/>
      <c r="I989" s="79"/>
      <c r="J989" s="396"/>
      <c r="K989" s="399"/>
      <c r="L989" s="396"/>
      <c r="M989" s="396"/>
      <c r="N989" s="396"/>
      <c r="O989" s="396"/>
      <c r="P989" s="396"/>
      <c r="Q989" s="396"/>
      <c r="R989" s="396"/>
      <c r="S989" s="79"/>
      <c r="T989" s="79"/>
      <c r="U989" s="79"/>
      <c r="V989" s="79"/>
      <c r="W989" s="79"/>
      <c r="X989" s="79"/>
      <c r="Y989" s="79"/>
      <c r="Z989" s="79"/>
    </row>
    <row r="990" spans="1:26" ht="15.75" customHeight="1" x14ac:dyDescent="0.25">
      <c r="A990" s="79"/>
      <c r="B990" s="79"/>
      <c r="C990" s="400"/>
      <c r="D990" s="400"/>
      <c r="E990" s="400"/>
      <c r="F990" s="400"/>
      <c r="G990" s="79"/>
      <c r="H990" s="79"/>
      <c r="I990" s="79"/>
      <c r="J990" s="396"/>
      <c r="K990" s="399"/>
      <c r="L990" s="396"/>
      <c r="M990" s="396"/>
      <c r="N990" s="396"/>
      <c r="O990" s="396"/>
      <c r="P990" s="396"/>
      <c r="Q990" s="396"/>
      <c r="R990" s="396"/>
      <c r="S990" s="79"/>
      <c r="T990" s="79"/>
      <c r="U990" s="79"/>
      <c r="V990" s="79"/>
      <c r="W990" s="79"/>
      <c r="X990" s="79"/>
      <c r="Y990" s="79"/>
      <c r="Z990" s="79"/>
    </row>
    <row r="991" spans="1:26" ht="15.75" customHeight="1" x14ac:dyDescent="0.25">
      <c r="A991" s="79"/>
      <c r="B991" s="79"/>
      <c r="C991" s="400"/>
      <c r="D991" s="400"/>
      <c r="E991" s="400"/>
      <c r="F991" s="400"/>
      <c r="G991" s="79"/>
      <c r="H991" s="79"/>
      <c r="I991" s="79"/>
      <c r="J991" s="396"/>
      <c r="K991" s="399"/>
      <c r="L991" s="396"/>
      <c r="M991" s="396"/>
      <c r="N991" s="396"/>
      <c r="O991" s="396"/>
      <c r="P991" s="396"/>
      <c r="Q991" s="396"/>
      <c r="R991" s="396"/>
      <c r="S991" s="79"/>
      <c r="T991" s="79"/>
      <c r="U991" s="79"/>
      <c r="V991" s="79"/>
      <c r="W991" s="79"/>
      <c r="X991" s="79"/>
      <c r="Y991" s="79"/>
      <c r="Z991" s="79"/>
    </row>
    <row r="992" spans="1:26" ht="15.75" customHeight="1" x14ac:dyDescent="0.25">
      <c r="A992" s="79"/>
      <c r="B992" s="79"/>
      <c r="C992" s="400"/>
      <c r="D992" s="400"/>
      <c r="E992" s="400"/>
      <c r="F992" s="400"/>
      <c r="G992" s="79"/>
      <c r="H992" s="79"/>
      <c r="I992" s="79"/>
      <c r="J992" s="396"/>
      <c r="K992" s="399"/>
      <c r="L992" s="396"/>
      <c r="M992" s="396"/>
      <c r="N992" s="396"/>
      <c r="O992" s="396"/>
      <c r="P992" s="396"/>
      <c r="Q992" s="396"/>
      <c r="R992" s="396"/>
      <c r="S992" s="79"/>
      <c r="T992" s="79"/>
      <c r="U992" s="79"/>
      <c r="V992" s="79"/>
      <c r="W992" s="79"/>
      <c r="X992" s="79"/>
      <c r="Y992" s="79"/>
      <c r="Z992" s="79"/>
    </row>
    <row r="993" spans="1:26" ht="15.75" customHeight="1" x14ac:dyDescent="0.25">
      <c r="A993" s="79"/>
      <c r="B993" s="79"/>
      <c r="C993" s="400"/>
      <c r="D993" s="400"/>
      <c r="E993" s="400"/>
      <c r="F993" s="400"/>
      <c r="G993" s="79"/>
      <c r="H993" s="79"/>
      <c r="I993" s="79"/>
      <c r="J993" s="396"/>
      <c r="K993" s="399"/>
      <c r="L993" s="396"/>
      <c r="M993" s="396"/>
      <c r="N993" s="396"/>
      <c r="O993" s="396"/>
      <c r="P993" s="396"/>
      <c r="Q993" s="396"/>
      <c r="R993" s="396"/>
      <c r="S993" s="79"/>
      <c r="T993" s="79"/>
      <c r="U993" s="79"/>
      <c r="V993" s="79"/>
      <c r="W993" s="79"/>
      <c r="X993" s="79"/>
      <c r="Y993" s="79"/>
      <c r="Z993" s="79"/>
    </row>
    <row r="994" spans="1:26" ht="15.75" customHeight="1" x14ac:dyDescent="0.25">
      <c r="A994" s="79"/>
      <c r="B994" s="79"/>
      <c r="C994" s="400"/>
      <c r="D994" s="400"/>
      <c r="E994" s="400"/>
      <c r="F994" s="400"/>
      <c r="G994" s="79"/>
      <c r="H994" s="79"/>
      <c r="I994" s="79"/>
      <c r="J994" s="396"/>
      <c r="K994" s="399"/>
      <c r="L994" s="396"/>
      <c r="M994" s="396"/>
      <c r="N994" s="396"/>
      <c r="O994" s="396"/>
      <c r="P994" s="396"/>
      <c r="Q994" s="396"/>
      <c r="R994" s="396"/>
      <c r="S994" s="79"/>
      <c r="T994" s="79"/>
      <c r="U994" s="79"/>
      <c r="V994" s="79"/>
      <c r="W994" s="79"/>
      <c r="X994" s="79"/>
      <c r="Y994" s="79"/>
      <c r="Z994" s="79"/>
    </row>
    <row r="995" spans="1:26" ht="15.75" customHeight="1" x14ac:dyDescent="0.25">
      <c r="A995" s="79"/>
      <c r="B995" s="79"/>
      <c r="C995" s="400"/>
      <c r="D995" s="400"/>
      <c r="E995" s="400"/>
      <c r="F995" s="400"/>
      <c r="G995" s="79"/>
      <c r="H995" s="79"/>
      <c r="I995" s="79"/>
      <c r="J995" s="396"/>
      <c r="K995" s="399"/>
      <c r="L995" s="396"/>
      <c r="M995" s="396"/>
      <c r="N995" s="396"/>
      <c r="O995" s="396"/>
      <c r="P995" s="396"/>
      <c r="Q995" s="396"/>
      <c r="R995" s="396"/>
      <c r="S995" s="79"/>
      <c r="T995" s="79"/>
      <c r="U995" s="79"/>
      <c r="V995" s="79"/>
      <c r="W995" s="79"/>
      <c r="X995" s="79"/>
      <c r="Y995" s="79"/>
      <c r="Z995" s="79"/>
    </row>
    <row r="996" spans="1:26" ht="15.75" customHeight="1" x14ac:dyDescent="0.25">
      <c r="A996" s="79"/>
      <c r="B996" s="79"/>
      <c r="C996" s="400"/>
      <c r="D996" s="400"/>
      <c r="E996" s="400"/>
      <c r="F996" s="400"/>
      <c r="G996" s="79"/>
      <c r="H996" s="79"/>
      <c r="I996" s="79"/>
      <c r="J996" s="396"/>
      <c r="K996" s="399"/>
      <c r="L996" s="396"/>
      <c r="M996" s="396"/>
      <c r="N996" s="396"/>
      <c r="O996" s="396"/>
      <c r="P996" s="396"/>
      <c r="Q996" s="396"/>
      <c r="R996" s="396"/>
      <c r="S996" s="79"/>
      <c r="T996" s="79"/>
      <c r="U996" s="79"/>
      <c r="V996" s="79"/>
      <c r="W996" s="79"/>
      <c r="X996" s="79"/>
      <c r="Y996" s="79"/>
      <c r="Z996" s="79"/>
    </row>
    <row r="997" spans="1:26" ht="15.75" customHeight="1" x14ac:dyDescent="0.25">
      <c r="A997" s="79"/>
      <c r="B997" s="79"/>
      <c r="C997" s="400"/>
      <c r="D997" s="400"/>
      <c r="E997" s="400"/>
      <c r="F997" s="400"/>
      <c r="G997" s="79"/>
      <c r="H997" s="79"/>
      <c r="I997" s="79"/>
      <c r="J997" s="396"/>
      <c r="K997" s="399"/>
      <c r="L997" s="396"/>
      <c r="M997" s="396"/>
      <c r="N997" s="396"/>
      <c r="O997" s="396"/>
      <c r="P997" s="396"/>
      <c r="Q997" s="396"/>
      <c r="R997" s="396"/>
      <c r="S997" s="79"/>
      <c r="T997" s="79"/>
      <c r="U997" s="79"/>
      <c r="V997" s="79"/>
      <c r="W997" s="79"/>
      <c r="X997" s="79"/>
      <c r="Y997" s="79"/>
      <c r="Z997" s="79"/>
    </row>
    <row r="998" spans="1:26" ht="15.75" customHeight="1" x14ac:dyDescent="0.25">
      <c r="A998" s="79"/>
      <c r="B998" s="79"/>
      <c r="C998" s="400"/>
      <c r="D998" s="400"/>
      <c r="E998" s="400"/>
      <c r="F998" s="400"/>
      <c r="G998" s="79"/>
      <c r="H998" s="79"/>
      <c r="I998" s="79"/>
      <c r="J998" s="396"/>
      <c r="K998" s="399"/>
      <c r="L998" s="396"/>
      <c r="M998" s="396"/>
      <c r="N998" s="396"/>
      <c r="O998" s="396"/>
      <c r="P998" s="396"/>
      <c r="Q998" s="396"/>
      <c r="R998" s="396"/>
      <c r="S998" s="79"/>
      <c r="T998" s="79"/>
      <c r="U998" s="79"/>
      <c r="V998" s="79"/>
      <c r="W998" s="79"/>
      <c r="X998" s="79"/>
      <c r="Y998" s="79"/>
      <c r="Z998" s="79"/>
    </row>
    <row r="999" spans="1:26" ht="15.75" customHeight="1" x14ac:dyDescent="0.25">
      <c r="A999" s="79"/>
      <c r="B999" s="79"/>
      <c r="C999" s="400"/>
      <c r="D999" s="400"/>
      <c r="E999" s="400"/>
      <c r="F999" s="400"/>
      <c r="G999" s="79"/>
      <c r="H999" s="79"/>
      <c r="I999" s="79"/>
      <c r="J999" s="396"/>
      <c r="K999" s="399"/>
      <c r="L999" s="396"/>
      <c r="M999" s="396"/>
      <c r="N999" s="396"/>
      <c r="O999" s="396"/>
      <c r="P999" s="396"/>
      <c r="Q999" s="396"/>
      <c r="R999" s="396"/>
      <c r="S999" s="79"/>
      <c r="T999" s="79"/>
      <c r="U999" s="79"/>
      <c r="V999" s="79"/>
      <c r="W999" s="79"/>
      <c r="X999" s="79"/>
      <c r="Y999" s="79"/>
      <c r="Z999" s="79"/>
    </row>
    <row r="1000" spans="1:26" ht="15.75" customHeight="1" x14ac:dyDescent="0.25">
      <c r="A1000" s="79"/>
      <c r="B1000" s="79"/>
      <c r="C1000" s="400"/>
      <c r="D1000" s="400"/>
      <c r="E1000" s="400"/>
      <c r="F1000" s="400"/>
      <c r="G1000" s="79"/>
      <c r="H1000" s="79"/>
      <c r="I1000" s="79"/>
      <c r="J1000" s="396"/>
      <c r="K1000" s="399"/>
      <c r="L1000" s="396"/>
      <c r="M1000" s="396"/>
      <c r="N1000" s="396"/>
      <c r="O1000" s="396"/>
      <c r="P1000" s="396"/>
      <c r="Q1000" s="396"/>
      <c r="R1000" s="396"/>
      <c r="S1000" s="79"/>
      <c r="T1000" s="79"/>
      <c r="U1000" s="79"/>
      <c r="V1000" s="79"/>
      <c r="W1000" s="79"/>
      <c r="X1000" s="79"/>
      <c r="Y1000" s="79"/>
      <c r="Z1000" s="79"/>
    </row>
  </sheetData>
  <printOptions gridLines="1"/>
  <pageMargins left="0.25" right="0.25" top="0.75" bottom="0.75" header="0" footer="0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2.7109375" defaultRowHeight="15" customHeight="1" x14ac:dyDescent="0.25"/>
  <cols>
    <col min="1" max="1" width="63.85546875" customWidth="1"/>
    <col min="2" max="2" width="22.28515625" customWidth="1"/>
    <col min="3" max="3" width="41.7109375" customWidth="1"/>
    <col min="4" max="4" width="24.42578125" customWidth="1"/>
    <col min="5" max="6" width="9" customWidth="1"/>
    <col min="7" max="26" width="8.7109375" customWidth="1"/>
  </cols>
  <sheetData>
    <row r="1" spans="1:26" ht="14.25" customHeight="1" x14ac:dyDescent="0.25">
      <c r="A1" s="397" t="s">
        <v>736</v>
      </c>
      <c r="B1" s="397" t="s">
        <v>741</v>
      </c>
      <c r="C1" s="405" t="s">
        <v>742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4.25" customHeight="1" x14ac:dyDescent="0.25">
      <c r="A2" s="401" t="s">
        <v>782</v>
      </c>
      <c r="B2" s="446">
        <v>11200000</v>
      </c>
      <c r="C2" s="405" t="s">
        <v>746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4.25" customHeight="1" x14ac:dyDescent="0.25">
      <c r="A3" s="401" t="s">
        <v>750</v>
      </c>
      <c r="B3" s="446">
        <v>2075000</v>
      </c>
      <c r="C3" s="405" t="s">
        <v>746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4.25" customHeight="1" x14ac:dyDescent="0.25">
      <c r="A4" s="401" t="s">
        <v>783</v>
      </c>
      <c r="B4" s="446">
        <v>850000</v>
      </c>
      <c r="C4" s="405" t="s">
        <v>760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4.25" customHeight="1" x14ac:dyDescent="0.25">
      <c r="A5" s="401" t="s">
        <v>751</v>
      </c>
      <c r="B5" s="446">
        <v>750000</v>
      </c>
      <c r="C5" s="405" t="s">
        <v>746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4.25" customHeight="1" x14ac:dyDescent="0.25">
      <c r="A6" s="401" t="s">
        <v>773</v>
      </c>
      <c r="B6" s="446">
        <v>500000</v>
      </c>
      <c r="C6" s="405" t="s">
        <v>760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4.25" customHeight="1" x14ac:dyDescent="0.25">
      <c r="A7" s="401" t="s">
        <v>781</v>
      </c>
      <c r="B7" s="446">
        <v>582000</v>
      </c>
      <c r="C7" s="405" t="s">
        <v>778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4.25" customHeight="1" x14ac:dyDescent="0.25">
      <c r="A8" s="405" t="s">
        <v>775</v>
      </c>
      <c r="B8" s="446">
        <v>1200000</v>
      </c>
      <c r="C8" s="405" t="s">
        <v>774</v>
      </c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4.25" customHeight="1" x14ac:dyDescent="0.25">
      <c r="A9" s="401" t="s">
        <v>784</v>
      </c>
      <c r="B9" s="446">
        <f>150000*5</f>
        <v>750000</v>
      </c>
      <c r="C9" s="405" t="s">
        <v>760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4.25" customHeight="1" x14ac:dyDescent="0.25">
      <c r="A10" s="401" t="s">
        <v>785</v>
      </c>
      <c r="B10" s="446">
        <v>750000</v>
      </c>
      <c r="C10" s="405" t="s">
        <v>760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4.25" customHeight="1" x14ac:dyDescent="0.25">
      <c r="A11" s="401" t="s">
        <v>770</v>
      </c>
      <c r="B11" s="446">
        <v>750000</v>
      </c>
      <c r="C11" s="405" t="s">
        <v>769</v>
      </c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4.25" customHeight="1" x14ac:dyDescent="0.25">
      <c r="A12" s="401" t="s">
        <v>483</v>
      </c>
      <c r="B12" s="446">
        <v>400000</v>
      </c>
      <c r="C12" s="405" t="s">
        <v>744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4.25" customHeight="1" x14ac:dyDescent="0.25">
      <c r="A13" s="401" t="s">
        <v>786</v>
      </c>
      <c r="B13" s="446">
        <v>500000</v>
      </c>
      <c r="C13" s="405" t="s">
        <v>769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4.25" customHeight="1" x14ac:dyDescent="0.25">
      <c r="A14" s="401" t="s">
        <v>763</v>
      </c>
      <c r="B14" s="446">
        <v>625000</v>
      </c>
      <c r="C14" s="405" t="s">
        <v>760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4.25" customHeight="1" x14ac:dyDescent="0.25">
      <c r="A15" s="401" t="s">
        <v>787</v>
      </c>
      <c r="B15" s="446">
        <v>350000</v>
      </c>
      <c r="C15" s="405" t="s">
        <v>778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4.25" customHeight="1" x14ac:dyDescent="0.25">
      <c r="A16" s="401" t="s">
        <v>474</v>
      </c>
      <c r="B16" s="446">
        <v>250000</v>
      </c>
      <c r="C16" s="405" t="s">
        <v>744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4.25" customHeight="1" x14ac:dyDescent="0.25">
      <c r="A17" s="401" t="s">
        <v>477</v>
      </c>
      <c r="B17" s="446">
        <v>300000</v>
      </c>
      <c r="C17" s="405" t="s">
        <v>744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4.25" customHeight="1" x14ac:dyDescent="0.25">
      <c r="A18" s="401" t="s">
        <v>480</v>
      </c>
      <c r="B18" s="446">
        <v>250000</v>
      </c>
      <c r="C18" s="405" t="s">
        <v>744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4.25" customHeight="1" x14ac:dyDescent="0.25">
      <c r="A19" s="401" t="s">
        <v>788</v>
      </c>
      <c r="B19" s="446">
        <v>275000</v>
      </c>
      <c r="C19" s="405" t="s">
        <v>744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4.25" customHeight="1" x14ac:dyDescent="0.25">
      <c r="A20" s="401" t="s">
        <v>789</v>
      </c>
      <c r="B20" s="446">
        <v>475000</v>
      </c>
      <c r="C20" s="405" t="s">
        <v>769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4.25" customHeight="1" x14ac:dyDescent="0.25">
      <c r="A21" s="401" t="s">
        <v>771</v>
      </c>
      <c r="B21" s="446">
        <v>150000</v>
      </c>
      <c r="C21" s="405" t="s">
        <v>769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4.25" customHeight="1" x14ac:dyDescent="0.25">
      <c r="A22" s="401" t="s">
        <v>772</v>
      </c>
      <c r="B22" s="446">
        <v>300000</v>
      </c>
      <c r="C22" s="405" t="s">
        <v>769</v>
      </c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4.25" customHeight="1" x14ac:dyDescent="0.25">
      <c r="A23" s="401" t="s">
        <v>790</v>
      </c>
      <c r="B23" s="446">
        <f>70000*4</f>
        <v>280000</v>
      </c>
      <c r="C23" s="405" t="s">
        <v>760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4.25" customHeight="1" x14ac:dyDescent="0.25">
      <c r="A24" s="401" t="s">
        <v>791</v>
      </c>
      <c r="B24" s="446">
        <v>250000</v>
      </c>
      <c r="C24" s="405" t="s">
        <v>744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4.25" customHeight="1" x14ac:dyDescent="0.25">
      <c r="A25" s="401" t="s">
        <v>792</v>
      </c>
      <c r="B25" s="446">
        <v>250000</v>
      </c>
      <c r="C25" s="405" t="s">
        <v>774</v>
      </c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4.25" customHeight="1" x14ac:dyDescent="0.25">
      <c r="A26" s="401" t="s">
        <v>793</v>
      </c>
      <c r="B26" s="446">
        <v>250000</v>
      </c>
      <c r="C26" s="405" t="s">
        <v>774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4.25" customHeight="1" x14ac:dyDescent="0.25">
      <c r="A27" s="401" t="s">
        <v>777</v>
      </c>
      <c r="B27" s="446">
        <v>250000</v>
      </c>
      <c r="C27" s="405" t="s">
        <v>778</v>
      </c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4.25" customHeight="1" x14ac:dyDescent="0.25">
      <c r="A28" s="401" t="s">
        <v>794</v>
      </c>
      <c r="B28" s="446">
        <v>200000</v>
      </c>
      <c r="C28" s="405" t="s">
        <v>769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4.25" customHeight="1" x14ac:dyDescent="0.25">
      <c r="A29" s="401" t="s">
        <v>795</v>
      </c>
      <c r="B29" s="446">
        <v>175000</v>
      </c>
      <c r="C29" s="405" t="s">
        <v>778</v>
      </c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4.25" customHeight="1" x14ac:dyDescent="0.25">
      <c r="A30" s="401" t="s">
        <v>779</v>
      </c>
      <c r="B30" s="446">
        <v>50000</v>
      </c>
      <c r="C30" s="405" t="s">
        <v>778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4.2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4.25" customHeight="1" x14ac:dyDescent="0.25">
      <c r="A32" s="79"/>
      <c r="B32" s="79" t="s">
        <v>796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4.2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4.2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4.2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4.2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4.2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4.2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4.2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4.2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4.2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4.2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4.2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4.2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4.2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4.2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4.2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4.2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4.2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4.2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4.2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4.2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4.2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4.2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4.2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4.2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4.2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4.2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4.2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4.2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4.2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4.2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4.2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4.2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4.2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4.2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4.2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4.2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4.2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4.2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4.2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4.2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4.2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4.2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4.2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4.2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4.2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4.2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4.2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4.2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4.2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4.2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4.2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4.2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4.2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4.2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4.2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4.2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4.2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4.2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4.2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4.2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4.2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4.2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4.2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4.2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4.2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4.2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4.2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4.2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4.2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4.2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4.2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4.2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4.2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4.2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4.2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4.2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4.2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4.2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4.2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4.2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4.2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4.2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4.2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4.2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4.2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4.2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4.2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4.2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4.2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4.2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4.2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4.2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4.2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4.2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4.2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4.2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4.2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4.2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4.2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4.2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4.2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4.2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4.2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4.2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4.2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4.2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4.2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4.2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4.2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4.2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4.2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4.2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4.2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4.2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4.2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4.2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4.2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4.2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4.2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4.2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4.2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4.2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4.2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4.2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4.2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4.2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4.2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4.2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4.2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4.2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4.2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4.2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4.2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4.2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4.2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4.2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4.2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4.2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4.2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4.2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4.2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4.2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4.2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4.2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4.2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4.2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4.2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4.2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4.2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4.2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4.2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4.2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4.2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4.2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4.2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4.2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4.2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4.2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4.2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4.2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4.2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4.2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4.2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4.2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4.2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4.2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4.2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4.2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4.2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4.2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4.2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4.2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4.2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4.2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4.2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4.2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4.2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4.2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4.2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4.2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4.2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4.2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4.2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4.2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4.2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4.2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4.2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4.2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4.25" customHeigh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4.25" customHeigh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spans="1:26" ht="14.25" customHeigh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spans="1:26" ht="14.25" customHeigh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spans="1:26" ht="14.25" customHeigh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spans="1:26" ht="14.25" customHeigh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spans="1:26" ht="14.25" customHeigh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spans="1:26" ht="14.25" customHeigh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spans="1:26" ht="14.25" customHeigh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spans="1:26" ht="14.25" customHeigh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spans="1:26" ht="14.25" customHeigh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spans="1:26" ht="14.25" customHeigh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spans="1:26" ht="14.25" customHeigh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spans="1:26" ht="14.25" customHeigh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spans="1:26" ht="14.25" customHeigh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spans="1:26" ht="14.25" customHeigh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spans="1:26" ht="14.25" customHeigh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spans="1:26" ht="14.25" customHeigh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spans="1:26" ht="14.25" customHeigh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spans="1:26" ht="14.25" customHeigh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spans="1:26" ht="14.25" customHeigh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spans="1:26" ht="14.25" customHeigh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spans="1:26" ht="14.25" customHeigh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spans="1:26" ht="14.25" customHeigh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spans="1:26" ht="14.25" customHeigh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spans="1:26" ht="14.25" customHeigh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spans="1:26" ht="14.25" customHeigh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spans="1:26" ht="14.25" customHeigh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spans="1:26" ht="14.25" customHeigh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spans="1:26" ht="14.25" customHeigh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spans="1:26" ht="14.25" customHeigh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spans="1:26" ht="14.25" customHeigh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spans="1:26" ht="14.25" customHeigh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spans="1:26" ht="14.25" customHeigh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spans="1:26" ht="14.25" customHeigh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spans="1:26" ht="14.25" customHeigh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spans="1:26" ht="14.25" customHeigh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spans="1:26" ht="14.25" customHeigh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spans="1:26" ht="14.25" customHeigh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spans="1:26" ht="14.25" customHeigh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spans="1:26" ht="14.25" customHeigh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spans="1:26" ht="14.25" customHeigh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spans="1:26" ht="14.25" customHeigh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spans="1:26" ht="14.25" customHeigh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spans="1:26" ht="14.25" customHeigh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spans="1:26" ht="14.25" customHeigh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spans="1:26" ht="14.25" customHeigh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spans="1:26" ht="14.25" customHeigh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spans="1:26" ht="14.25" customHeigh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spans="1:26" ht="14.25" customHeigh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spans="1:26" ht="14.25" customHeigh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spans="1:26" ht="14.25" customHeigh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spans="1:26" ht="14.25" customHeigh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spans="1:26" ht="14.25" customHeigh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spans="1:26" ht="14.25" customHeigh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spans="1:26" ht="14.25" customHeigh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spans="1:26" ht="14.25" customHeigh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spans="1:26" ht="14.25" customHeigh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spans="1:26" ht="14.25" customHeigh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spans="1:26" ht="14.25" customHeigh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spans="1:26" ht="14.25" customHeigh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spans="1:26" ht="14.25" customHeigh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spans="1:26" ht="14.25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spans="1:26" ht="14.25" customHeigh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spans="1:26" ht="14.25" customHeigh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spans="1:26" ht="14.25" customHeigh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spans="1:26" ht="14.25" customHeigh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spans="1:26" ht="14.25" customHeigh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spans="1:26" ht="14.25" customHeigh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spans="1:26" ht="14.25" customHeigh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spans="1:26" ht="14.25" customHeigh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spans="1:26" ht="14.25" customHeigh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spans="1:26" ht="14.25" customHeigh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spans="1:26" ht="14.25" customHeigh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spans="1:26" ht="14.25" customHeigh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spans="1:26" ht="14.25" customHeigh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spans="1:26" ht="14.25" customHeigh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spans="1:26" ht="14.25" customHeigh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spans="1:26" ht="14.25" customHeigh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spans="1:26" ht="14.25" customHeigh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spans="1:26" ht="14.25" customHeigh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spans="1:26" ht="14.25" customHeigh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spans="1:26" ht="14.25" customHeigh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spans="1:26" ht="14.25" customHeigh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spans="1:26" ht="14.25" customHeigh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spans="1:26" ht="14.25" customHeigh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spans="1:26" ht="14.25" customHeigh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spans="1:26" ht="14.25" customHeigh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spans="1:26" ht="14.25" customHeigh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spans="1:26" ht="14.25" customHeigh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spans="1:26" ht="14.25" customHeigh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spans="1:26" ht="14.25" customHeigh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spans="1:26" ht="14.25" customHeigh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spans="1:26" ht="14.25" customHeigh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spans="1:26" ht="14.25" customHeigh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spans="1:26" ht="14.25" customHeigh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spans="1:26" ht="14.25" customHeigh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spans="1:26" ht="14.25" customHeigh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spans="1:26" ht="14.25" customHeigh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spans="1:26" ht="14.25" customHeigh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spans="1:26" ht="14.25" customHeigh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spans="1:26" ht="14.25" customHeigh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spans="1:26" ht="14.25" customHeigh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spans="1:26" ht="14.25" customHeigh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spans="1:26" ht="14.25" customHeigh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spans="1:26" ht="14.25" customHeigh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spans="1:26" ht="14.25" customHeigh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spans="1:26" ht="14.25" customHeigh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spans="1:26" ht="14.25" customHeigh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spans="1:26" ht="14.25" customHeigh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spans="1:26" ht="14.25" customHeigh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spans="1:26" ht="14.25" customHeigh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spans="1:26" ht="14.25" customHeigh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spans="1:26" ht="14.25" customHeigh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spans="1:26" ht="14.25" customHeigh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spans="1:26" ht="14.25" customHeigh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spans="1:26" ht="14.25" customHeigh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spans="1:26" ht="14.25" customHeigh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spans="1:26" ht="14.25" customHeigh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spans="1:26" ht="14.25" customHeigh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spans="1:26" ht="14.25" customHeigh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spans="1:26" ht="14.25" customHeigh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spans="1:26" ht="14.25" customHeigh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spans="1:26" ht="14.25" customHeigh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spans="1:26" ht="14.25" customHeigh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spans="1:26" ht="14.25" customHeigh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spans="1:26" ht="14.25" customHeigh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spans="1:26" ht="14.25" customHeigh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spans="1:26" ht="14.25" customHeigh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spans="1:26" ht="14.25" customHeigh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spans="1:26" ht="14.25" customHeigh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spans="1:26" ht="14.25" customHeigh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spans="1:26" ht="14.25" customHeigh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spans="1:26" ht="14.25" customHeigh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spans="1:26" ht="14.25" customHeigh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spans="1:26" ht="14.25" customHeigh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spans="1:26" ht="14.25" customHeigh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spans="1:26" ht="14.25" customHeigh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spans="1:26" ht="14.25" customHeigh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spans="1:26" ht="14.25" customHeigh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spans="1:26" ht="14.25" customHeigh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spans="1:26" ht="14.25" customHeigh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spans="1:26" ht="14.25" customHeigh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spans="1:26" ht="14.25" customHeigh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spans="1:26" ht="14.25" customHeigh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spans="1:26" ht="14.25" customHeigh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4.25" customHeigh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4.25" customHeigh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4.25" customHeigh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4.25" customHeigh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4.25" customHeigh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4.25" customHeigh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4.25" customHeigh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4.25" customHeigh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4.25" customHeigh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4.25" customHeigh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4.25" customHeigh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4.25" customHeigh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spans="1:26" ht="14.25" customHeigh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spans="1:26" ht="14.25" customHeigh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spans="1:26" ht="14.25" customHeigh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spans="1:26" ht="14.25" customHeigh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spans="1:26" ht="14.25" customHeigh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4.25" customHeigh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spans="1:26" ht="14.25" customHeigh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spans="1:26" ht="14.25" customHeigh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spans="1:26" ht="14.25" customHeigh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spans="1:26" ht="14.25" customHeigh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spans="1:26" ht="14.25" customHeigh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spans="1:26" ht="14.25" customHeigh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spans="1:26" ht="14.25" customHeigh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spans="1:26" ht="14.25" customHeigh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spans="1:26" ht="14.25" customHeigh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spans="1:26" ht="14.25" customHeigh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spans="1:26" ht="14.25" customHeigh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spans="1:26" ht="14.25" customHeigh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spans="1:26" ht="14.25" customHeigh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spans="1:26" ht="14.25" customHeigh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spans="1:26" ht="14.25" customHeigh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spans="1:26" ht="14.25" customHeigh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spans="1:26" ht="14.25" customHeigh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spans="1:26" ht="14.25" customHeigh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spans="1:26" ht="14.25" customHeigh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spans="1:26" ht="14.25" customHeigh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spans="1:26" ht="14.25" customHeigh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spans="1:26" ht="14.25" customHeigh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spans="1:26" ht="14.25" customHeigh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spans="1:26" ht="14.25" customHeigh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spans="1:26" ht="14.25" customHeigh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spans="1:26" ht="14.25" customHeigh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spans="1:26" ht="14.25" customHeigh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spans="1:26" ht="14.25" customHeigh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spans="1:26" ht="14.25" customHeigh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spans="1:26" ht="14.25" customHeigh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spans="1:26" ht="14.25" customHeigh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spans="1:26" ht="14.25" customHeigh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spans="1:26" ht="14.25" customHeigh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spans="1:26" ht="14.25" customHeigh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spans="1:26" ht="14.25" customHeigh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spans="1:26" ht="14.25" customHeigh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spans="1:26" ht="14.25" customHeigh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spans="1:26" ht="14.25" customHeigh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spans="1:26" ht="14.25" customHeigh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spans="1:26" ht="14.25" customHeigh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spans="1:26" ht="14.25" customHeigh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spans="1:26" ht="14.25" customHeigh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spans="1:26" ht="14.25" customHeigh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spans="1:26" ht="14.25" customHeigh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spans="1:26" ht="14.25" customHeigh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spans="1:26" ht="14.25" customHeigh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spans="1:26" ht="14.25" customHeigh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spans="1:26" ht="14.25" customHeigh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spans="1:26" ht="14.25" customHeigh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spans="1:26" ht="14.25" customHeigh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spans="1:26" ht="14.25" customHeigh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spans="1:26" ht="14.25" customHeigh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spans="1:26" ht="14.25" customHeigh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spans="1:26" ht="14.25" customHeigh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spans="1:26" ht="14.25" customHeigh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spans="1:26" ht="14.25" customHeigh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spans="1:26" ht="14.25" customHeigh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spans="1:26" ht="14.25" customHeigh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spans="1:26" ht="14.25" customHeigh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spans="1:26" ht="14.25" customHeigh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spans="1:26" ht="14.25" customHeigh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spans="1:26" ht="14.25" customHeigh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spans="1:26" ht="14.25" customHeigh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spans="1:26" ht="14.25" customHeigh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spans="1:26" ht="14.25" customHeigh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spans="1:26" ht="14.25" customHeigh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spans="1:26" ht="14.25" customHeigh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spans="1:26" ht="14.25" customHeigh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spans="1:26" ht="14.25" customHeigh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spans="1:26" ht="14.25" customHeigh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spans="1:26" ht="14.25" customHeigh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spans="1:26" ht="14.25" customHeigh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spans="1:26" ht="14.25" customHeigh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spans="1:26" ht="14.25" customHeigh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spans="1:26" ht="14.25" customHeigh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spans="1:26" ht="14.25" customHeigh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spans="1:26" ht="14.25" customHeigh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4.25" customHeigh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spans="1:26" ht="14.25" customHeigh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spans="1:26" ht="14.25" customHeigh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spans="1:26" ht="14.25" customHeigh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spans="1:26" ht="14.25" customHeigh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spans="1:26" ht="14.25" customHeigh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spans="1:26" ht="14.25" customHeigh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spans="1:26" ht="14.25" customHeigh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spans="1:26" ht="14.25" customHeigh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4.25" customHeigh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spans="1:26" ht="14.25" customHeigh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spans="1:26" ht="14.25" customHeigh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spans="1:26" ht="14.25" customHeigh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spans="1:26" ht="14.25" customHeigh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spans="1:26" ht="14.25" customHeigh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spans="1:26" ht="14.25" customHeigh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spans="1:26" ht="14.25" customHeigh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spans="1:26" ht="14.25" customHeigh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spans="1:26" ht="14.25" customHeigh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ht="14.25" customHeigh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ht="14.25" customHeigh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4.25" customHeigh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spans="1:26" ht="14.25" customHeigh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spans="1:26" ht="14.25" customHeigh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spans="1:26" ht="14.25" customHeigh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spans="1:26" ht="14.25" customHeigh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spans="1:26" ht="14.25" customHeigh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spans="1:26" ht="14.25" customHeigh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spans="1:26" ht="14.25" customHeigh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spans="1:26" ht="14.25" customHeigh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spans="1:26" ht="14.25" customHeigh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spans="1:26" ht="14.25" customHeigh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spans="1:26" ht="14.25" customHeigh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spans="1:26" ht="14.25" customHeigh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spans="1:26" ht="14.25" customHeigh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26" ht="14.25" customHeigh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spans="1:26" ht="14.25" customHeigh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spans="1:26" ht="14.25" customHeigh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spans="1:26" ht="14.25" customHeigh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spans="1:26" ht="14.25" customHeigh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spans="1:26" ht="14.25" customHeigh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spans="1:26" ht="14.25" customHeigh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spans="1:26" ht="14.25" customHeigh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spans="1:26" ht="14.25" customHeigh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spans="1:26" ht="14.25" customHeigh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spans="1:26" ht="14.25" customHeigh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spans="1:26" ht="14.25" customHeigh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spans="1:26" ht="14.25" customHeigh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spans="1:26" ht="14.25" customHeigh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spans="1:26" ht="14.25" customHeigh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spans="1:26" ht="14.25" customHeigh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spans="1:26" ht="14.25" customHeigh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spans="1:26" ht="14.25" customHeigh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spans="1:26" ht="14.25" customHeigh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spans="1:26" ht="14.25" customHeigh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spans="1:26" ht="14.25" customHeigh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spans="1:26" ht="14.25" customHeigh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spans="1:26" ht="14.25" customHeigh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spans="1:26" ht="14.25" customHeigh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spans="1:26" ht="14.25" customHeigh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spans="1:26" ht="14.25" customHeigh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spans="1:26" ht="14.25" customHeigh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4.25" customHeigh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spans="1:26" ht="14.25" customHeigh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spans="1:26" ht="14.25" customHeigh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ht="14.25" customHeigh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4.25" customHeigh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spans="1:26" ht="14.25" customHeigh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spans="1:26" ht="14.25" customHeigh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spans="1:26" ht="14.25" customHeigh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spans="1:26" ht="14.25" customHeigh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spans="1:26" ht="14.25" customHeigh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spans="1:26" ht="14.25" customHeigh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spans="1:26" ht="14.25" customHeigh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spans="1:26" ht="14.25" customHeigh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spans="1:26" ht="14.25" customHeigh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spans="1:26" ht="14.25" customHeigh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spans="1:26" ht="14.25" customHeigh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spans="1:26" ht="14.25" customHeigh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spans="1:26" ht="14.25" customHeigh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spans="1:26" ht="14.25" customHeigh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spans="1:26" ht="14.25" customHeigh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spans="1:26" ht="14.25" customHeigh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spans="1:26" ht="14.25" customHeigh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spans="1:26" ht="14.25" customHeigh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spans="1:26" ht="14.25" customHeigh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spans="1:26" ht="14.25" customHeigh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spans="1:26" ht="14.25" customHeigh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spans="1:26" ht="14.25" customHeigh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spans="1:26" ht="14.25" customHeigh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spans="1:26" ht="14.25" customHeigh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spans="1:26" ht="14.25" customHeigh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4.25" customHeigh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spans="1:26" ht="14.25" customHeigh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spans="1:26" ht="14.25" customHeigh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spans="1:26" ht="14.25" customHeigh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spans="1:26" ht="14.25" customHeigh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spans="1:26" ht="14.25" customHeigh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4.25" customHeigh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4.25" customHeigh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4.25" customHeigh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4.25" customHeigh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4.25" customHeigh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4.25" customHeigh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ht="14.25" customHeigh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ht="14.25" customHeigh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4.25" customHeigh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spans="1:26" ht="14.25" customHeigh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spans="1:26" ht="14.25" customHeigh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spans="1:26" ht="14.25" customHeigh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spans="1:26" ht="14.25" customHeigh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spans="1:26" ht="14.25" customHeigh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spans="1:26" ht="14.25" customHeigh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spans="1:26" ht="14.25" customHeigh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spans="1:26" ht="14.25" customHeigh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spans="1:26" ht="14.25" customHeigh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spans="1:26" ht="14.25" customHeigh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spans="1:26" ht="14.25" customHeigh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spans="1:26" ht="14.25" customHeigh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spans="1:26" ht="14.25" customHeigh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spans="1:26" ht="14.25" customHeigh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spans="1:26" ht="14.25" customHeigh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spans="1:26" ht="14.25" customHeigh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spans="1:26" ht="14.25" customHeigh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spans="1:26" ht="14.25" customHeigh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spans="1:26" ht="14.25" customHeigh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spans="1:26" ht="14.25" customHeigh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spans="1:26" ht="14.25" customHeigh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spans="1:26" ht="14.25" customHeigh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spans="1:26" ht="14.25" customHeigh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spans="1:26" ht="14.25" customHeigh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spans="1:26" ht="14.25" customHeigh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spans="1:26" ht="14.25" customHeigh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spans="1:26" ht="14.25" customHeigh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spans="1:26" ht="14.25" customHeigh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spans="1:26" ht="14.25" customHeigh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spans="1:26" ht="14.25" customHeigh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spans="1:26" ht="14.25" customHeigh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spans="1:26" ht="14.25" customHeigh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spans="1:26" ht="14.25" customHeigh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spans="1:26" ht="14.25" customHeigh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spans="1:26" ht="14.25" customHeigh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spans="1:26" ht="14.25" customHeigh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spans="1:26" ht="14.25" customHeigh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spans="1:26" ht="14.25" customHeigh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spans="1:26" ht="14.25" customHeigh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spans="1:26" ht="14.25" customHeigh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spans="1:26" ht="14.25" customHeigh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spans="1:26" ht="14.25" customHeigh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spans="1:26" ht="14.25" customHeigh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spans="1:26" ht="14.25" customHeigh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spans="1:26" ht="14.25" customHeigh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spans="1:26" ht="14.25" customHeigh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spans="1:26" ht="14.25" customHeigh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spans="1:26" ht="14.25" customHeigh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spans="1:26" ht="14.25" customHeigh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spans="1:26" ht="14.25" customHeigh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spans="1:26" ht="14.25" customHeigh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spans="1:26" ht="14.25" customHeigh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spans="1:26" ht="14.25" customHeigh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spans="1:26" ht="14.25" customHeigh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spans="1:26" ht="14.25" customHeigh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spans="1:26" ht="14.25" customHeigh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spans="1:26" ht="14.25" customHeigh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spans="1:26" ht="14.25" customHeigh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spans="1:26" ht="14.25" customHeigh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spans="1:26" ht="14.25" customHeigh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spans="1:26" ht="14.25" customHeigh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spans="1:26" ht="14.25" customHeigh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spans="1:26" ht="14.25" customHeigh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spans="1:26" ht="14.25" customHeigh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spans="1:26" ht="14.25" customHeigh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spans="1:26" ht="14.25" customHeigh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spans="1:26" ht="14.25" customHeigh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spans="1:26" ht="14.25" customHeigh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spans="1:26" ht="14.25" customHeigh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spans="1:26" ht="14.25" customHeigh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spans="1:26" ht="14.25" customHeigh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spans="1:26" ht="14.25" customHeigh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spans="1:26" ht="14.25" customHeigh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spans="1:26" ht="14.25" customHeigh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spans="1:26" ht="14.25" customHeigh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spans="1:26" ht="14.25" customHeigh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spans="1:26" ht="14.25" customHeigh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spans="1:26" ht="14.25" customHeigh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spans="1:26" ht="14.25" customHeigh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spans="1:26" ht="14.25" customHeigh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spans="1:26" ht="14.25" customHeigh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spans="1:26" ht="14.25" customHeigh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spans="1:26" ht="14.25" customHeigh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spans="1:26" ht="14.25" customHeigh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spans="1:26" ht="14.25" customHeigh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spans="1:26" ht="14.25" customHeigh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spans="1:26" ht="14.25" customHeigh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spans="1:26" ht="14.25" customHeigh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spans="1:26" ht="14.25" customHeigh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spans="1:26" ht="14.25" customHeigh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spans="1:26" ht="14.25" customHeigh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spans="1:26" ht="14.25" customHeigh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spans="1:26" ht="14.25" customHeigh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spans="1:26" ht="14.25" customHeigh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spans="1:26" ht="14.25" customHeigh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spans="1:26" ht="14.25" customHeigh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spans="1:26" ht="14.25" customHeigh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spans="1:26" ht="14.25" customHeigh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spans="1:26" ht="14.25" customHeigh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spans="1:26" ht="14.25" customHeigh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spans="1:26" ht="14.25" customHeigh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spans="1:26" ht="14.25" customHeigh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spans="1:26" ht="14.25" customHeigh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spans="1:26" ht="14.25" customHeigh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spans="1:26" ht="14.25" customHeigh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spans="1:26" ht="14.25" customHeigh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spans="1:26" ht="14.25" customHeigh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spans="1:26" ht="14.25" customHeigh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spans="1:26" ht="14.25" customHeigh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spans="1:26" ht="14.25" customHeigh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spans="1:26" ht="14.25" customHeigh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spans="1:26" ht="14.25" customHeigh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spans="1:26" ht="14.25" customHeigh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spans="1:26" ht="14.25" customHeigh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spans="1:26" ht="14.25" customHeigh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spans="1:26" ht="14.25" customHeigh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spans="1:26" ht="14.25" customHeigh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spans="1:26" ht="14.25" customHeigh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spans="1:26" ht="14.25" customHeigh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spans="1:26" ht="14.25" customHeigh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spans="1:26" ht="14.25" customHeigh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spans="1:26" ht="14.25" customHeigh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spans="1:26" ht="14.25" customHeigh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spans="1:26" ht="14.25" customHeigh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spans="1:26" ht="14.25" customHeigh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spans="1:26" ht="14.25" customHeigh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spans="1:26" ht="14.25" customHeigh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spans="1:26" ht="14.25" customHeigh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spans="1:26" ht="14.25" customHeigh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spans="1:26" ht="14.25" customHeigh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spans="1:26" ht="14.25" customHeigh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spans="1:26" ht="14.25" customHeigh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spans="1:26" ht="14.25" customHeigh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spans="1:26" ht="14.25" customHeigh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spans="1:26" ht="14.25" customHeigh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spans="1:26" ht="14.25" customHeigh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spans="1:26" ht="14.25" customHeigh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spans="1:26" ht="14.25" customHeigh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spans="1:26" ht="14.25" customHeigh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spans="1:26" ht="14.25" customHeigh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spans="1:26" ht="14.25" customHeigh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spans="1:26" ht="14.25" customHeigh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spans="1:26" ht="14.25" customHeigh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spans="1:26" ht="14.25" customHeigh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spans="1:26" ht="14.25" customHeigh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spans="1:26" ht="14.25" customHeigh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spans="1:26" ht="14.25" customHeigh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spans="1:26" ht="14.25" customHeigh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spans="1:26" ht="14.25" customHeigh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spans="1:26" ht="14.25" customHeigh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spans="1:26" ht="14.25" customHeigh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spans="1:26" ht="14.25" customHeigh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spans="1:26" ht="14.25" customHeigh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spans="1:26" ht="14.25" customHeigh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4.25" customHeigh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4.25" customHeigh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4.25" customHeigh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4.25" customHeigh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4.25" customHeigh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4.25" customHeigh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4.25" customHeigh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4.25" customHeigh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4.25" customHeigh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4.25" customHeigh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4.25" customHeigh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4.25" customHeigh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4.25" customHeigh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4.25" customHeigh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4.25" customHeigh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4.25" customHeigh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4.25" customHeigh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4.25" customHeigh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4.25" customHeigh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4.25" customHeigh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4.25" customHeigh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4.25" customHeigh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4.25" customHeigh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4.25" customHeigh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4.25" customHeigh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4.25" customHeigh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4.25" customHeigh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4.25" customHeigh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4.25" customHeigh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4.25" customHeigh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4.25" customHeigh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4.25" customHeigh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4.25" customHeigh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4.25" customHeigh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4.25" customHeigh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4.25" customHeigh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4.25" customHeigh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4.25" customHeigh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4.25" customHeigh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4.25" customHeigh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4.25" customHeigh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4.25" customHeigh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4.25" customHeigh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4.25" customHeigh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4.25" customHeigh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4.25" customHeigh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4.25" customHeigh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4.25" customHeigh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4.25" customHeigh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4.25" customHeigh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4.25" customHeigh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4.25" customHeigh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4.25" customHeigh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4.25" customHeigh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4.25" customHeigh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4.25" customHeigh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4.25" customHeigh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4.25" customHeigh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4.25" customHeigh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4.25" customHeigh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4.25" customHeigh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4.25" customHeigh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4.25" customHeigh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4.25" customHeigh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4.25" customHeigh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4.25" customHeigh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4.25" customHeigh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4.25" customHeigh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4.25" customHeigh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4.25" customHeigh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4.25" customHeigh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4.25" customHeigh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4.25" customHeigh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4.25" customHeigh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4.25" customHeigh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4.25" customHeigh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4.25" customHeigh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4.25" customHeigh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4.25" customHeigh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4.25" customHeigh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4.25" customHeigh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4.25" customHeigh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4.25" customHeigh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4.25" customHeigh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4.25" customHeigh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4.25" customHeigh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4.25" customHeigh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4.25" customHeigh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4.25" customHeigh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4.25" customHeigh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4.25" customHeigh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4.25" customHeigh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4.25" customHeigh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4.25" customHeigh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4.25" customHeigh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4.25" customHeigh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4.25" customHeigh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4.25" customHeigh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4.25" customHeigh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4.25" customHeigh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4.25" customHeigh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4.25" customHeigh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4.25" customHeigh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4.25" customHeigh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4.25" customHeigh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4.25" customHeigh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4.25" customHeigh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4.25" customHeigh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4.25" customHeigh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4.25" customHeigh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4.25" customHeigh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4.25" customHeigh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4.25" customHeigh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4.25" customHeigh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4.25" customHeigh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4.25" customHeigh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4.25" customHeigh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4.25" customHeigh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4.25" customHeigh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4.25" customHeigh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4.25" customHeigh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4.25" customHeigh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4.25" customHeigh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4.25" customHeigh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4.25" customHeigh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4.25" customHeigh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4.25" customHeigh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4.25" customHeigh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4.25" customHeigh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4.25" customHeigh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4.25" customHeigh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4.25" customHeigh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4.25" customHeigh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4.25" customHeigh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4.25" customHeigh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4.25" customHeigh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4.25" customHeigh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4.25" customHeigh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4.25" customHeigh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4.25" customHeigh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4.25" customHeigh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4.25" customHeigh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4.25" customHeigh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4.25" customHeigh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4.25" customHeigh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4.25" customHeigh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4.25" customHeigh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4.25" customHeigh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4.25" customHeigh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4.25" customHeigh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4.25" customHeigh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4.25" customHeigh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4.25" customHeigh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4.25" customHeigh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4.25" customHeigh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4.25" customHeigh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4.25" customHeigh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4.25" customHeigh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4.25" customHeigh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4.25" customHeigh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4.25" customHeigh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4.25" customHeigh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4.25" customHeigh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4.25" customHeigh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4.25" customHeigh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4.25" customHeigh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4.25" customHeigh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4.25" customHeigh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4.25" customHeigh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4.25" customHeigh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4.25" customHeigh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4.25" customHeigh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4.25" customHeigh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4.25" customHeigh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4.25" customHeigh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4.25" customHeigh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4.25" customHeigh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4.25" customHeigh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4.25" customHeigh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4.25" customHeigh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4.25" customHeigh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4.25" customHeigh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4.25" customHeigh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4.25" customHeigh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4.25" customHeigh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4.25" customHeigh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4.25" customHeigh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4.25" customHeigh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4.25" customHeigh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4.25" customHeigh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4.25" customHeigh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4.25" customHeigh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4.25" customHeigh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4.25" customHeigh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4.25" customHeigh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4.25" customHeigh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4.25" customHeigh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4.25" customHeigh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4.25" customHeigh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4.25" customHeigh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4.25" customHeigh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4.25" customHeigh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4.25" customHeigh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4.25" customHeigh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4.25" customHeigh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4.25" customHeigh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4.25" customHeigh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4.25" customHeigh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4.25" customHeigh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4.25" customHeigh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4.25" customHeigh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4.25" customHeigh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4.25" customHeigh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4.25" customHeigh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4.25" customHeigh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4.25" customHeigh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4.25" customHeigh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4.25" customHeigh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4.25" customHeigh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4.25" customHeigh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4.25" customHeigh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4.25" customHeigh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4.25" customHeigh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4.25" customHeigh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4.25" customHeigh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4.25" customHeigh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4.25" customHeigh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4.25" customHeigh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4.25" customHeigh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4.25" customHeigh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4.25" customHeigh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4.25" customHeigh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4.25" customHeigh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4.25" customHeigh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4.25" customHeigh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4.25" customHeigh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4.25" customHeigh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4.25" customHeigh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4.25" customHeigh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4.25" customHeigh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4.25" customHeigh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4.25" customHeigh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4.25" customHeigh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4.25" customHeigh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4.25" customHeigh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4.25" customHeigh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4.25" customHeigh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4.25" customHeigh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4.25" customHeigh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4.25" customHeigh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4.25" customHeigh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4.25" customHeigh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4.25" customHeigh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4.25" customHeigh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4.25" customHeigh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4.25" customHeigh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4.25" customHeigh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4.25" customHeigh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4.25" customHeigh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4.25" customHeigh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4.25" customHeigh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4.25" customHeigh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4.25" customHeigh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4.25" customHeigh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4.25" customHeigh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4.25" customHeigh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4.25" customHeigh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4.25" customHeigh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4.25" customHeigh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4.25" customHeigh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4.25" customHeigh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4.25" customHeigh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4.25" customHeigh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4.25" customHeigh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4.25" customHeight="1" x14ac:dyDescent="0.25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4.25" customHeight="1" x14ac:dyDescent="0.25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4.25" customHeight="1" x14ac:dyDescent="0.25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spans="1:26" ht="14.25" customHeight="1" x14ac:dyDescent="0.25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/>
  </sheetPr>
  <dimension ref="A1:AN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2.7109375" defaultRowHeight="15" customHeight="1" outlineLevelCol="2" x14ac:dyDescent="0.25"/>
  <cols>
    <col min="1" max="1" width="1.28515625" customWidth="1"/>
    <col min="2" max="2" width="2.85546875" customWidth="1"/>
    <col min="3" max="3" width="1.28515625" customWidth="1"/>
    <col min="4" max="4" width="26.42578125" customWidth="1"/>
    <col min="5" max="5" width="10" customWidth="1"/>
    <col min="6" max="16" width="10" customWidth="1" outlineLevel="2"/>
    <col min="17" max="17" width="10.7109375" customWidth="1"/>
    <col min="18" max="18" width="10.140625" customWidth="1" outlineLevel="1"/>
    <col min="19" max="19" width="10.7109375" customWidth="1" outlineLevel="1"/>
    <col min="20" max="22" width="10" customWidth="1" outlineLevel="1"/>
    <col min="23" max="24" width="10.7109375" customWidth="1" outlineLevel="1"/>
    <col min="25" max="28" width="11.7109375" customWidth="1" outlineLevel="1"/>
    <col min="29" max="38" width="11.7109375" customWidth="1"/>
    <col min="39" max="40" width="12.7109375" customWidth="1"/>
  </cols>
  <sheetData>
    <row r="1" spans="1:40" ht="14.25" customHeight="1" x14ac:dyDescent="0.25"/>
    <row r="2" spans="1:40" ht="14.25" customHeight="1" x14ac:dyDescent="0.3">
      <c r="B2" s="447" t="s">
        <v>797</v>
      </c>
      <c r="W2" s="448" t="s">
        <v>798</v>
      </c>
      <c r="X2" s="449" t="s">
        <v>799</v>
      </c>
    </row>
    <row r="3" spans="1:40" ht="14.25" customHeight="1" x14ac:dyDescent="0.25">
      <c r="E3" s="450">
        <v>45292</v>
      </c>
      <c r="F3" s="450">
        <v>45323</v>
      </c>
      <c r="G3" s="450">
        <v>45352</v>
      </c>
      <c r="H3" s="450">
        <v>45383</v>
      </c>
      <c r="I3" s="450">
        <v>45413</v>
      </c>
      <c r="J3" s="450">
        <v>45444</v>
      </c>
      <c r="K3" s="450">
        <v>45474</v>
      </c>
      <c r="L3" s="450">
        <v>45505</v>
      </c>
      <c r="M3" s="450">
        <v>45536</v>
      </c>
      <c r="N3" s="450">
        <v>45566</v>
      </c>
      <c r="O3" s="450">
        <v>45597</v>
      </c>
      <c r="P3" s="450">
        <v>45627</v>
      </c>
      <c r="Q3" s="451">
        <v>45658</v>
      </c>
      <c r="R3" s="35">
        <v>45689</v>
      </c>
      <c r="S3" s="35">
        <v>45717</v>
      </c>
      <c r="T3" s="35">
        <v>45748</v>
      </c>
      <c r="U3" s="35">
        <v>45778</v>
      </c>
      <c r="V3" s="35">
        <v>45809</v>
      </c>
      <c r="W3" s="35">
        <v>45839</v>
      </c>
      <c r="X3" s="452">
        <v>45870</v>
      </c>
      <c r="Y3" s="36">
        <v>45901</v>
      </c>
      <c r="Z3" s="36">
        <v>45931</v>
      </c>
      <c r="AA3" s="36">
        <v>45962</v>
      </c>
      <c r="AB3" s="36">
        <v>45992</v>
      </c>
      <c r="AC3" s="38">
        <v>46023</v>
      </c>
      <c r="AD3" s="39">
        <v>46054</v>
      </c>
      <c r="AE3" s="39">
        <v>46082</v>
      </c>
      <c r="AF3" s="39">
        <v>46113</v>
      </c>
      <c r="AG3" s="39">
        <v>46143</v>
      </c>
      <c r="AH3" s="39">
        <v>46174</v>
      </c>
      <c r="AI3" s="39">
        <v>46204</v>
      </c>
      <c r="AJ3" s="39">
        <v>46235</v>
      </c>
      <c r="AK3" s="39">
        <v>46266</v>
      </c>
      <c r="AL3" s="39">
        <v>46296</v>
      </c>
      <c r="AM3" s="39">
        <v>46327</v>
      </c>
      <c r="AN3" s="453">
        <v>46357</v>
      </c>
    </row>
    <row r="4" spans="1:40" ht="14.25" customHeight="1" x14ac:dyDescent="0.25">
      <c r="A4" s="454"/>
      <c r="B4" s="454"/>
      <c r="C4" s="454"/>
      <c r="D4" s="454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5"/>
      <c r="R4" s="456"/>
      <c r="S4" s="456"/>
      <c r="T4" s="456"/>
      <c r="U4" s="456"/>
      <c r="V4" s="456"/>
      <c r="W4" s="456"/>
      <c r="X4" s="457"/>
      <c r="Y4" s="454"/>
      <c r="Z4" s="454"/>
      <c r="AA4" s="454"/>
      <c r="AB4" s="454"/>
      <c r="AC4" s="458"/>
      <c r="AD4" s="454"/>
      <c r="AE4" s="454"/>
      <c r="AF4" s="454"/>
      <c r="AG4" s="454"/>
      <c r="AH4" s="454"/>
      <c r="AI4" s="454"/>
      <c r="AJ4" s="454"/>
      <c r="AK4" s="454"/>
      <c r="AL4" s="454"/>
      <c r="AM4" s="454"/>
      <c r="AN4" s="459"/>
    </row>
    <row r="5" spans="1:40" ht="14.25" customHeight="1" x14ac:dyDescent="0.25">
      <c r="A5" s="448"/>
      <c r="B5" s="448"/>
      <c r="C5" s="417" t="s">
        <v>12</v>
      </c>
      <c r="D5" s="417"/>
      <c r="E5" s="416">
        <v>399264.35</v>
      </c>
      <c r="F5" s="416">
        <v>416954.2099999999</v>
      </c>
      <c r="G5" s="416">
        <v>533761.66</v>
      </c>
      <c r="H5" s="416">
        <v>540967.64</v>
      </c>
      <c r="I5" s="416">
        <v>633262.09</v>
      </c>
      <c r="J5" s="416">
        <v>604119.43999999994</v>
      </c>
      <c r="K5" s="416">
        <v>557899.09999999974</v>
      </c>
      <c r="L5" s="416">
        <v>693490.47</v>
      </c>
      <c r="M5" s="416">
        <v>612333.9099999998</v>
      </c>
      <c r="N5" s="416">
        <v>645118.38</v>
      </c>
      <c r="O5" s="416">
        <v>817669.25</v>
      </c>
      <c r="P5" s="416">
        <v>623942.56999999995</v>
      </c>
      <c r="Q5" s="460">
        <v>697873</v>
      </c>
      <c r="R5" s="416">
        <v>605304</v>
      </c>
      <c r="S5" s="416">
        <v>937772</v>
      </c>
      <c r="T5" s="416">
        <v>850512</v>
      </c>
      <c r="U5" s="416">
        <v>991397</v>
      </c>
      <c r="V5" s="416">
        <v>951240</v>
      </c>
      <c r="W5" s="416">
        <v>1029947.4199999999</v>
      </c>
      <c r="X5" s="461">
        <f t="shared" ref="X5:AN5" si="0">SUM(X6:X19)-X6-X12</f>
        <v>1263146.6000000001</v>
      </c>
      <c r="Y5" s="416">
        <f t="shared" si="0"/>
        <v>1537039.2000000002</v>
      </c>
      <c r="Z5" s="416">
        <f t="shared" si="0"/>
        <v>1593096.7999999998</v>
      </c>
      <c r="AA5" s="416">
        <f t="shared" si="0"/>
        <v>1981583</v>
      </c>
      <c r="AB5" s="416">
        <f t="shared" si="0"/>
        <v>2228080.7999999998</v>
      </c>
      <c r="AC5" s="460">
        <f t="shared" si="0"/>
        <v>2656798.333333333</v>
      </c>
      <c r="AD5" s="416">
        <f t="shared" si="0"/>
        <v>3078515.8666666667</v>
      </c>
      <c r="AE5" s="416">
        <f t="shared" si="0"/>
        <v>3495233.5999999996</v>
      </c>
      <c r="AF5" s="416">
        <f t="shared" si="0"/>
        <v>3899951.5333333332</v>
      </c>
      <c r="AG5" s="416">
        <f t="shared" si="0"/>
        <v>4297669.4666666668</v>
      </c>
      <c r="AH5" s="416">
        <f t="shared" si="0"/>
        <v>4719996.9666666668</v>
      </c>
      <c r="AI5" s="416">
        <f t="shared" si="0"/>
        <v>5962647.5083333328</v>
      </c>
      <c r="AJ5" s="416">
        <f t="shared" si="0"/>
        <v>6361094.3040833334</v>
      </c>
      <c r="AK5" s="416">
        <f t="shared" si="0"/>
        <v>6750537.1731275003</v>
      </c>
      <c r="AL5" s="416">
        <f t="shared" si="0"/>
        <v>7959205.0101836743</v>
      </c>
      <c r="AM5" s="416">
        <f t="shared" si="0"/>
        <v>8326658.9202198312</v>
      </c>
      <c r="AN5" s="462">
        <f t="shared" si="0"/>
        <v>8688195.0458557382</v>
      </c>
    </row>
    <row r="6" spans="1:40" ht="14.25" customHeight="1" x14ac:dyDescent="0.25">
      <c r="A6" s="79"/>
      <c r="B6" s="79"/>
      <c r="C6" s="79"/>
      <c r="D6" s="79" t="s">
        <v>800</v>
      </c>
      <c r="E6" s="463">
        <v>399264.35</v>
      </c>
      <c r="F6" s="463">
        <v>416954.21</v>
      </c>
      <c r="G6" s="463">
        <v>533761.66</v>
      </c>
      <c r="H6" s="463">
        <v>540967.64</v>
      </c>
      <c r="I6" s="463">
        <v>633262.09</v>
      </c>
      <c r="J6" s="463">
        <v>603034.43999999994</v>
      </c>
      <c r="K6" s="463">
        <v>551879.1</v>
      </c>
      <c r="L6" s="463">
        <v>676335.47</v>
      </c>
      <c r="M6" s="463">
        <v>593998.91</v>
      </c>
      <c r="N6" s="463">
        <v>630918.38</v>
      </c>
      <c r="O6" s="463">
        <v>793259.25</v>
      </c>
      <c r="P6" s="463">
        <v>597132.56999999995</v>
      </c>
      <c r="Q6" s="464">
        <v>666495</v>
      </c>
      <c r="R6" s="463">
        <v>567214</v>
      </c>
      <c r="S6" s="463">
        <v>880372</v>
      </c>
      <c r="T6" s="463">
        <v>775302</v>
      </c>
      <c r="U6" s="463">
        <v>863492</v>
      </c>
      <c r="V6" s="463">
        <v>721755</v>
      </c>
      <c r="W6" s="463">
        <v>735947</v>
      </c>
      <c r="X6" s="465">
        <f t="shared" ref="X6:AN6" si="1">SUM(X7:X11)</f>
        <v>1019370</v>
      </c>
      <c r="Y6" s="396">
        <f t="shared" si="1"/>
        <v>1167210</v>
      </c>
      <c r="Z6" s="396">
        <f t="shared" si="1"/>
        <v>1100220</v>
      </c>
      <c r="AA6" s="396">
        <f t="shared" si="1"/>
        <v>1208460</v>
      </c>
      <c r="AB6" s="396">
        <f t="shared" si="1"/>
        <v>1249710</v>
      </c>
      <c r="AC6" s="466">
        <f t="shared" si="1"/>
        <v>1277100</v>
      </c>
      <c r="AD6" s="396">
        <f t="shared" si="1"/>
        <v>1304490</v>
      </c>
      <c r="AE6" s="396">
        <f t="shared" si="1"/>
        <v>1331880</v>
      </c>
      <c r="AF6" s="396">
        <f t="shared" si="1"/>
        <v>1359270</v>
      </c>
      <c r="AG6" s="396">
        <f t="shared" si="1"/>
        <v>1386660</v>
      </c>
      <c r="AH6" s="396">
        <f t="shared" si="1"/>
        <v>1414050</v>
      </c>
      <c r="AI6" s="396">
        <f t="shared" si="1"/>
        <v>1441440</v>
      </c>
      <c r="AJ6" s="396">
        <f t="shared" si="1"/>
        <v>1468830</v>
      </c>
      <c r="AK6" s="396">
        <f t="shared" si="1"/>
        <v>1496220</v>
      </c>
      <c r="AL6" s="396">
        <f t="shared" si="1"/>
        <v>1523610</v>
      </c>
      <c r="AM6" s="396">
        <f t="shared" si="1"/>
        <v>1551000</v>
      </c>
      <c r="AN6" s="467">
        <f t="shared" si="1"/>
        <v>1578390</v>
      </c>
    </row>
    <row r="7" spans="1:40" ht="14.25" customHeight="1" x14ac:dyDescent="0.25">
      <c r="A7" s="468"/>
      <c r="B7" s="79"/>
      <c r="C7" s="468"/>
      <c r="D7" s="468" t="s">
        <v>248</v>
      </c>
      <c r="E7" s="469"/>
      <c r="F7" s="469"/>
      <c r="G7" s="469"/>
      <c r="H7" s="469"/>
      <c r="I7" s="469">
        <v>401.17</v>
      </c>
      <c r="J7" s="469">
        <v>3984.36</v>
      </c>
      <c r="K7" s="469">
        <v>23771.69</v>
      </c>
      <c r="L7" s="469">
        <v>24828.61</v>
      </c>
      <c r="M7" s="469">
        <v>25528.82</v>
      </c>
      <c r="N7" s="469">
        <v>32088.92</v>
      </c>
      <c r="O7" s="469">
        <v>2663.19</v>
      </c>
      <c r="P7" s="469">
        <v>41594.979999999996</v>
      </c>
      <c r="Q7" s="470">
        <v>39693</v>
      </c>
      <c r="R7" s="471">
        <v>2651.38</v>
      </c>
      <c r="S7" s="471">
        <v>82944.7</v>
      </c>
      <c r="T7" s="471">
        <v>52951.28</v>
      </c>
      <c r="U7" s="471">
        <v>65055.719999999994</v>
      </c>
      <c r="V7" s="471">
        <v>33894.14</v>
      </c>
      <c r="W7" s="471">
        <v>50862.720000000001</v>
      </c>
      <c r="X7" s="472">
        <f>Worksheet!N217</f>
        <v>66701.236086661404</v>
      </c>
      <c r="Y7" s="471">
        <f>Worksheet!O217</f>
        <v>74093.236086661404</v>
      </c>
      <c r="Z7" s="471">
        <f>Worksheet!P217</f>
        <v>70743.736086661404</v>
      </c>
      <c r="AA7" s="471">
        <f>Worksheet!Q217</f>
        <v>76155.736086661404</v>
      </c>
      <c r="AB7" s="471">
        <f>Worksheet!R217</f>
        <v>78218.236086661404</v>
      </c>
      <c r="AC7" s="470">
        <f>Worksheet!S217</f>
        <v>79587.736086661404</v>
      </c>
      <c r="AD7" s="471">
        <f>Worksheet!T217</f>
        <v>80957.236086661404</v>
      </c>
      <c r="AE7" s="471">
        <f>Worksheet!U217</f>
        <v>82326.736086661404</v>
      </c>
      <c r="AF7" s="471">
        <f>Worksheet!V217</f>
        <v>83696.236086661404</v>
      </c>
      <c r="AG7" s="471">
        <f>Worksheet!W217</f>
        <v>85065.736086661404</v>
      </c>
      <c r="AH7" s="471">
        <f>Worksheet!X217</f>
        <v>86435.236086661404</v>
      </c>
      <c r="AI7" s="471">
        <f>Worksheet!Y217</f>
        <v>87804.736086661404</v>
      </c>
      <c r="AJ7" s="471">
        <f>Worksheet!Z217</f>
        <v>89174.236086661404</v>
      </c>
      <c r="AK7" s="471">
        <f>Worksheet!AA217</f>
        <v>90543.736086661404</v>
      </c>
      <c r="AL7" s="471">
        <f>Worksheet!AB217</f>
        <v>91913.236086661404</v>
      </c>
      <c r="AM7" s="471">
        <f>Worksheet!AC217</f>
        <v>93282.736086661404</v>
      </c>
      <c r="AN7" s="473">
        <f>Worksheet!AD217</f>
        <v>94652.236086661404</v>
      </c>
    </row>
    <row r="8" spans="1:40" ht="14.25" customHeight="1" x14ac:dyDescent="0.25">
      <c r="A8" s="468"/>
      <c r="B8" s="79"/>
      <c r="C8" s="468"/>
      <c r="D8" s="468" t="s">
        <v>249</v>
      </c>
      <c r="E8" s="469">
        <v>14250</v>
      </c>
      <c r="F8" s="469">
        <v>26810</v>
      </c>
      <c r="G8" s="469">
        <v>30226</v>
      </c>
      <c r="H8" s="469">
        <v>6668</v>
      </c>
      <c r="I8" s="469">
        <v>15652</v>
      </c>
      <c r="J8" s="469">
        <v>23245.64</v>
      </c>
      <c r="K8" s="469">
        <v>23695.96</v>
      </c>
      <c r="L8" s="469">
        <v>77487.12</v>
      </c>
      <c r="M8" s="469">
        <v>23661.759999999998</v>
      </c>
      <c r="N8" s="469">
        <v>71171.839999999997</v>
      </c>
      <c r="O8" s="469">
        <v>116579.28</v>
      </c>
      <c r="P8" s="469">
        <v>52069.24</v>
      </c>
      <c r="Q8" s="470">
        <v>90560</v>
      </c>
      <c r="R8" s="471">
        <v>59110.28</v>
      </c>
      <c r="S8" s="471">
        <v>76560.200000000012</v>
      </c>
      <c r="T8" s="471">
        <v>78018.559999999998</v>
      </c>
      <c r="U8" s="471">
        <v>109759.23999999999</v>
      </c>
      <c r="V8" s="471">
        <v>34958</v>
      </c>
      <c r="W8" s="471">
        <v>79054.28</v>
      </c>
      <c r="X8" s="472">
        <f>Worksheet!N218</f>
        <v>86973.5380433307</v>
      </c>
      <c r="Y8" s="471">
        <f>Worksheet!O218</f>
        <v>90669.5380433307</v>
      </c>
      <c r="Z8" s="471">
        <f>Worksheet!P218</f>
        <v>88994.7880433307</v>
      </c>
      <c r="AA8" s="471">
        <f>Worksheet!Q218</f>
        <v>91700.7880433307</v>
      </c>
      <c r="AB8" s="471">
        <f>Worksheet!R218</f>
        <v>92732.0380433307</v>
      </c>
      <c r="AC8" s="470">
        <f>Worksheet!S218</f>
        <v>93416.7880433307</v>
      </c>
      <c r="AD8" s="471">
        <f>Worksheet!T218</f>
        <v>94101.5380433307</v>
      </c>
      <c r="AE8" s="471">
        <f>Worksheet!U218</f>
        <v>94786.2880433307</v>
      </c>
      <c r="AF8" s="471">
        <f>Worksheet!V218</f>
        <v>95471.0380433307</v>
      </c>
      <c r="AG8" s="471">
        <f>Worksheet!W218</f>
        <v>96155.7880433307</v>
      </c>
      <c r="AH8" s="471">
        <f>Worksheet!X218</f>
        <v>96840.5380433307</v>
      </c>
      <c r="AI8" s="471">
        <f>Worksheet!Y218</f>
        <v>97525.2880433307</v>
      </c>
      <c r="AJ8" s="471">
        <f>Worksheet!Z218</f>
        <v>98210.0380433307</v>
      </c>
      <c r="AK8" s="471">
        <f>Worksheet!AA218</f>
        <v>98894.7880433307</v>
      </c>
      <c r="AL8" s="471">
        <f>Worksheet!AB218</f>
        <v>99579.5380433307</v>
      </c>
      <c r="AM8" s="471">
        <f>Worksheet!AC218</f>
        <v>100264.2880433307</v>
      </c>
      <c r="AN8" s="473">
        <f>Worksheet!AD218</f>
        <v>100949.0380433307</v>
      </c>
    </row>
    <row r="9" spans="1:40" ht="14.25" customHeight="1" x14ac:dyDescent="0.25">
      <c r="A9" s="468"/>
      <c r="B9" s="79"/>
      <c r="C9" s="468"/>
      <c r="D9" s="468" t="s">
        <v>801</v>
      </c>
      <c r="E9" s="469">
        <v>355180</v>
      </c>
      <c r="F9" s="469">
        <v>372570</v>
      </c>
      <c r="G9" s="469">
        <v>482140</v>
      </c>
      <c r="H9" s="469">
        <v>511772.3</v>
      </c>
      <c r="I9" s="469">
        <v>578861.28</v>
      </c>
      <c r="J9" s="469">
        <v>533266.41</v>
      </c>
      <c r="K9" s="469">
        <v>466813.82</v>
      </c>
      <c r="L9" s="469">
        <v>537858.82000000007</v>
      </c>
      <c r="M9" s="469">
        <v>508761.91000000003</v>
      </c>
      <c r="N9" s="469">
        <v>490973.82</v>
      </c>
      <c r="O9" s="469">
        <v>651799.73</v>
      </c>
      <c r="P9" s="469">
        <v>480656.07</v>
      </c>
      <c r="Q9" s="474">
        <v>516799</v>
      </c>
      <c r="R9" s="469">
        <v>505228.24</v>
      </c>
      <c r="S9" s="469">
        <v>692611.86999999988</v>
      </c>
      <c r="T9" s="469">
        <v>634746.29</v>
      </c>
      <c r="U9" s="469">
        <v>679102.79</v>
      </c>
      <c r="V9" s="469">
        <v>650653.03999999992</v>
      </c>
      <c r="W9" s="469">
        <v>606030.41999999993</v>
      </c>
      <c r="X9" s="472">
        <f>Worksheet!N219</f>
        <v>636036.74261341768</v>
      </c>
      <c r="Y9" s="471">
        <f>Worksheet!O219</f>
        <v>667083.1426134177</v>
      </c>
      <c r="Z9" s="471">
        <f>Worksheet!P219</f>
        <v>652345.34261341766</v>
      </c>
      <c r="AA9" s="471">
        <f>Worksheet!Q219</f>
        <v>677240.54261341761</v>
      </c>
      <c r="AB9" s="471">
        <f>Worksheet!R219</f>
        <v>687140.54261341761</v>
      </c>
      <c r="AC9" s="470">
        <f>Worksheet!S219</f>
        <v>693988.04261341761</v>
      </c>
      <c r="AD9" s="471">
        <f>Worksheet!T219</f>
        <v>701109.44261341763</v>
      </c>
      <c r="AE9" s="471">
        <f>Worksheet!U219</f>
        <v>708504.74261341768</v>
      </c>
      <c r="AF9" s="471">
        <f>Worksheet!V219</f>
        <v>716173.94261341763</v>
      </c>
      <c r="AG9" s="471">
        <f>Worksheet!W219</f>
        <v>724117.04261341761</v>
      </c>
      <c r="AH9" s="471">
        <f>Worksheet!X219</f>
        <v>732334.04261341761</v>
      </c>
      <c r="AI9" s="471">
        <f>Worksheet!Y219</f>
        <v>740824.94261341763</v>
      </c>
      <c r="AJ9" s="471">
        <f>Worksheet!Z219</f>
        <v>749589.74261341768</v>
      </c>
      <c r="AK9" s="471">
        <f>Worksheet!AA219</f>
        <v>758628.44261341763</v>
      </c>
      <c r="AL9" s="471">
        <f>Worksheet!AB219</f>
        <v>767941.04261341761</v>
      </c>
      <c r="AM9" s="471">
        <f>Worksheet!AC219</f>
        <v>777527.54261341761</v>
      </c>
      <c r="AN9" s="473">
        <f>Worksheet!AD219</f>
        <v>787387.94261341763</v>
      </c>
    </row>
    <row r="10" spans="1:40" ht="14.25" customHeight="1" x14ac:dyDescent="0.25">
      <c r="A10" s="468"/>
      <c r="B10" s="79"/>
      <c r="C10" s="468"/>
      <c r="D10" s="468" t="s">
        <v>802</v>
      </c>
      <c r="E10" s="469">
        <v>29834.349999999977</v>
      </c>
      <c r="F10" s="469">
        <v>17574.210000000021</v>
      </c>
      <c r="G10" s="469">
        <v>21395.660000000033</v>
      </c>
      <c r="H10" s="469">
        <v>22527.340000000026</v>
      </c>
      <c r="I10" s="469">
        <v>38347.639999999898</v>
      </c>
      <c r="J10" s="469">
        <v>42538.029999999912</v>
      </c>
      <c r="K10" s="469">
        <v>37597.630000000005</v>
      </c>
      <c r="L10" s="469">
        <v>36160.919999999925</v>
      </c>
      <c r="M10" s="469">
        <v>36046.420000000042</v>
      </c>
      <c r="N10" s="469">
        <v>36683.799999999988</v>
      </c>
      <c r="O10" s="469">
        <v>22217.050000000047</v>
      </c>
      <c r="P10" s="469">
        <v>22812.27999999997</v>
      </c>
      <c r="Q10" s="474">
        <v>19443</v>
      </c>
      <c r="R10" s="469">
        <v>224.09999999997672</v>
      </c>
      <c r="S10" s="469">
        <v>28255.230000000214</v>
      </c>
      <c r="T10" s="469">
        <v>9585.8699999998789</v>
      </c>
      <c r="U10" s="469">
        <v>9574.25</v>
      </c>
      <c r="V10" s="469">
        <v>2249.8200000000652</v>
      </c>
      <c r="W10" s="471">
        <v>0</v>
      </c>
      <c r="X10" s="472">
        <f>Worksheet!N220</f>
        <v>1583.8516086661398</v>
      </c>
      <c r="Y10" s="471">
        <f>Worksheet!O220</f>
        <v>2323.0516086661401</v>
      </c>
      <c r="Z10" s="471">
        <f>Worksheet!P220</f>
        <v>1988.10160866614</v>
      </c>
      <c r="AA10" s="471">
        <f>Worksheet!Q220</f>
        <v>2529.3016086661401</v>
      </c>
      <c r="AB10" s="471">
        <f>Worksheet!R220</f>
        <v>2735.5516086661401</v>
      </c>
      <c r="AC10" s="470">
        <f>Worksheet!S220</f>
        <v>2872.5016086661399</v>
      </c>
      <c r="AD10" s="471">
        <f>Worksheet!T220</f>
        <v>3009.4516086661397</v>
      </c>
      <c r="AE10" s="471">
        <f>Worksheet!U220</f>
        <v>3146.4016086661395</v>
      </c>
      <c r="AF10" s="471">
        <f>Worksheet!V220</f>
        <v>3283.3516086661393</v>
      </c>
      <c r="AG10" s="471">
        <f>Worksheet!W220</f>
        <v>3420.3016086661391</v>
      </c>
      <c r="AH10" s="471">
        <f>Worksheet!X220</f>
        <v>3557.251608666139</v>
      </c>
      <c r="AI10" s="471">
        <f>Worksheet!Y220</f>
        <v>3694.2016086661388</v>
      </c>
      <c r="AJ10" s="471">
        <f>Worksheet!Z220</f>
        <v>3831.1516086661386</v>
      </c>
      <c r="AK10" s="471">
        <f>Worksheet!AA220</f>
        <v>3968.1016086661384</v>
      </c>
      <c r="AL10" s="471">
        <f>Worksheet!AB220</f>
        <v>4105.0516086661382</v>
      </c>
      <c r="AM10" s="471">
        <f>Worksheet!AC220</f>
        <v>4242.0016086661381</v>
      </c>
      <c r="AN10" s="473">
        <f>Worksheet!AD220</f>
        <v>4378.9516086661379</v>
      </c>
    </row>
    <row r="11" spans="1:40" ht="14.25" customHeight="1" x14ac:dyDescent="0.25">
      <c r="A11" s="468"/>
      <c r="B11" s="79"/>
      <c r="C11" s="468"/>
      <c r="D11" s="468" t="s">
        <v>803</v>
      </c>
      <c r="E11" s="469"/>
      <c r="F11" s="469"/>
      <c r="G11" s="469"/>
      <c r="H11" s="469"/>
      <c r="I11" s="469"/>
      <c r="J11" s="469"/>
      <c r="K11" s="469"/>
      <c r="L11" s="469"/>
      <c r="M11" s="469"/>
      <c r="N11" s="469"/>
      <c r="O11" s="469"/>
      <c r="P11" s="469"/>
      <c r="Q11" s="474"/>
      <c r="R11" s="469"/>
      <c r="S11" s="469"/>
      <c r="T11" s="469"/>
      <c r="U11" s="469"/>
      <c r="V11" s="469"/>
      <c r="W11" s="471"/>
      <c r="X11" s="472">
        <f>Worksheet!N221</f>
        <v>228074.63164792411</v>
      </c>
      <c r="Y11" s="471">
        <f>Worksheet!O221</f>
        <v>333041.0316479241</v>
      </c>
      <c r="Z11" s="471">
        <f>Worksheet!P221</f>
        <v>286148.0316479241</v>
      </c>
      <c r="AA11" s="471">
        <f>Worksheet!Q221</f>
        <v>360833.63164792408</v>
      </c>
      <c r="AB11" s="471">
        <f>Worksheet!R221</f>
        <v>388883.63164792408</v>
      </c>
      <c r="AC11" s="470">
        <f>Worksheet!S221</f>
        <v>407234.93164792407</v>
      </c>
      <c r="AD11" s="471">
        <f>Worksheet!T221</f>
        <v>425312.33164792409</v>
      </c>
      <c r="AE11" s="471">
        <f>Worksheet!U221</f>
        <v>443115.83164792409</v>
      </c>
      <c r="AF11" s="471">
        <f>Worksheet!V221</f>
        <v>460645.43164792407</v>
      </c>
      <c r="AG11" s="471">
        <f>Worksheet!W221</f>
        <v>477901.13164792408</v>
      </c>
      <c r="AH11" s="471">
        <f>Worksheet!X221</f>
        <v>494882.93164792407</v>
      </c>
      <c r="AI11" s="471">
        <f>Worksheet!Y221</f>
        <v>511590.83164792409</v>
      </c>
      <c r="AJ11" s="471">
        <f>Worksheet!Z221</f>
        <v>528024.83164792403</v>
      </c>
      <c r="AK11" s="471">
        <f>Worksheet!AA221</f>
        <v>544184.93164792401</v>
      </c>
      <c r="AL11" s="471">
        <f>Worksheet!AB221</f>
        <v>560071.13164792396</v>
      </c>
      <c r="AM11" s="471">
        <f>Worksheet!AC221</f>
        <v>575683.43164792401</v>
      </c>
      <c r="AN11" s="473">
        <f>Worksheet!AD221</f>
        <v>591021.83164792403</v>
      </c>
    </row>
    <row r="12" spans="1:40" ht="14.25" customHeight="1" x14ac:dyDescent="0.25">
      <c r="A12" s="468"/>
      <c r="B12" s="475"/>
      <c r="C12" s="468"/>
      <c r="D12" s="79" t="s">
        <v>804</v>
      </c>
      <c r="E12" s="469"/>
      <c r="F12" s="469"/>
      <c r="G12" s="469"/>
      <c r="H12" s="469"/>
      <c r="I12" s="469"/>
      <c r="J12" s="463">
        <v>1085</v>
      </c>
      <c r="K12" s="463">
        <v>6020</v>
      </c>
      <c r="L12" s="463">
        <v>17155</v>
      </c>
      <c r="M12" s="463">
        <v>18335</v>
      </c>
      <c r="N12" s="463">
        <v>14200</v>
      </c>
      <c r="O12" s="463">
        <v>24410</v>
      </c>
      <c r="P12" s="463">
        <v>26810</v>
      </c>
      <c r="Q12" s="464">
        <v>31378</v>
      </c>
      <c r="R12" s="463">
        <v>38090</v>
      </c>
      <c r="S12" s="463">
        <v>57400</v>
      </c>
      <c r="T12" s="463">
        <v>63200</v>
      </c>
      <c r="U12" s="463">
        <v>69600</v>
      </c>
      <c r="V12" s="463">
        <v>78800</v>
      </c>
      <c r="W12" s="463">
        <v>84000</v>
      </c>
      <c r="X12" s="476">
        <f t="shared" ref="X12:AN12" si="2">SUM(X13:X14)</f>
        <v>81780</v>
      </c>
      <c r="Y12" s="463">
        <f t="shared" si="2"/>
        <v>84835</v>
      </c>
      <c r="Z12" s="463">
        <f t="shared" si="2"/>
        <v>91885</v>
      </c>
      <c r="AA12" s="463">
        <f t="shared" si="2"/>
        <v>150635</v>
      </c>
      <c r="AB12" s="463">
        <f t="shared" si="2"/>
        <v>209384.99999999997</v>
      </c>
      <c r="AC12" s="464">
        <f t="shared" si="2"/>
        <v>240718.33333333326</v>
      </c>
      <c r="AD12" s="463">
        <f t="shared" si="2"/>
        <v>272051.66666666657</v>
      </c>
      <c r="AE12" s="463">
        <f t="shared" si="2"/>
        <v>303384.99999999988</v>
      </c>
      <c r="AF12" s="463">
        <f t="shared" si="2"/>
        <v>334718.3333333332</v>
      </c>
      <c r="AG12" s="463">
        <f t="shared" si="2"/>
        <v>366051.66666666651</v>
      </c>
      <c r="AH12" s="463">
        <f t="shared" si="2"/>
        <v>397384.99999999983</v>
      </c>
      <c r="AI12" s="463">
        <f t="shared" si="2"/>
        <v>428718.33333333314</v>
      </c>
      <c r="AJ12" s="463">
        <f t="shared" si="2"/>
        <v>460051.66666666645</v>
      </c>
      <c r="AK12" s="463">
        <f t="shared" si="2"/>
        <v>491384.99999999983</v>
      </c>
      <c r="AL12" s="463">
        <f t="shared" si="2"/>
        <v>522718.3333333332</v>
      </c>
      <c r="AM12" s="463">
        <f t="shared" si="2"/>
        <v>554051.66666666651</v>
      </c>
      <c r="AN12" s="477">
        <f t="shared" si="2"/>
        <v>585384.99999999988</v>
      </c>
    </row>
    <row r="13" spans="1:40" ht="14.25" customHeight="1" x14ac:dyDescent="0.25">
      <c r="A13" s="468"/>
      <c r="B13" s="475"/>
      <c r="C13" s="468"/>
      <c r="D13" s="468" t="s">
        <v>801</v>
      </c>
      <c r="E13" s="469"/>
      <c r="F13" s="469"/>
      <c r="G13" s="469"/>
      <c r="H13" s="469"/>
      <c r="I13" s="469"/>
      <c r="J13" s="469">
        <v>1085</v>
      </c>
      <c r="K13" s="469">
        <v>6020</v>
      </c>
      <c r="L13" s="469">
        <v>17155</v>
      </c>
      <c r="M13" s="469">
        <v>18335</v>
      </c>
      <c r="N13" s="469">
        <v>14200</v>
      </c>
      <c r="O13" s="469">
        <v>24410</v>
      </c>
      <c r="P13" s="469">
        <v>26810</v>
      </c>
      <c r="Q13" s="474">
        <v>31378</v>
      </c>
      <c r="R13" s="469">
        <v>38090</v>
      </c>
      <c r="S13" s="469">
        <v>57400</v>
      </c>
      <c r="T13" s="469">
        <v>63200</v>
      </c>
      <c r="U13" s="469">
        <v>69600</v>
      </c>
      <c r="V13" s="469">
        <v>78800</v>
      </c>
      <c r="W13" s="469">
        <v>84000</v>
      </c>
      <c r="X13" s="478">
        <f>Worksheet!N253</f>
        <v>94282</v>
      </c>
      <c r="Y13" s="469">
        <f>Worksheet!O253</f>
        <v>94587.5</v>
      </c>
      <c r="Z13" s="469">
        <f>Worksheet!P253</f>
        <v>95645</v>
      </c>
      <c r="AA13" s="469">
        <f>Worksheet!Q253</f>
        <v>107395</v>
      </c>
      <c r="AB13" s="469">
        <f>Worksheet!R253</f>
        <v>122082.5</v>
      </c>
      <c r="AC13" s="474">
        <f>Worksheet!S253</f>
        <v>134615.83333333331</v>
      </c>
      <c r="AD13" s="469">
        <f>Worksheet!T253</f>
        <v>147149.16666666663</v>
      </c>
      <c r="AE13" s="469">
        <f>Worksheet!U253</f>
        <v>159682.49999999994</v>
      </c>
      <c r="AF13" s="469">
        <f>Worksheet!V253</f>
        <v>172215.83333333326</v>
      </c>
      <c r="AG13" s="469">
        <f>Worksheet!W253</f>
        <v>184749.16666666657</v>
      </c>
      <c r="AH13" s="469">
        <f>Worksheet!X253</f>
        <v>197282.49999999988</v>
      </c>
      <c r="AI13" s="469">
        <f>Worksheet!Y253</f>
        <v>209815.8333333332</v>
      </c>
      <c r="AJ13" s="469">
        <f>Worksheet!Z253</f>
        <v>222349.16666666651</v>
      </c>
      <c r="AK13" s="469">
        <f>Worksheet!AA253</f>
        <v>234882.49999999985</v>
      </c>
      <c r="AL13" s="469">
        <f>Worksheet!AB253</f>
        <v>247415.8333333332</v>
      </c>
      <c r="AM13" s="469">
        <f>Worksheet!AC253</f>
        <v>259949.16666666654</v>
      </c>
      <c r="AN13" s="479">
        <f>Worksheet!AD253</f>
        <v>272482.49999999988</v>
      </c>
    </row>
    <row r="14" spans="1:40" ht="14.25" customHeight="1" x14ac:dyDescent="0.25">
      <c r="A14" s="468"/>
      <c r="B14" s="475"/>
      <c r="C14" s="468"/>
      <c r="D14" s="468" t="s">
        <v>803</v>
      </c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69"/>
      <c r="Q14" s="474"/>
      <c r="R14" s="469"/>
      <c r="S14" s="469"/>
      <c r="T14" s="469"/>
      <c r="U14" s="469"/>
      <c r="V14" s="469"/>
      <c r="W14" s="469"/>
      <c r="X14" s="478">
        <f>Worksheet!N254</f>
        <v>-12502</v>
      </c>
      <c r="Y14" s="469">
        <f>Worksheet!O254</f>
        <v>-9752.5</v>
      </c>
      <c r="Z14" s="469">
        <f>Worksheet!P254</f>
        <v>-3760.0000000000009</v>
      </c>
      <c r="AA14" s="469">
        <f>Worksheet!Q254</f>
        <v>43239.999999999993</v>
      </c>
      <c r="AB14" s="469">
        <f>Worksheet!R254</f>
        <v>87302.499999999971</v>
      </c>
      <c r="AC14" s="474">
        <f>Worksheet!S254</f>
        <v>106102.49999999996</v>
      </c>
      <c r="AD14" s="469">
        <f>Worksheet!T254</f>
        <v>124902.49999999994</v>
      </c>
      <c r="AE14" s="469">
        <f>Worksheet!U254</f>
        <v>143702.49999999994</v>
      </c>
      <c r="AF14" s="469">
        <f>Worksheet!V254</f>
        <v>162502.49999999994</v>
      </c>
      <c r="AG14" s="469">
        <f>Worksheet!W254</f>
        <v>181302.49999999994</v>
      </c>
      <c r="AH14" s="469">
        <f>Worksheet!X254</f>
        <v>200102.49999999994</v>
      </c>
      <c r="AI14" s="469">
        <f>Worksheet!Y254</f>
        <v>218902.49999999994</v>
      </c>
      <c r="AJ14" s="469">
        <f>Worksheet!Z254</f>
        <v>237702.49999999994</v>
      </c>
      <c r="AK14" s="469">
        <f>Worksheet!AA254</f>
        <v>256502.49999999997</v>
      </c>
      <c r="AL14" s="469">
        <f>Worksheet!AB254</f>
        <v>275302.5</v>
      </c>
      <c r="AM14" s="469">
        <f>Worksheet!AC254</f>
        <v>294102.5</v>
      </c>
      <c r="AN14" s="479">
        <f>Worksheet!AD254</f>
        <v>312902.5</v>
      </c>
    </row>
    <row r="15" spans="1:40" ht="14.25" customHeight="1" x14ac:dyDescent="0.25">
      <c r="D15" s="79" t="s">
        <v>15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6"/>
      <c r="O15" s="396"/>
      <c r="P15" s="396"/>
      <c r="Q15" s="466"/>
      <c r="R15" s="396"/>
      <c r="S15" s="396"/>
      <c r="T15" s="396">
        <v>12010</v>
      </c>
      <c r="U15" s="396">
        <v>58305</v>
      </c>
      <c r="V15" s="396">
        <v>150685</v>
      </c>
      <c r="W15" s="396">
        <v>210000</v>
      </c>
      <c r="X15" s="465">
        <f>Worksheet!N181</f>
        <v>161996.6</v>
      </c>
      <c r="Y15" s="396">
        <f>Worksheet!O181</f>
        <v>284994.2</v>
      </c>
      <c r="Z15" s="396">
        <f>Worksheet!P181</f>
        <v>400991.80000000005</v>
      </c>
      <c r="AA15" s="396">
        <f>Worksheet!Q181</f>
        <v>579988</v>
      </c>
      <c r="AB15" s="396">
        <f>Worksheet!R181</f>
        <v>683985.8</v>
      </c>
      <c r="AC15" s="466">
        <f>Worksheet!S181</f>
        <v>968980</v>
      </c>
      <c r="AD15" s="396">
        <f>Worksheet!T181</f>
        <v>1246974.2000000002</v>
      </c>
      <c r="AE15" s="396">
        <f>Worksheet!U181</f>
        <v>1519968.6</v>
      </c>
      <c r="AF15" s="396">
        <f>Worksheet!V181</f>
        <v>1780963.2000000002</v>
      </c>
      <c r="AG15" s="396">
        <f>Worksheet!W181</f>
        <v>2034957.8</v>
      </c>
      <c r="AH15" s="396">
        <f>Worksheet!X181</f>
        <v>2278952.7999999998</v>
      </c>
      <c r="AI15" s="396">
        <f>Worksheet!Y181</f>
        <v>2505948.2000000002</v>
      </c>
      <c r="AJ15" s="396">
        <f>Worksheet!Z181</f>
        <v>2720943.8</v>
      </c>
      <c r="AK15" s="396">
        <f>Worksheet!AA181</f>
        <v>2923939.6</v>
      </c>
      <c r="AL15" s="396">
        <f>Worksheet!AB181</f>
        <v>3107935.6</v>
      </c>
      <c r="AM15" s="396">
        <f>Worksheet!AC181</f>
        <v>3281932</v>
      </c>
      <c r="AN15" s="467">
        <f>Worksheet!AD181</f>
        <v>3445928.8</v>
      </c>
    </row>
    <row r="16" spans="1:40" ht="14.25" customHeight="1" x14ac:dyDescent="0.25">
      <c r="D16" s="79" t="s">
        <v>16</v>
      </c>
      <c r="P16" s="480"/>
      <c r="Q16" s="481"/>
      <c r="R16" s="480"/>
      <c r="S16" s="480"/>
      <c r="T16" s="480"/>
      <c r="U16" s="480"/>
      <c r="V16" s="480"/>
      <c r="W16" s="396">
        <v>0</v>
      </c>
      <c r="X16" s="465">
        <f>Worksheet!N182</f>
        <v>0</v>
      </c>
      <c r="Y16" s="396">
        <f>Worksheet!O182</f>
        <v>0</v>
      </c>
      <c r="Z16" s="396">
        <f>Worksheet!P182</f>
        <v>0</v>
      </c>
      <c r="AA16" s="396">
        <f>Worksheet!Q182</f>
        <v>42500</v>
      </c>
      <c r="AB16" s="396">
        <f>Worksheet!R182</f>
        <v>85000</v>
      </c>
      <c r="AC16" s="466">
        <f>Worksheet!S182</f>
        <v>170000</v>
      </c>
      <c r="AD16" s="396">
        <f>Worksheet!T182</f>
        <v>255000</v>
      </c>
      <c r="AE16" s="396">
        <f>Worksheet!U182</f>
        <v>340000</v>
      </c>
      <c r="AF16" s="396">
        <f>Worksheet!V182</f>
        <v>425000</v>
      </c>
      <c r="AG16" s="396">
        <f>Worksheet!W182</f>
        <v>510000</v>
      </c>
      <c r="AH16" s="396">
        <f>Worksheet!X182</f>
        <v>595000</v>
      </c>
      <c r="AI16" s="396">
        <f>Worksheet!Y182</f>
        <v>680000</v>
      </c>
      <c r="AJ16" s="396">
        <f>Worksheet!Z182</f>
        <v>765000</v>
      </c>
      <c r="AK16" s="396">
        <f>Worksheet!AA182</f>
        <v>850000</v>
      </c>
      <c r="AL16" s="396">
        <f>Worksheet!AB182</f>
        <v>935000</v>
      </c>
      <c r="AM16" s="396">
        <f>Worksheet!AC182</f>
        <v>1020000</v>
      </c>
      <c r="AN16" s="467">
        <f>Worksheet!AD182</f>
        <v>1105000</v>
      </c>
    </row>
    <row r="17" spans="1:40" ht="14.25" customHeight="1" x14ac:dyDescent="0.25">
      <c r="D17" s="79" t="s">
        <v>17</v>
      </c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466"/>
      <c r="R17" s="396"/>
      <c r="S17" s="396"/>
      <c r="T17" s="396"/>
      <c r="U17" s="396"/>
      <c r="V17" s="396"/>
      <c r="W17" s="396"/>
      <c r="X17" s="465">
        <f>Worksheet!N183</f>
        <v>0</v>
      </c>
      <c r="Y17" s="396">
        <f>Worksheet!O183</f>
        <v>0</v>
      </c>
      <c r="Z17" s="396">
        <f>Worksheet!P183</f>
        <v>0</v>
      </c>
      <c r="AA17" s="396">
        <f>Worksheet!Q183</f>
        <v>0</v>
      </c>
      <c r="AB17" s="396">
        <f>Worksheet!R183</f>
        <v>0</v>
      </c>
      <c r="AC17" s="466">
        <f>Worksheet!S183</f>
        <v>0</v>
      </c>
      <c r="AD17" s="396">
        <f>Worksheet!T183</f>
        <v>0</v>
      </c>
      <c r="AE17" s="396">
        <f>Worksheet!U183</f>
        <v>0</v>
      </c>
      <c r="AF17" s="396">
        <f>Worksheet!V183</f>
        <v>0</v>
      </c>
      <c r="AG17" s="396">
        <f>Worksheet!W183</f>
        <v>0</v>
      </c>
      <c r="AH17" s="396">
        <f>Worksheet!X183</f>
        <v>34609.166666666664</v>
      </c>
      <c r="AI17" s="396">
        <f>Worksheet!Y183</f>
        <v>71640.974999999991</v>
      </c>
      <c r="AJ17" s="396">
        <f>Worksheet!Z183</f>
        <v>111368.83741666666</v>
      </c>
      <c r="AK17" s="396">
        <f>Worksheet!AA183</f>
        <v>154092.57312749999</v>
      </c>
      <c r="AL17" s="396">
        <f>Worksheet!AB183</f>
        <v>200141.07685034169</v>
      </c>
      <c r="AM17" s="396">
        <f>Worksheet!AC183</f>
        <v>249875.25355316483</v>
      </c>
      <c r="AN17" s="467">
        <f>Worksheet!AD183</f>
        <v>303691.2458557366</v>
      </c>
    </row>
    <row r="18" spans="1:40" ht="14.25" customHeight="1" x14ac:dyDescent="0.25">
      <c r="D18" s="79" t="s">
        <v>18</v>
      </c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466"/>
      <c r="R18" s="396"/>
      <c r="S18" s="396"/>
      <c r="T18" s="396"/>
      <c r="U18" s="480"/>
      <c r="V18" s="480"/>
      <c r="W18" s="396">
        <v>0</v>
      </c>
      <c r="X18" s="465">
        <f>Worksheet!N184</f>
        <v>0</v>
      </c>
      <c r="Y18" s="396">
        <f>Worksheet!O184</f>
        <v>0</v>
      </c>
      <c r="Z18" s="396">
        <f>Worksheet!P184</f>
        <v>0</v>
      </c>
      <c r="AA18" s="396">
        <f>Worksheet!Q184</f>
        <v>0</v>
      </c>
      <c r="AB18" s="396">
        <f>Worksheet!R184</f>
        <v>0</v>
      </c>
      <c r="AC18" s="466">
        <f>Worksheet!S184</f>
        <v>0</v>
      </c>
      <c r="AD18" s="396">
        <f>Worksheet!T184</f>
        <v>0</v>
      </c>
      <c r="AE18" s="396">
        <f>Worksheet!U184</f>
        <v>0</v>
      </c>
      <c r="AF18" s="396">
        <f>Worksheet!V184</f>
        <v>0</v>
      </c>
      <c r="AG18" s="396">
        <f>Worksheet!W184</f>
        <v>0</v>
      </c>
      <c r="AH18" s="396">
        <f>Worksheet!X184</f>
        <v>0</v>
      </c>
      <c r="AI18" s="396">
        <f>Worksheet!Y184</f>
        <v>834900.00000000012</v>
      </c>
      <c r="AJ18" s="396">
        <f>Worksheet!Z184</f>
        <v>834900.00000000012</v>
      </c>
      <c r="AK18" s="396">
        <f>Worksheet!AA184</f>
        <v>834900.00000000012</v>
      </c>
      <c r="AL18" s="396">
        <f>Worksheet!AB184</f>
        <v>1669800.0000000002</v>
      </c>
      <c r="AM18" s="396">
        <f>Worksheet!AC184</f>
        <v>1669800.0000000002</v>
      </c>
      <c r="AN18" s="467">
        <f>Worksheet!AD184</f>
        <v>1669800.0000000002</v>
      </c>
    </row>
    <row r="19" spans="1:40" ht="14.25" customHeight="1" x14ac:dyDescent="0.25">
      <c r="D19" s="79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96"/>
      <c r="P19" s="396"/>
      <c r="Q19" s="466"/>
      <c r="R19" s="396"/>
      <c r="S19" s="396"/>
      <c r="T19" s="396"/>
      <c r="U19" s="480"/>
      <c r="V19" s="480"/>
      <c r="W19" s="396"/>
      <c r="X19" s="465"/>
      <c r="Y19" s="396"/>
      <c r="Z19" s="396"/>
      <c r="AA19" s="396"/>
      <c r="AB19" s="396"/>
      <c r="AC19" s="466"/>
      <c r="AD19" s="396"/>
      <c r="AE19" s="396"/>
      <c r="AF19" s="396"/>
      <c r="AG19" s="396"/>
      <c r="AH19" s="396"/>
      <c r="AI19" s="396"/>
      <c r="AJ19" s="396"/>
      <c r="AK19" s="396"/>
      <c r="AL19" s="396"/>
      <c r="AM19" s="396"/>
      <c r="AN19" s="467"/>
    </row>
    <row r="20" spans="1:40" ht="14.25" customHeight="1" x14ac:dyDescent="0.25">
      <c r="A20" s="448"/>
      <c r="B20" s="448"/>
      <c r="C20" s="417" t="s">
        <v>21</v>
      </c>
      <c r="D20" s="417"/>
      <c r="E20" s="482">
        <v>252079.03</v>
      </c>
      <c r="F20" s="482">
        <v>272000.62</v>
      </c>
      <c r="G20" s="482">
        <v>326650.13</v>
      </c>
      <c r="H20" s="482">
        <v>321109.96999999997</v>
      </c>
      <c r="I20" s="482">
        <v>353010.65</v>
      </c>
      <c r="J20" s="482">
        <v>367526.55</v>
      </c>
      <c r="K20" s="482">
        <v>376307.64</v>
      </c>
      <c r="L20" s="482">
        <v>431023.4</v>
      </c>
      <c r="M20" s="482">
        <v>427727.45</v>
      </c>
      <c r="N20" s="482">
        <v>446273.02</v>
      </c>
      <c r="O20" s="482">
        <v>440971.27</v>
      </c>
      <c r="P20" s="482">
        <v>485168.6</v>
      </c>
      <c r="Q20" s="483">
        <v>424642.96</v>
      </c>
      <c r="R20" s="482">
        <v>428219.25</v>
      </c>
      <c r="S20" s="482">
        <v>631814.04</v>
      </c>
      <c r="T20" s="482">
        <v>548068.65</v>
      </c>
      <c r="U20" s="482">
        <v>580884.59000000008</v>
      </c>
      <c r="V20" s="482">
        <v>542321.30000000005</v>
      </c>
      <c r="W20" s="482">
        <v>513158.8</v>
      </c>
      <c r="X20" s="484">
        <f>Worksheet!N85-Worksheet!N93-Worksheet!N94</f>
        <v>690003.29166666663</v>
      </c>
      <c r="Y20" s="482">
        <f>Worksheet!O85-Worksheet!O93-Worksheet!O94</f>
        <v>822973.29166666663</v>
      </c>
      <c r="Z20" s="482">
        <f>Worksheet!P85-Worksheet!P93-Worksheet!P94</f>
        <v>840548.29166666663</v>
      </c>
      <c r="AA20" s="482">
        <f>Worksheet!Q85-Worksheet!Q93-Worksheet!Q94</f>
        <v>1025453.2916666666</v>
      </c>
      <c r="AB20" s="482">
        <f>Worksheet!R85-Worksheet!R93-Worksheet!R94</f>
        <v>1140278.2916666665</v>
      </c>
      <c r="AC20" s="483">
        <f>Worksheet!S85-Worksheet!S93-Worksheet!S94</f>
        <v>1344937.25</v>
      </c>
      <c r="AD20" s="482">
        <f>Worksheet!T85-Worksheet!T93-Worksheet!T94</f>
        <v>1546596.2083333333</v>
      </c>
      <c r="AE20" s="482">
        <f>Worksheet!U85-Worksheet!U93-Worksheet!U94</f>
        <v>1740387.875</v>
      </c>
      <c r="AF20" s="482">
        <f>Worksheet!V85-Worksheet!V93-Worksheet!V94</f>
        <v>1934646.8333333333</v>
      </c>
      <c r="AG20" s="482">
        <f>Worksheet!W85-Worksheet!W93-Worksheet!W94</f>
        <v>2120238.5</v>
      </c>
      <c r="AH20" s="482">
        <f>Worksheet!X85-Worksheet!X93-Worksheet!X94</f>
        <v>2359866.6250000005</v>
      </c>
      <c r="AI20" s="482">
        <f>Worksheet!Y85-Worksheet!Y93-Worksheet!Y94</f>
        <v>3273282.5833333335</v>
      </c>
      <c r="AJ20" s="482">
        <f>Worksheet!Z85-Worksheet!Z93-Worksheet!Z94</f>
        <v>3458206.665</v>
      </c>
      <c r="AK20" s="482">
        <f>Worksheet!AA85-Worksheet!AA93-Worksheet!AA94</f>
        <v>3636586.3846333334</v>
      </c>
      <c r="AL20" s="482">
        <f>Worksheet!AB85-Worksheet!AB93-Worksheet!AB94</f>
        <v>4527891.2497610003</v>
      </c>
      <c r="AM20" s="482">
        <f>Worksheet!AC85-Worksheet!AC93-Worksheet!AC94</f>
        <v>4689671.9849348366</v>
      </c>
      <c r="AN20" s="485">
        <f>Worksheet!AD85-Worksheet!AD93-Worksheet!AD94</f>
        <v>4848020.2406534581</v>
      </c>
    </row>
    <row r="21" spans="1:40" ht="14.25" customHeight="1" x14ac:dyDescent="0.25">
      <c r="A21" s="448"/>
      <c r="B21" s="448"/>
      <c r="C21" s="448"/>
      <c r="D21" s="448"/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486"/>
      <c r="R21" s="399"/>
      <c r="S21" s="399"/>
      <c r="T21" s="399"/>
      <c r="U21" s="399"/>
      <c r="V21" s="399"/>
      <c r="W21" s="399"/>
      <c r="X21" s="487"/>
      <c r="Y21" s="399"/>
      <c r="Z21" s="399"/>
      <c r="AA21" s="399"/>
      <c r="AB21" s="399"/>
      <c r="AC21" s="486"/>
      <c r="AD21" s="399"/>
      <c r="AE21" s="399"/>
      <c r="AF21" s="399"/>
      <c r="AG21" s="399"/>
      <c r="AH21" s="399"/>
      <c r="AI21" s="399"/>
      <c r="AJ21" s="399"/>
      <c r="AK21" s="399"/>
      <c r="AL21" s="399"/>
      <c r="AM21" s="399"/>
      <c r="AN21" s="488"/>
    </row>
    <row r="22" spans="1:40" ht="14.25" customHeight="1" x14ac:dyDescent="0.25">
      <c r="A22" s="448"/>
      <c r="B22" s="448"/>
      <c r="C22" s="417" t="s">
        <v>22</v>
      </c>
      <c r="D22" s="417"/>
      <c r="E22" s="416">
        <f t="shared" ref="E22:AN22" si="3">E5-E20</f>
        <v>147185.31999999998</v>
      </c>
      <c r="F22" s="416">
        <f t="shared" si="3"/>
        <v>144953.58999999991</v>
      </c>
      <c r="G22" s="416">
        <f t="shared" si="3"/>
        <v>207111.53000000003</v>
      </c>
      <c r="H22" s="416">
        <f t="shared" si="3"/>
        <v>219857.67000000004</v>
      </c>
      <c r="I22" s="416">
        <f t="shared" si="3"/>
        <v>280251.43999999994</v>
      </c>
      <c r="J22" s="416">
        <f t="shared" si="3"/>
        <v>236592.88999999996</v>
      </c>
      <c r="K22" s="416">
        <f t="shared" si="3"/>
        <v>181591.45999999973</v>
      </c>
      <c r="L22" s="416">
        <f t="shared" si="3"/>
        <v>262467.06999999995</v>
      </c>
      <c r="M22" s="416">
        <f t="shared" si="3"/>
        <v>184606.45999999979</v>
      </c>
      <c r="N22" s="416">
        <f t="shared" si="3"/>
        <v>198845.36</v>
      </c>
      <c r="O22" s="416">
        <f t="shared" si="3"/>
        <v>376697.98</v>
      </c>
      <c r="P22" s="416">
        <f t="shared" si="3"/>
        <v>138773.96999999997</v>
      </c>
      <c r="Q22" s="460">
        <f t="shared" si="3"/>
        <v>273230.03999999998</v>
      </c>
      <c r="R22" s="416">
        <f t="shared" si="3"/>
        <v>177084.75</v>
      </c>
      <c r="S22" s="416">
        <f t="shared" si="3"/>
        <v>305957.95999999996</v>
      </c>
      <c r="T22" s="416">
        <f t="shared" si="3"/>
        <v>302443.34999999998</v>
      </c>
      <c r="U22" s="416">
        <f t="shared" si="3"/>
        <v>410512.40999999992</v>
      </c>
      <c r="V22" s="416">
        <f t="shared" si="3"/>
        <v>408918.69999999995</v>
      </c>
      <c r="W22" s="416">
        <f t="shared" si="3"/>
        <v>516788.61999999994</v>
      </c>
      <c r="X22" s="461">
        <f t="shared" si="3"/>
        <v>573143.30833333347</v>
      </c>
      <c r="Y22" s="416">
        <f t="shared" si="3"/>
        <v>714065.90833333356</v>
      </c>
      <c r="Z22" s="416">
        <f t="shared" si="3"/>
        <v>752548.50833333319</v>
      </c>
      <c r="AA22" s="416">
        <f t="shared" si="3"/>
        <v>956129.70833333337</v>
      </c>
      <c r="AB22" s="416">
        <f t="shared" si="3"/>
        <v>1087802.5083333333</v>
      </c>
      <c r="AC22" s="460">
        <f t="shared" si="3"/>
        <v>1311861.083333333</v>
      </c>
      <c r="AD22" s="416">
        <f t="shared" si="3"/>
        <v>1531919.6583333334</v>
      </c>
      <c r="AE22" s="416">
        <f t="shared" si="3"/>
        <v>1754845.7249999996</v>
      </c>
      <c r="AF22" s="416">
        <f t="shared" si="3"/>
        <v>1965304.7</v>
      </c>
      <c r="AG22" s="416">
        <f t="shared" si="3"/>
        <v>2177430.9666666668</v>
      </c>
      <c r="AH22" s="416">
        <f t="shared" si="3"/>
        <v>2360130.3416666663</v>
      </c>
      <c r="AI22" s="416">
        <f t="shared" si="3"/>
        <v>2689364.9249999993</v>
      </c>
      <c r="AJ22" s="416">
        <f t="shared" si="3"/>
        <v>2902887.6390833333</v>
      </c>
      <c r="AK22" s="416">
        <f t="shared" si="3"/>
        <v>3113950.7884941669</v>
      </c>
      <c r="AL22" s="416">
        <f t="shared" si="3"/>
        <v>3431313.760422674</v>
      </c>
      <c r="AM22" s="416">
        <f t="shared" si="3"/>
        <v>3636986.9352849945</v>
      </c>
      <c r="AN22" s="462">
        <f t="shared" si="3"/>
        <v>3840174.8052022802</v>
      </c>
    </row>
    <row r="23" spans="1:40" ht="14.25" customHeight="1" x14ac:dyDescent="0.25">
      <c r="A23" s="489"/>
      <c r="B23" s="489"/>
      <c r="C23" s="489"/>
      <c r="D23" s="489" t="s">
        <v>23</v>
      </c>
      <c r="E23" s="490">
        <f t="shared" ref="E23:AN23" si="4">E22/E5</f>
        <v>0.36864127738927854</v>
      </c>
      <c r="F23" s="490">
        <f t="shared" si="4"/>
        <v>0.34764870223998923</v>
      </c>
      <c r="G23" s="490">
        <f t="shared" si="4"/>
        <v>0.38802249303556202</v>
      </c>
      <c r="H23" s="490">
        <f t="shared" si="4"/>
        <v>0.4064155667425875</v>
      </c>
      <c r="I23" s="490">
        <f t="shared" si="4"/>
        <v>0.44255205613208265</v>
      </c>
      <c r="J23" s="490">
        <f t="shared" si="4"/>
        <v>0.39163263807567583</v>
      </c>
      <c r="K23" s="490">
        <f t="shared" si="4"/>
        <v>0.3254915808252779</v>
      </c>
      <c r="L23" s="490">
        <f t="shared" si="4"/>
        <v>0.37847249725003423</v>
      </c>
      <c r="M23" s="490">
        <f t="shared" si="4"/>
        <v>0.30148005358710228</v>
      </c>
      <c r="N23" s="490">
        <f t="shared" si="4"/>
        <v>0.30823080873932002</v>
      </c>
      <c r="O23" s="490">
        <f t="shared" si="4"/>
        <v>0.46069725625612068</v>
      </c>
      <c r="P23" s="490">
        <f t="shared" si="4"/>
        <v>0.22241465268189664</v>
      </c>
      <c r="Q23" s="491">
        <f t="shared" si="4"/>
        <v>0.39151828484552342</v>
      </c>
      <c r="R23" s="490">
        <f t="shared" si="4"/>
        <v>0.29255506324094999</v>
      </c>
      <c r="S23" s="490">
        <f t="shared" si="4"/>
        <v>0.32626049828743015</v>
      </c>
      <c r="T23" s="490">
        <f t="shared" si="4"/>
        <v>0.35560150826796094</v>
      </c>
      <c r="U23" s="490">
        <f t="shared" si="4"/>
        <v>0.41407469459762325</v>
      </c>
      <c r="V23" s="490">
        <f t="shared" si="4"/>
        <v>0.42987963079769559</v>
      </c>
      <c r="W23" s="490">
        <f t="shared" si="4"/>
        <v>0.50176213849829343</v>
      </c>
      <c r="X23" s="492">
        <f t="shared" si="4"/>
        <v>0.45374250964482937</v>
      </c>
      <c r="Y23" s="490">
        <f t="shared" si="4"/>
        <v>0.46457234684276982</v>
      </c>
      <c r="Z23" s="490">
        <f t="shared" si="4"/>
        <v>0.47238090512348857</v>
      </c>
      <c r="AA23" s="490">
        <f t="shared" si="4"/>
        <v>0.48250802935498205</v>
      </c>
      <c r="AB23" s="490">
        <f t="shared" si="4"/>
        <v>0.48822399453975518</v>
      </c>
      <c r="AC23" s="491">
        <f t="shared" si="4"/>
        <v>0.49377518303672524</v>
      </c>
      <c r="AD23" s="490">
        <f t="shared" si="4"/>
        <v>0.49761629456600931</v>
      </c>
      <c r="AE23" s="490">
        <f t="shared" si="4"/>
        <v>0.50206822370899606</v>
      </c>
      <c r="AF23" s="490">
        <f t="shared" si="4"/>
        <v>0.50393054457275055</v>
      </c>
      <c r="AG23" s="490">
        <f t="shared" si="4"/>
        <v>0.50665389312861997</v>
      </c>
      <c r="AH23" s="490">
        <f t="shared" si="4"/>
        <v>0.50002793610552387</v>
      </c>
      <c r="AI23" s="490">
        <f t="shared" si="4"/>
        <v>0.45103536998311095</v>
      </c>
      <c r="AJ23" s="490">
        <f t="shared" si="4"/>
        <v>0.45635035424956721</v>
      </c>
      <c r="AK23" s="490">
        <f t="shared" si="4"/>
        <v>0.46128933277934747</v>
      </c>
      <c r="AL23" s="490">
        <f t="shared" si="4"/>
        <v>0.43111262444331605</v>
      </c>
      <c r="AM23" s="490">
        <f t="shared" si="4"/>
        <v>0.43678826887615263</v>
      </c>
      <c r="AN23" s="493">
        <f t="shared" si="4"/>
        <v>0.44199914768649678</v>
      </c>
    </row>
    <row r="24" spans="1:40" ht="14.25" customHeight="1" x14ac:dyDescent="0.25"/>
    <row r="25" spans="1:40" ht="14.25" customHeight="1" x14ac:dyDescent="0.25"/>
    <row r="26" spans="1:40" ht="14.25" customHeight="1" x14ac:dyDescent="0.25"/>
    <row r="27" spans="1:40" ht="14.25" customHeight="1" x14ac:dyDescent="0.25"/>
    <row r="28" spans="1:40" ht="14.25" customHeight="1" x14ac:dyDescent="0.25"/>
    <row r="29" spans="1:40" ht="14.25" customHeight="1" x14ac:dyDescent="0.25"/>
    <row r="30" spans="1:40" ht="14.25" customHeight="1" x14ac:dyDescent="0.25"/>
    <row r="31" spans="1:40" ht="14.25" customHeight="1" x14ac:dyDescent="0.25"/>
    <row r="32" spans="1:4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B3BB2E549564084FC43B95F401D6F" ma:contentTypeVersion="7" ma:contentTypeDescription="Create a new document." ma:contentTypeScope="" ma:versionID="168e16a4c0d83bb8dcd7e51f9215bc9f">
  <xsd:schema xmlns:xsd="http://www.w3.org/2001/XMLSchema" xmlns:xs="http://www.w3.org/2001/XMLSchema" xmlns:p="http://schemas.microsoft.com/office/2006/metadata/properties" xmlns:ns1="http://schemas.microsoft.com/sharepoint/v3" xmlns:ns2="15b3150e-d951-47f6-8a76-bc84b4696756" xmlns:ns3="8decec3c-4895-4ccd-a827-84d92c711d61" xmlns:ns4="800c1269-9eb2-46c1-81fe-9746c8453f9a" xmlns:ns5="f3fd9d2e-7bd3-4ec4-9d9f-5e0eb2429ba5" targetNamespace="http://schemas.microsoft.com/office/2006/metadata/properties" ma:root="true" ma:fieldsID="00873f7f232095dd7db61b752c092e1b" ns1:_="" ns2:_="" ns3:_="" ns4:_="" ns5:_="">
    <xsd:import namespace="http://schemas.microsoft.com/sharepoint/v3"/>
    <xsd:import namespace="15b3150e-d951-47f6-8a76-bc84b4696756"/>
    <xsd:import namespace="8decec3c-4895-4ccd-a827-84d92c711d61"/>
    <xsd:import namespace="800c1269-9eb2-46c1-81fe-9746c8453f9a"/>
    <xsd:import namespace="f3fd9d2e-7bd3-4ec4-9d9f-5e0eb2429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1:_ip_UnifiedCompliancePolicyProperties" minOccurs="0"/>
                <xsd:element ref="ns1:_ip_UnifiedCompliancePolicyUIAc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3150e-d951-47f6-8a76-bc84b4696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cec3c-4895-4ccd-a827-84d92c711d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0c1269-9eb2-46c1-81fe-9746c8453f9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d9dcc81-7629-4abb-8417-853523a652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d9d2e-7bd3-4ec4-9d9f-5e0eb2429ba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3f9f2498-dd46-41a8-bf09-a0335be7ef8b}" ma:internalName="TaxCatchAll" ma:showField="CatchAllData" ma:web="f3fd9d2e-7bd3-4ec4-9d9f-5e0eb2429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3fd9d2e-7bd3-4ec4-9d9f-5e0eb2429ba5" xsi:nil="true"/>
    <_ip_UnifiedCompliancePolicyProperties xmlns="http://schemas.microsoft.com/sharepoint/v3" xsi:nil="true"/>
    <lcf76f155ced4ddcb4097134ff3c332f xmlns="800c1269-9eb2-46c1-81fe-9746c8453f9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45F39E-28F4-4230-9441-D01271EBBD94}"/>
</file>

<file path=customXml/itemProps2.xml><?xml version="1.0" encoding="utf-8"?>
<ds:datastoreItem xmlns:ds="http://schemas.openxmlformats.org/officeDocument/2006/customXml" ds:itemID="{D62F7029-F9D1-42B6-8A2A-17E33162FCD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fd9d2e-7bd3-4ec4-9d9f-5e0eb2429ba5"/>
    <ds:schemaRef ds:uri="800c1269-9eb2-46c1-81fe-9746c8453f9a"/>
  </ds:schemaRefs>
</ds:datastoreItem>
</file>

<file path=customXml/itemProps3.xml><?xml version="1.0" encoding="utf-8"?>
<ds:datastoreItem xmlns:ds="http://schemas.openxmlformats.org/officeDocument/2006/customXml" ds:itemID="{EA38F9D6-E432-4255-ACAF-0C61C13294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Monthly Financial Reports</vt:lpstr>
      <vt:lpstr>Assumptions</vt:lpstr>
      <vt:lpstr>Worksheet</vt:lpstr>
      <vt:lpstr>Staffing</vt:lpstr>
      <vt:lpstr>Product Rollout</vt:lpstr>
      <vt:lpstr>Charts</vt:lpstr>
      <vt:lpstr>P&amp;L Yearly</vt:lpstr>
      <vt:lpstr>Balance Sheet Yearly</vt:lpstr>
      <vt:lpstr>Profit and Loss</vt:lpstr>
      <vt:lpstr>HR Comp</vt:lpstr>
      <vt:lpstr>12 month</vt:lpstr>
      <vt:lpstr>Option 2</vt:lpstr>
      <vt:lpstr>Revenue 2024-2026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L</dc:creator>
  <cp:lastModifiedBy>Michael Knapp</cp:lastModifiedBy>
  <cp:lastPrinted>2025-11-18T19:12:18Z</cp:lastPrinted>
  <dcterms:created xsi:type="dcterms:W3CDTF">2025-11-10T17:01:56Z</dcterms:created>
  <dcterms:modified xsi:type="dcterms:W3CDTF">2025-11-18T19:29:47Z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0x010100FD8B3BB2E549564084FC43B95F401D6F</vt:lpwstr>
  </property>
  <property fmtid="{D5CDD505-2E9C-101B-9397-08002B2CF9AE}" pid="3" name="MediaServiceImageTags">
    <vt:lpwstr/>
  </property>
</Properties>
</file>